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C9BA025C-5D1E-FB43-A54B-B330AEB54CEC}"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T270" i="1"/>
  <c r="BF271" i="1"/>
  <c r="BT271" i="1"/>
  <c r="BF272" i="1"/>
  <c r="BT272" i="1"/>
  <c r="BF273" i="1"/>
  <c r="BT273" i="1"/>
  <c r="BF274" i="1"/>
  <c r="BT274" i="1"/>
  <c r="BF275" i="1"/>
  <c r="BT275" i="1"/>
  <c r="BF276" i="1"/>
  <c r="BT276" i="1"/>
  <c r="BT277" i="1"/>
  <c r="BF278" i="1"/>
  <c r="BT278" i="1"/>
  <c r="BF279" i="1"/>
  <c r="BT279" i="1"/>
  <c r="BF280" i="1"/>
  <c r="BT280"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T519" i="1"/>
  <c r="BT520" i="1"/>
  <c r="BT521" i="1"/>
  <c r="BT522" i="1"/>
  <c r="BT523" i="1"/>
  <c r="BT524" i="1"/>
  <c r="BT525" i="1"/>
  <c r="BT526"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T546" i="1"/>
  <c r="BT547"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T852" i="1"/>
  <c r="BF853" i="1"/>
  <c r="BT853" i="1"/>
  <c r="BF854" i="1"/>
  <c r="BT854" i="1"/>
  <c r="BF855" i="1"/>
  <c r="BT855"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T993" i="1"/>
  <c r="BF994" i="1"/>
  <c r="BT994" i="1"/>
  <c r="BF995" i="1"/>
  <c r="BT995" i="1"/>
  <c r="BF996" i="1"/>
  <c r="BT996" i="1"/>
  <c r="BF997" i="1"/>
  <c r="BT997" i="1"/>
  <c r="BF998" i="1"/>
  <c r="BT998" i="1"/>
  <c r="BF999" i="1"/>
  <c r="BT999" i="1"/>
  <c r="BF1000" i="1"/>
  <c r="BT1000" i="1"/>
  <c r="BF1001" i="1"/>
  <c r="BT1001" i="1"/>
</calcChain>
</file>

<file path=xl/comments1.xml><?xml version="1.0" encoding="utf-8"?>
<comments xmlns="http://schemas.openxmlformats.org/spreadsheetml/2006/main">
  <authors>
    <author/>
  </authors>
  <commentList>
    <comment ref="B12" authorId="0" shapeId="0">
      <text>
        <r>
          <rPr>
            <sz val="10"/>
            <rFont val="Arial"/>
          </rPr>
          <t xml:space="preserve">gov, MA; ; </t>
        </r>
      </text>
    </comment>
    <comment ref="F12" authorId="0" shapeId="0">
      <text>
        <r>
          <rPr>
            <sz val="10"/>
            <rFont val="Arial"/>
          </rPr>
          <t xml:space="preserve">esh, A.; ; </t>
        </r>
      </text>
    </comment>
    <comment ref="W12" authorId="0" shapeId="0">
      <text>
        <r>
          <rPr>
            <sz val="10"/>
            <rFont val="Arial"/>
          </rPr>
          <t xml:space="preserve"> ; </t>
        </r>
      </text>
    </comment>
  </commentList>
</comments>
</file>

<file path=xl/sharedStrings.xml><?xml version="1.0" encoding="utf-8"?>
<sst xmlns="http://schemas.openxmlformats.org/spreadsheetml/2006/main" count="59349" uniqueCount="18979">
  <si>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</si>
  <si>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</si>
  <si>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</si>
  <si>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</si>
  <si>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</si>
  <si>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</si>
  <si>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</si>
  <si>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</si>
  <si>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</si>
  <si>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</si>
  <si>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</si>
  <si>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</si>
  <si>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</si>
  <si>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</si>
  <si>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</si>
  <si>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</si>
  <si>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</si>
  <si>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</si>
  <si>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</si>
  <si>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</si>
  <si>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</si>
  <si>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</si>
  <si>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</si>
  <si>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</si>
  <si>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</si>
  <si>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</si>
  <si>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</si>
  <si>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</si>
  <si>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</si>
  <si>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</si>
  <si>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</si>
  <si>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</si>
  <si>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</si>
  <si>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</si>
  <si>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</si>
  <si>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</si>
  <si>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</si>
  <si>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</si>
  <si>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</si>
  <si>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</si>
  <si>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</si>
  <si>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</si>
  <si>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</si>
  <si>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</si>
  <si>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</si>
  <si>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</si>
  <si>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</si>
  <si>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</si>
  <si>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</si>
  <si>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</si>
  <si>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</si>
  <si>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</si>
  <si>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</si>
  <si>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</si>
  <si>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</si>
  <si>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</si>
  <si>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</si>
  <si>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</si>
  <si>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</si>
  <si>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</si>
  <si>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</si>
  <si>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</si>
  <si>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</si>
  <si>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</si>
  <si>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</si>
  <si>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</si>
  <si>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</si>
  <si>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</si>
  <si>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</si>
  <si>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</si>
  <si>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</si>
  <si>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</si>
  <si>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</si>
  <si>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Szuts, ZB; Meinen, CS</t>
  </si>
  <si>
    <t/>
  </si>
  <si>
    <t>Szuts, Zoltan B.; Meinen, Christopher S.</t>
  </si>
  <si>
    <t>Florida Current Salinity and Salinity Transport: Mean and Decadal Changes</t>
  </si>
  <si>
    <t>GEOPHYSICAL RESEARCH LETTERS</t>
  </si>
  <si>
    <t>English</t>
  </si>
  <si>
    <t>Article</t>
  </si>
  <si>
    <t>NORTH-ATLANTIC; OVERTURNING CIRCULATION; POTENTIAL VORTICITY; GULF-STREAM; WATER; VARIABILITY; HEAT; COMPENSATION; EXCHANGE; CLIMATE</t>
  </si>
  <si>
    <t>The Florida Current (FC) contributes to Atlantic circulation by carrying the western boundary flow of the subtropical gyre and the upper branch of meridional overturning circulation. Repeated FC hydrographic (velocity, salinity, and temperature) sections during 1982-1987 and 2001-2015 characterize its water mass structure and associated transport variability. On average, FC volume transport comes from subtropical North Atlantic water (NAW, 44%), Antarctic Intermediate Water (AAIW, 14%), surface water (SW, 27%), and an indistinct source (Rem 15%), while salinity transport relative to the average salinity along 26 degrees N comes from NAW (55%), AAIW (0.2%), SW (30%), and Rem (15%). From 1982-1987 to 2001-2015, NAW, AAIW, and Rem salinified by 0.03-0.16 g kg(-1) and increased the salinity anomaly transport by 3%. These patterns imply that advective salt transport by the FC (1) is sensitive to subtropical North Atlantic variability and (2) is partially decoupled from the volumetric pathway of the upper overturning branch. Plain Language Summary Surface currents in the Atlantic Ocean flow northward as part of a global overturning circulation. Overturning transports heat and salt to northern latitudes as a major contribution to global climate. At 26 degrees N in the Atlantic, almost all the northward flow is carried by the Florida Current (FC). This study uses temperature and salinity measurements of the FC in 1982-1987 and 2001-2015 to interpret what sets northward salt transport and how it changes over two decades. Below the surface, the FC has become much saltier by 0.05-0.01 g/kg. The net northward salt transport has increased by 3%, a small but significant amount. Though changes in volume transport have the potential for causing large changes in salt transport, the observations show instead that increased salt transport is driven primarily by saltier waters from the subtropical North Atlantic. FC salt transport appears to be partially decoupled from volume transport associated with overturning. These results provide evidence that changing stratification associated with saltier subtropical water does lead to changes to oceanic advection of salt on a basin scale.</t>
  </si>
  <si>
    <t>[Szuts, Zoltan B.] Univ Washington, Appl Phys Lab, Seattle, WA 98105 USA; [Meinen, Christopher S.] NOAA, Atlantic Oceanog &amp; Meteorol Lab, Miami, FL 33149 USA</t>
  </si>
  <si>
    <t>University of Washington; University of Washington Seattle; National Oceanic Atmospheric Admin (NOAA) - USA; Atlantic Oceanographic &amp; Meteorological Laboratory (AOML)</t>
  </si>
  <si>
    <t>Szuts, ZB (corresponding author), Univ Washington, Appl Phys Lab, Seattle, WA 98105 USA.</t>
  </si>
  <si>
    <t>zszuts@apl.washington.edu</t>
  </si>
  <si>
    <t>; Meinen, Christopher/G-1902-2012</t>
  </si>
  <si>
    <t>Szuts, Zoltan/0000-0001-6555-1477; Meinen, Christopher/0000-0002-8846-6002</t>
  </si>
  <si>
    <t>NOAA CPO-OOMD [100007298]; NOAA/AOML; NOAA/CPO-OOMD; NOAA-AOML; [NSF-1356383]; Division Of Ocean Sciences; Directorate For Geosciences [1356383] Funding Source: National Science Foundation</t>
  </si>
  <si>
    <t>NOAA CPO-OOMD; NOAA/AOML(National Oceanic Atmospheric Admin (NOAA) - USA); NOAA/CPO-OOMD; NOAA-AOML(National Oceanic Atmospheric Admin (NOAA) - USA); ; Division Of Ocean Sciences; Directorate For Geosciences(National Science Foundation (NSF)NSF - Directorate for Geosciences (GEO))</t>
  </si>
  <si>
    <t>The 1980 CTD data were obtained from the World Ocean Database (Boyer et al., 2009); CTD/LADCP transects are funded by NOAA CPO-OOMD (FundRef 100007298, Western Boundary Time Series project) with additional support from NOAA/AOML and are available from http://www.aoml.noaa.gov/phod/wbts/. We thank Andrey Shcherbina for helpful discussions, and two anonymous reviewers for constructive comments. Z.B.S. was supported by NSF-1356383. C.S.M. was supported by NOAA/CPO-OOMD and NOAA-AOML.</t>
  </si>
  <si>
    <t>AMER GEOPHYSICAL UNION</t>
  </si>
  <si>
    <t>WASHINGTON</t>
  </si>
  <si>
    <t>2000 FLORIDA AVE NW, WASHINGTON, DC 20009 USA</t>
  </si>
  <si>
    <t>0094-8276</t>
  </si>
  <si>
    <t>1944-8007</t>
  </si>
  <si>
    <t>GEOPHYS RES LETT</t>
  </si>
  <si>
    <t>Geophys. Res. Lett.</t>
  </si>
  <si>
    <t>OCT 28</t>
  </si>
  <si>
    <t>10.1002/2017GL074538</t>
  </si>
  <si>
    <t>Geosciences, Multidisciplinary</t>
  </si>
  <si>
    <t>Science Citation Index Expanded (SCI-EXPANDED)</t>
  </si>
  <si>
    <t>Geology</t>
  </si>
  <si>
    <t>FO3UW</t>
  </si>
  <si>
    <t>Bronze</t>
  </si>
  <si>
    <t>2024-04-21</t>
  </si>
  <si>
    <t>WOS:000416761600049</t>
  </si>
  <si>
    <t>Lu, X; Chu, XZ; Chen, C; Nguyen, V; Smith, AK</t>
  </si>
  <si>
    <t>Lu, Xian; Chu, Xinzhao; Chen, Cao; Vu Nguyen; Smith, Anne K.</t>
  </si>
  <si>
    <t>First Observations of Short-Period Eastward Propagating Planetary Waves From the Stratosphere to the Lower Thermosphere (110 km) in Winter Antarctica</t>
  </si>
  <si>
    <t>4-DAY WAVE; GRAVITY-WAVES; LIDAR OBSERVATIONS; MIDDLE ATMOSPHERE; MCMURDO 77.8-DEGREES-S; MESOSPHERE; 166.7-DEGREES-E; INSTABILITY; HEMISPHERE; FREQUENCY</t>
  </si>
  <si>
    <t>Unique Fe lidar observations in May 2014 at McMurdo, combined with Aura-Microwave Limb Sounder measurements, lead to a new discovery that the amplitudes of 4 day and 2.5 day planetary waves (PWs) grow rapidly from 1-2 K at 100 km to over 10 K at 110 km. This report is also the first observation of short-period (1-5 days) eastward propagating PWs from 30 km all the way to 110 km. The Specified Dynamics-Whole Atmosphere Community Climate Model reproduces the observed three dominant peaks of amplitudes in temperature and coherent vertical phase structures. The data-model comparison indicates a possible mechanism: After PWs originated from the stratosphere dissipate along the critical level, the surviving waves are amplified by in situ instability in the mesosphere and lower thermosphere, resulting in the second (third) peak in geopotential (temperature). This third peak in temperature explains the PW amplitude growth from 100 to 110 km.</t>
  </si>
  <si>
    <t>[Lu, Xian; Chu, Xinzhao; Chen, Cao] Univ Colorado, Cooperat Inst Res Environm Sci, Boulder, CO 80309 USA; [Lu, Xian] Clemson Univ, Dept Phys &amp; Astron, Clemson, SC 29634 USA; [Chu, Xinzhao; Chen, Cao; Vu Nguyen] Univ Colorado, Dept Aerosp Engn Sci, Boulder, CO 80309 USA; [Smith, Anne K.] Natl Ctr Atmospher Res, Atmospher Chem Observat &amp; Modeling, POB 3000, Boulder, CO 80307 USA</t>
  </si>
  <si>
    <t>University of Colorado System; University of Colorado Boulder; Clemson University; University of Colorado System; University of Colorado Boulder; National Center Atmospheric Research (NCAR) - USA</t>
  </si>
  <si>
    <t>Lu, X; Chu, XZ (corresponding author), Univ Colorado, Cooperat Inst Res Environm Sci, Boulder, CO 80309 USA.;Lu, X (corresponding author), Clemson Univ, Dept Phys &amp; Astron, Clemson, SC 29634 USA.;Chu, XZ (corresponding author), Univ Colorado, Dept Aerosp Engn Sci, Boulder, CO 80309 USA.</t>
  </si>
  <si>
    <t>xianl@clemson.edu; xinzhao.chu@colorado.edu</t>
  </si>
  <si>
    <t>Lu, Xian/AAZ-3385-2021; CHU, XINZHAO/I-5670-2015; LU, XIAN/A-2980-2015</t>
  </si>
  <si>
    <t>CHU, XINZHAO/0000-0001-6147-1963; LU, XIAN/0000-0002-2535-8151</t>
  </si>
  <si>
    <t>NSF [OPP-0839091, OPP-1246405, OPP-1443726]; NSF/CEDAR [AGS-1343106/1705448, OPP-1543373/1705450]; NSF; Office of Science of the U.S. Department of Energy; Directorate For Geosciences; Office of Polar Programs (OPP) [1246405] Funding Source: National Science Foundation</t>
  </si>
  <si>
    <t>NSF(National Science Foundation (NSF)); NSF/CEDAR(National Science Foundation (NSF)); NSF(National Science Foundation (NSF)); Office of Science of the U.S. Department of Energy(United States Department of Energy (DOE)); Directorate For Geosciences; Office of Polar Programs (OPP)(National Science Foundation (NSF)NSF - Directorate for Geosciences (GEO))</t>
  </si>
  <si>
    <t>We gratefully acknowledge invaluable discussions with Jens Oberheide, Kaoru Sato, and Hanli Liu on the wave analyses and dynamics. We appreciate the staff of the United States Antarctic Program, McMurdo station, Antarctica New Zealand, and Scott Base for their superb support. This work was supported by NSF grants OPP-0839091, OPP-1246405, and OPP-1443726. Xian Lu was supported by NSF/CEDAR grants AGS-1343106/1705448 and OPP-1543373/1705450. NCAR is supported by NSF, and WACCM is supported by NSF and the Office of Science of the U.S. Department of Energy. The data are available upon request.</t>
  </si>
  <si>
    <t>10.1002/2017GL075641</t>
  </si>
  <si>
    <t>Bronze, Green Published</t>
  </si>
  <si>
    <t>WOS:000416761600076</t>
  </si>
  <si>
    <t>Ghelani, RPS; Oliver, ECJ; Holbrook, NJ; Wheeler, MC; Klotzbach, PJ</t>
  </si>
  <si>
    <t>Ghelani, Roohi P. S.; Oliver, Eric C. J.; Holbrook, Neil J.; Wheeler, Matthew C.; Klotzbach, Philip J.</t>
  </si>
  <si>
    <t>Joint Modulation of Intraseasonal Rainfall in Tropical Australia by the Madden-Julian Oscillation and El Nino-Southern Oscillation</t>
  </si>
  <si>
    <t>WET SEASON; VARIABILITY; ENSO</t>
  </si>
  <si>
    <t>Rainfall in tropical Australia is a critical resource for the agricultural sector. However, its high variability implores improvements in our understanding of its variability. Australian tropical rainfall is influenced by both the Madden-Julian Oscillation (MJO) on intraseasonal time scales and El Nino-Southern Oscillation (ENSO) on interannual time scales. This study examines the joint relationship between the MJO, ENSO, and tropical Australian rainfall variability. We analyze daily precipitation data from stations across tropical Australia during the wet season (November to April). The wet season rainfall response to the MJO is found to be greater during El Nino than La Nina. We demonstrate that this relationship is not due to the statistical relationship between the MJO and ENSO indices but instead due to differences in how the MJO modulates the large-scale circulation during El Nino versus during La Nina. Plain Language Summary This manuscript presents studies of the simultaneous relationship between tropical Australian rainfall variability and two modes of climate variability: the Madden-Julian Oscillation (MJO) and El Nino-Southern Oscillation (ENSO). We analyze daily rainfall at 43 long-record (1942-2011) weather stations across tropical Australia during the wet season (November to April). The MJO is shown to increase rainfall in certain phases (phases 5 and 6) and decrease it in other phases (phases 2 and 3), but more importantly, this signal is enhanced during El Nino as compared to La Nina. This is demonstrated to be due to how the MJO influences atmospheric circulation differently in El Nino versus La Nina wet seasons. These results are significant in demonstrating that the MJO and ENSO do not act independently on rainfall; the state of both climate modes need to be known in order to better predict rainfall variability. Agricultural decisions are highly dependent on knowledge of rainfall variability, from crop management on intraseasonal scales to crop types on interannual scales. Overall, the results of this study provide a better understanding of wet season rainfall and its potential predictability in tropical Australia, a major exporter of agriculture and livestock, with implications for improved agricultural decision-making.</t>
  </si>
  <si>
    <t>[Ghelani, Roohi P. S.; Oliver, Eric C. J.; Holbrook, Neil J.] Univ Tasmania, Inst Marine &amp; Antarctic Studies, Hobart, Tas, Australia; [Ghelani, Roohi P. S.; Oliver, Eric C. J.; Holbrook, Neil J.] Univ Tasmania, Australian Res Council, Ctr Excellence Climate Syst Sci, Hobart, Tas, Australia; [Oliver, Eric C. J.] Dalhousie Univ, Dept Oceanog, Halifax, NS, Canada; [Wheeler, Matthew C.] Bur Meteorol, Melbourne, Vic, Australia; [Klotzbach, Philip J.] Colorado State Univ, Dept Atmospher Sci, Ft Collins, CO 80523 USA</t>
  </si>
  <si>
    <t>University of Tasmania; University of Tasmania; Dalhousie University; Bureau of Meteorology - Australia; Colorado State University</t>
  </si>
  <si>
    <t>Ghelani, RPS; Oliver, ECJ (corresponding author), Univ Tasmania, Inst Marine &amp; Antarctic Studies, Hobart, Tas, Australia.;Ghelani, RPS; Oliver, ECJ (corresponding author), Univ Tasmania, Australian Res Council, Ctr Excellence Climate Syst Sci, Hobart, Tas, Australia.;Oliver, ECJ (corresponding author), Dalhousie Univ, Dept Oceanog, Halifax, NS, Canada.</t>
  </si>
  <si>
    <t>roohighelani@outlook.com; eric.oliver@utas.edu.au</t>
  </si>
  <si>
    <t>Wheeler, Matthew C/C-9038-2011; Holbrook, Neil/M-7544-2013; Klotzbach, Philip/P-1911-2014; Oliver, Eric/G-5118-2014</t>
  </si>
  <si>
    <t>Wheeler, Matthew C/0000-0002-9769-1973; Holbrook, Neil/0000-0002-3523-6254; Klotzbach, Philip/0000-0001-5372-6241; Ghelani, Roohi/0000-0003-4774-4552; Oliver, Eric/0000-0002-4006-2826</t>
  </si>
  <si>
    <t>Australian Research Council (ARC) Centre of Excellence for Climate System Science (ARCCSS) [CE110001028]; ARCCSS Undergraduate Summer Research Scholarship</t>
  </si>
  <si>
    <t>Australian Research Council (ARC) Centre of Excellence for Climate System Science (ARCCSS); ARCCSS Undergraduate Summer Research Scholarship</t>
  </si>
  <si>
    <t>This paper makes a contribution to the Australian Research Council (ARC) Centre of Excellence for Climate System Science (ARCCSS; CE110001028). R.G. would like to thank the ARCCSS Undergraduate Summer Research Scholarship for the opportunity to travel and undertake this research and Ndevr Environmental Pty Ltd for the use of computing resources. We also thank the two anonymous reviewers and Michael J. Murphy (Monash University) for their comments during this research. Data supporting the conclusions can be obtained from the BoM (Climate Data Online http://www.bom.gov.au/climate/data/ and Southern Oscillation Index http://www.bom.gov.au/climate/current/soi2.shtml) and E.O.'s website (Reconstruction of the RMM index http://passage.phys.ocean.dal.ca/similar to olivere/histmjo.html).</t>
  </si>
  <si>
    <t>10.1002/2017GL075452</t>
  </si>
  <si>
    <t>Green Accepted, Bronze, Green Published</t>
  </si>
  <si>
    <t>WOS:000416761600077</t>
  </si>
  <si>
    <t>Brooke, JSA; Feng, WH; Carrillo-Sánchez, JD; Mann, GW; James, AD; Bardeen, CG; Plane, JMC</t>
  </si>
  <si>
    <t>Brooke, James S. A.; Feng, Wuhu; Carrillo-Sanchez, Juan Diego; Mann, Graham W.; James, Alexander D.; Bardeen, Charles G.; Plane, John M. C.</t>
  </si>
  <si>
    <t>Meteoric Smoke Deposition in the Polar Regions: A Comparison of Measurements With Global Atmospheric Models</t>
  </si>
  <si>
    <t>JOURNAL OF GEOPHYSICAL RESEARCH-ATMOSPHERES</t>
  </si>
  <si>
    <t>LARGE HNO3-CONTAINING PARTICLES; COMPOSITION-CLIMATE MODEL; ACID TRIHYDRATE NAT; EARTH SYSTEM MODEL; DEEP-SEA SEDIMENTS; COSMIC DUST; ICE-CORE; ACCRETION RATE; INTERPLANETARY DUST; EXTRATERRESTRIAL HE-3</t>
  </si>
  <si>
    <t>The accumulation rate of meteoric smoke particles (MSPs) in ice cores-determined from the trace elements Ir and Pt, and superparamagnetic Fe particles-is significantly higher than expected from the measured vertical fluxes of Na and Fe atoms in the upper mesosphere and the surface deposition of cosmic spherules. The Whole Atmosphere Community Climate Model with the Community Aerosol and Radiation Model for Atmospheres has been used to simulate MSP production, transport, and deposition, using a global MSP input of 7.9 t d(-1) based on these other measurements. The modeled MSP deposition rates are smaller than the measurements by factors of similar to 32 in Greenland and similar to 12 in Antarctica, even after reanalysis of the Ir/Pt ice core data with inclusion of a volcanic source. Variations of the model deposition scheme and use of the United Kingdom Chemistry and Aerosols model do not improve the agreement. Direct removal of MSP-nucleated polar stratospheric cloud particles to the surface gives much better agreement, but would result in an unfeasibly high rate of nitrate deposition. The unablated fraction of cosmic dust (similar to 35 t d(-1)) would provide sufficient Ir and Pt to account for the Antarctic measurements, but the relatively small flux of these large (&gt; 3 mu m) particles would lead to greater variability in the ice core measurements than is observed, although this would be partly offset if significant fragmentation of cosmic dust particles occurred during atmospheric entry. Future directions to resolve these discrepancies between models and measurements are also discussed. Plain Language Summary About 40 t of space dust enters the atmosphere every day. Around 20% of the dust vaporizes during entry because the particles enter at speeds of over 40,000 kph. The resulting metal vapors (principally Fe, Mg, and Si) then oxidize and condense into tiny particles known as meteoric smoke, around 1 nm in radius. This study examines where the meteoric smoke is deposited at the Earth's surface. The smoke has been detected in polar ice cores, with a much higher deposition rate than expected from measurements in the upper atmosphere. A global circulation model was therefore used to analyze how the smoke is transported from around 80 km altitude and deposited in Greenland and Antarctica, mainly by snow. The model cannot satisfactorily account for either the absolute rate of deposition or the ratio of the deposition rates in the polar regions. A variety of explanations to account for this discrepancy are then explored, including a volcanic artifact in the ice cores, fragmentation of meteoroids, and a temporal change in the cosmic dust input.</t>
  </si>
  <si>
    <t>[Brooke, James S. A.; Feng, Wuhu; Carrillo-Sanchez, Juan Diego; James, Alexander D.; Plane, John M. C.] Univ Leeds, Sch Chem, Leeds, W Yorkshire, England; [Feng, Wuhu; Mann, Graham W.] Univ Leeds, Sch Earth &amp; Environm, Natl Ctr Atmospher Sci, Leeds, W Yorkshire, England; [Bardeen, Charles G.] Natl Ctr Atmospher Res, Atmospher Chem Observat &amp; Modeling Lab, POB 3000, Boulder, CO 80307 USA</t>
  </si>
  <si>
    <t>University of Leeds; University of Leeds; UK Research &amp; Innovation (UKRI); Natural Environment Research Council (NERC); NERC National Centre for Atmospheric Science; National Center Atmospheric Research (NCAR) - USA</t>
  </si>
  <si>
    <t>Plane, JMC (corresponding author), Univ Leeds, Sch Chem, Leeds, W Yorkshire, England.</t>
  </si>
  <si>
    <t>j.m.c.plane@leeds.ac.uk</t>
  </si>
  <si>
    <t>Brooke, James SA/H-6533-2013; FENG, WUHU/B-8327-2008; Plane, John/C-7444-2015; Mann, Graham/L-9529-2017</t>
  </si>
  <si>
    <t>FENG, WUHU/0000-0002-9907-9120; Plane, John/0000-0003-3648-6893; Carrillo Sanchez, Juan Diego/0000-0001-8230-4048; Mann, Graham/0000-0003-1746-2837</t>
  </si>
  <si>
    <t>European Research Council [291332-CODITA]; Natural Environment Research Council [ncas10005, ncas10009, ncas10008] Funding Source: researchfish; NERC [ncas10008, ncas10005] Funding Source: UKRI</t>
  </si>
  <si>
    <t>European Research Council(European Research Council (ERC)); Natural Environment Research Council(UK Research &amp; Innovation (UKRI)Natural Environment Research Council (NERC)); NERC(UK Research &amp; Innovation (UKRI)Natural Environment Research Council (NERC))</t>
  </si>
  <si>
    <t>This work was supported by the European Research Council (project 291332-CODITA). The MERRA-2 data sets used in this study were provided by the Global Modeling and Assimilation Office (GMAO) at NASA Goddard Space Flight Center. The WACCM data sets generated for this work have been archived at the Leeds University PetaByte Environmental Tape Archive and Library (PETAL; http://www.see.leeds.ac.uk/business-and-consultation/facilities/petabyte-environmental-tape-archive-and-library-petal/). The data and fits described in section 19, and the MOZART preprocessor input file, are included in the supporting information.</t>
  </si>
  <si>
    <t>2169-897X</t>
  </si>
  <si>
    <t>2169-8996</t>
  </si>
  <si>
    <t>J GEOPHYS RES-ATMOS</t>
  </si>
  <si>
    <t>J. Geophys. Res.-Atmos.</t>
  </si>
  <si>
    <t>OCT 27</t>
  </si>
  <si>
    <t>10.1002/2017JD027143</t>
  </si>
  <si>
    <t>Meteorology &amp; Atmospheric Sciences</t>
  </si>
  <si>
    <t>FO9GE</t>
  </si>
  <si>
    <t>Green Published</t>
  </si>
  <si>
    <t>WOS:000417195200032</t>
  </si>
  <si>
    <t>Wise, MG; Dowdeswell, JA; Jakobsson, M; Larter, RD</t>
  </si>
  <si>
    <t>Wise, Matthew G.; Dowdeswell, Julian A.; Jakobsson, Martin; Larter, Robert D.</t>
  </si>
  <si>
    <t>Evidence of marine ice-cliff instability in Pine Island Bay from iceberg-keel plough marks</t>
  </si>
  <si>
    <t>NATURE</t>
  </si>
  <si>
    <t>GROUNDING LINE RETREAT; SEA-LEVEL RISE; WEST ANTARCTICA; GEOLOGICAL RECORD; CALVING GLACIERS; OUTER SHELF; HOLOCENE; THWAITES; DISINTEGRATION; WIDESPREAD</t>
  </si>
  <si>
    <t>Marine ice-cliff instability (MICI) processes could accelerate future retreat of the Antarctic Ice Sheet if ice shelves that buttress grounding lines more than 800 metres below sea level are lost(1,2). The present-day grounding zones of the Pine Island and Thwaites glaciers in West Antarctica need to retreat only short distances before they reach extensive retrograde slopes(3,4). When grounding zones of glaciers retreat onto such slopes, theoretical considerations and modelling results indicate that the retreat becomes unstable (marine ice-sheet instability) and thus accelerates(5). It is thought(1,2) that MICI is triggered when this retreat produces ice cliffs above the water line with heights approaching about 90 metres. However, observational evidence confirming the action of MICI has not previously been reported. Here we present observational evidence that rapid deglacial ice-sheet retreat into Pine Island Bay proceeded in a similar manner to that simulated in a recent modelling study(1), driven by MICI. Iceberg-keel plough marks on the sea-floor provide geological evidence of past and present iceberg morphology, keel depth(6) and drift direction(7). From the planform shape and cross-sectional morphologies of iceberg-keel plough marks, we find that iceberg calving during the most recent deglaciation was not characterized by small numbers of large, tabular icebergs as is observed today(8,9), which would produce wide, flat-based plough marks(10) or toothcomb-like multi-keeled plough marks(11,12). Instead, it was characterized by large numbers of smaller icebergs with V-shaped keels. Geological evidence of the form and water-depth distribution of the plough marks indicates calving-margin thicknesses equivalent to the threshold that is predicted to trigger ice-cliff structural collapse as a result of MICI13. We infer rapid and sustained ice-sheet retreat driven by MICI, commencing around 12,300 years ago and terminating before about 11,200 years ago, which produced large numbers of icebergs smaller than the typical tabular icebergs produced today. Our findings demonstrate the effective operation of MICI in the past, and highlight its potential contribution to accelerated future retreat of the Antarctic Ice Sheet.</t>
  </si>
  <si>
    <t>[Wise, Matthew G.; Dowdeswell, Julian A.] Univ Cambridge, Scott Polar Res Inst, Lensfield Rd, Cambridge CB2 1ER, England; [Jakobsson, Martin] Stockholm Univ, Dept Geol Sci, S-10691 Stockholm, Sweden; [Jakobsson, Martin] Stockholm Univ, Bolin Ctr Climate Res, S-10691 Stockholm, Sweden; [Larter, Robert D.] British Antarctic Survey, NERC, Madingley Rd, Cambridge CB3 0ET, England</t>
  </si>
  <si>
    <t>University of Cambridge; Stockholm University; Stockholm University; UK Research &amp; Innovation (UKRI); Natural Environment Research Council (NERC); NERC British Antarctic Survey</t>
  </si>
  <si>
    <t>Wise, MG; Dowdeswell, JA (corresponding author), Univ Cambridge, Scott Polar Res Inst, Lensfield Rd, Cambridge CB2 1ER, England.</t>
  </si>
  <si>
    <t>mgw37@cam.ac.uk; jd16@cam.ac.uk</t>
  </si>
  <si>
    <t>Jakobsson, Martin/JAN-6828-2023; Jakobsson, Martin/F-6214-2010</t>
  </si>
  <si>
    <t>Jakobsson, Martin/0000-0002-9033-3559; Wise, Matt/0000-0002-6640-6885; Dowdeswell, Julian/0000-0003-1369-9482</t>
  </si>
  <si>
    <t>UK Natural Environment Research Council (NERC) [LCAG/247 RG72013]; UK NERC; Natural Environment Research Council [bas0100030, 1366310] Funding Source: researchfish; NERC [bas0100030] Funding Source: UKRI</t>
  </si>
  <si>
    <t>UK Natural Environment Research Council (NERC)(UK Research &amp; Innovation (UKRI)Natural Environment Research Council (NERC)); UK NERC(UK Research &amp; Innovation (UKRI)Natural Environment Research Council (NERC)); Natural Environment Research Council(UK Research &amp; Innovation (UKRI)Natural Environment Research Council (NERC)); NERC(UK Research &amp; Innovation (UKRI)Natural Environment Research Council (NERC))</t>
  </si>
  <si>
    <t>M.G.W. is funded by a UK Natural Environment Research Council (NERC) PhD studentship (LCAG/247 RG72013) held at the Scott Polar Research Institute, University of Cambridge. The OSO0910 expedition with Swedish icebreaker Oden was carried out as collaboration between the Swedish Polar Research Secretariat, the Swedish Research Council, and the US National Science Foundation (NSF). Part of the data shown in Extended Data Fig. 2 was collected on UK NERC-funded cruise JR179.</t>
  </si>
  <si>
    <t>NATURE PUBLISHING GROUP</t>
  </si>
  <si>
    <t>LONDON</t>
  </si>
  <si>
    <t>MACMILLAN BUILDING, 4 CRINAN ST, LONDON N1 9XW, ENGLAND</t>
  </si>
  <si>
    <t>0028-0836</t>
  </si>
  <si>
    <t>1476-4687</t>
  </si>
  <si>
    <t>Nature</t>
  </si>
  <si>
    <t>OCT 26</t>
  </si>
  <si>
    <t>+</t>
  </si>
  <si>
    <t>10.1038/nature24458</t>
  </si>
  <si>
    <t>Multidisciplinary Sciences</t>
  </si>
  <si>
    <t>Science &amp; Technology - Other Topics</t>
  </si>
  <si>
    <t>FK7OW</t>
  </si>
  <si>
    <t>Green Submitted, Green Accepted</t>
  </si>
  <si>
    <t>WOS:000413697800040</t>
  </si>
  <si>
    <t>Bang, YB; Kim, SH; Kim, Y</t>
  </si>
  <si>
    <t>Bang, Youbin; Kim, Seon-Ho; Kim, Yongho</t>
  </si>
  <si>
    <t>Direct dynamics calculations of multiple proton transfer through hydrogen-bonded wire and the role of micro-solvation in ClONO2 + H2O → HNO3 + HOCl reactions</t>
  </si>
  <si>
    <t>THEORETICAL CHEMISTRY ACCOUNTS</t>
  </si>
  <si>
    <t>Multiple proton transfer; Micro-solvation; C1ONO2 hydrolysis on ice; Hydrogen-bonded water wire; Variational transition state theory</t>
  </si>
  <si>
    <t>SMALL WATER CLUSTERS; ELECTRONIC-STRUCTURE METHODS; CHLORINE NITRATE HYDROLYSIS; SULFURIC-ACID-SOLUTIONS; NITRIC-ACID; HETEROGENEOUS REACTIONS; ICE SURFACES; ANTARCTIC STRATOSPHERE; OZONE HOLE; HCL</t>
  </si>
  <si>
    <t>The hydrolysis of C1ONO(2) on polar stratospheric ice has been considered as a major factor causing stratospheric ozone depletion. We have theoretically investigated the reaction dynamics of hydrolysis on ice surface and the role of micro- solvation. No theoretical studies have been performed for the micro-solvent effect of multiple proton transfer in the hydrolysis of C1ONO(2). Rate constants and tunneling coefficients were calculated using variational transition state theory including multidimensional tunneling. The dispersion corrected, spin-component scaled, double hybrid PBE functional with the P86 correlation that can reproduce the MP2/CBS +.CCSD(Q) result was used to generate potential energy surfaces. No more than three water molecules could form a cyclic hydrogen (H)-bonded chain to catalyze the reaction and the other is bound to the chain to act as a micro-solvent. The catalytic water reduced not only the barrier but also the tunneling effect significantly. The micro-solvent effect of lowering the barrier is smaller and depends on the position. The multiple proton transfer path through H-bonded chain, in some cases, varied with the position of micro-solvent, and consequently the H- bonded structure of HOCl- HNO3 cluster became completely different from the reactant and TS structures. The predicted rate constant was 0.671 at 193 K, and the Arrhenius activation energy was 8 kcal/mol. This rate constant was smaller by three orders of magnitude than that of ClONO2 + HCl on ice, which is consistent with the experimental observations that at low HCl concentration conditions - C1ONO(2) hydrolysis competes with C1ONO(2) + HCl reaction.</t>
  </si>
  <si>
    <t>[Bang, Youbin; Kim, Seon-Ho; Kim, Yongho] Kyung Hee Univ, Dept Appl Chem, 1732 Deogyeong Daero, Yongin 17104, Gyeonggi Do, South Korea</t>
  </si>
  <si>
    <t>Kyung Hee University</t>
  </si>
  <si>
    <t>Kim, Y (corresponding author), Kyung Hee Univ, Dept Appl Chem, 1732 Deogyeong Daero, Yongin 17104, Gyeonggi Do, South Korea.</t>
  </si>
  <si>
    <t>yhkim@khu.ac.kr</t>
  </si>
  <si>
    <t>Kyung Hee University [KHU-20130574]</t>
  </si>
  <si>
    <t>This research was supported by a research grant from Kyung Hee University in 2013 (KHU-20130574).</t>
  </si>
  <si>
    <t>SPRINGER</t>
  </si>
  <si>
    <t>NEW YORK</t>
  </si>
  <si>
    <t>233 SPRING ST, NEW YORK, NY 10013 USA</t>
  </si>
  <si>
    <t>1432-881X</t>
  </si>
  <si>
    <t>1432-2234</t>
  </si>
  <si>
    <t>THEOR CHEM ACC</t>
  </si>
  <si>
    <t>Theor. Chem. Acc.</t>
  </si>
  <si>
    <t>OCT 25</t>
  </si>
  <si>
    <t>10.1007/s00214-017-2163-2</t>
  </si>
  <si>
    <t>Chemistry, Physical</t>
  </si>
  <si>
    <t>Chemistry</t>
  </si>
  <si>
    <t>FK7QU</t>
  </si>
  <si>
    <t>WOS:000413703100001</t>
  </si>
  <si>
    <t>Meyer, HA; Tsaliki, M; Sorgee, B</t>
  </si>
  <si>
    <t>Meyer, Harry A.; Tsaliki, Martha; Sorgee, Brently</t>
  </si>
  <si>
    <t>New water bear records (Phylum Tardigrada) from South Carolina, southeastern USA, with the description of Echiniscus danieli sp nov (Heterotardigrada, Echiniscidae, bigranulatus group)</t>
  </si>
  <si>
    <t>PROCEEDINGS OF THE BIOLOGICAL SOCIETY OF WASHINGTON</t>
  </si>
  <si>
    <t>ANNOTATED ZOOGEOGRAPHY; AMERICA; TERRESTRIAL</t>
  </si>
  <si>
    <t>One hundred seventy-four water bear specimens and 16 eggs (Phylum Tardigrada) were collected from mosses and lichens in South Carolina, representing eight genera and 12 species. Some species could only be identified to species group. Nine species or species groups were new records for South Carolina and two were new for the United States. Echiniscus danieli sp. nov. is described from moss and lichen collected from trees on the campus of the University of South Carolina, Columbia, South Carolina, southeastern U.S.A. The species belongs to the Echiniscus bigranulatus group; its dorsal plate cuticle structure consists of true pores, pillars, and granulation. It differs from other species in the group in lacking basal spurs on any of its claws and in the weak development of dentate collars on the fourth legs (i.e., dentate collar absent, or present with few or no teeth). The bigranulatus group has been considered Neotropical and Antarctic in distribution. The presence of Echiniscus danieli sp. nov. in Nearctic North America therefore expands its confirmed geographical range.</t>
  </si>
  <si>
    <t>[Meyer, Harry A.; Tsaliki, Martha; Sorgee, Brently] McNeese State Univ, Dept Biol, Lake Charles, LA 70605 USA</t>
  </si>
  <si>
    <t>University of Louisiana System; McNeese State University</t>
  </si>
  <si>
    <t>Meyer, HA (corresponding author), McNeese State Univ, Dept Biol, Lake Charles, LA 70605 USA.</t>
  </si>
  <si>
    <t>hmeyer@mcneese.edu</t>
  </si>
  <si>
    <t>BIOL SOC WASHINGTON</t>
  </si>
  <si>
    <t>NAT MUSEUM NAT HIST SMITHSONIAN INST, WASHINGTON, DC 20560 USA</t>
  </si>
  <si>
    <t>0006-324X</t>
  </si>
  <si>
    <t>1943-6327</t>
  </si>
  <si>
    <t>P BIOL SOC WASH</t>
  </si>
  <si>
    <t>Proc. Biol. Soc. Wash.</t>
  </si>
  <si>
    <t>OCT 24</t>
  </si>
  <si>
    <t>10.2988/16-00009</t>
  </si>
  <si>
    <t>Biology</t>
  </si>
  <si>
    <t>Life Sciences &amp; Biomedicine - Other Topics</t>
  </si>
  <si>
    <t>FK5MR</t>
  </si>
  <si>
    <t>WOS:000413543800001</t>
  </si>
  <si>
    <t>Johnson, KM; Hofmann, GE</t>
  </si>
  <si>
    <t>Johnson, Kevin M.; Hofmann, Gretchen E.</t>
  </si>
  <si>
    <t>Transcriptomic response of the Antarctic pteropod Limacina helicina antarctica to ocean acidification</t>
  </si>
  <si>
    <t>BMC GENOMICS</t>
  </si>
  <si>
    <t>Limacina helicina antarctica; Pteropod; Ocean acidification; Ross Sea; pH; Southern Ocean; RNAseq; Gene expression</t>
  </si>
  <si>
    <t>SHELL DISSOLUTION OCCURS; ET-AL VULNERABILITY; ORGANIC LAYER; BIOMINERALIZATION; EXPRESSION; STRESS; GENES; DEGRADATION; PROTEINS; GENOMICS</t>
  </si>
  <si>
    <t>Background: Ocean acidification (OA), a change in ocean chemistry due to the absorption of atmospheric CO2 into surface oceans, challenges biogenic calcification in many marine organisms. Ocean acidification is expected to rapidly progress in polar seas, with regions of the Southern Ocean expected to experience severe OA within decades. Biologically, the consequences of OA challenge calcification processes and impose an energetic cost. Results: In order to better characterize the response of a polar calcifier to conditions of OA, we assessed differential gene expression in the Antarctic pteropod, Limacina helicina antarctica. Experimental levels of pCO(2) were chosen to create both contemporary pH conditions, and to mimic future pH expected in OA scenarios. Significant changes in the transcriptome were observed when juvenile L.h. antarctica were acclimated for 21 days to low-pH (7.71), mid-pH (7.9) or high-pH (8.13) conditions. Differential gene expression analysis of individuals maintained in the low-pH treatment identified down-regulation of genes involved in cytoskeletal structure, lipid transport, and metabolism. High pH exposure led to increased expression and enrichment for genes involved in shell formation, calcium ion binding, and DNA binding. Significant differential gene expression was observed in four major cellular and physiological processes: shell formation, the cellular stress response, metabolism, and neural function. Across these functional groups, exposure to conditions that mimic ocean acidification led to rapid suppression of gene expression. Conclusions: Results of this study demonstrated that the transcriptome of the juvenile pteropod, L.h. antarctica, was dynamic and changed in response to different levels of pCO(2). In a global change context, exposure of L.h. antarctica to the low pH, high pCO(2) OA conditions resulted in a suppression of transcripts for genes involved in key physiological processes: calcification, metabolism, and the cellular stress response. The transcriptomic response at both acute and longer-term acclimation time frames indicated that contemporary L.h. antarctica may not have the physiological plasticity necessary for adaptation to OA conditions expected in future decades. Lastly, the differential gene expression results further support the role of shelled pteropods such as L.h. antarctica as sentinel organisms for the impacts of ocean acidification.</t>
  </si>
  <si>
    <t>[Johnson, Kevin M.; Hofmann, Gretchen E.] Univ Calif Santa Barbara, Dept Ecol Evolut &amp; Marine Biol, Santa Barbara, CA 93106 USA; [Johnson, Kevin M.] Louisiana State Univ, Dept Biol Sci, Baton Rouge, LA 70803 USA</t>
  </si>
  <si>
    <t>University of California System; University of California Santa Barbara; Louisiana State University System; Louisiana State University</t>
  </si>
  <si>
    <t>Hofmann, GE (corresponding author), Univ Calif Santa Barbara, Dept Ecol Evolut &amp; Marine Biol, Santa Barbara, CA 93106 USA.</t>
  </si>
  <si>
    <t>gretchen.hofmann@lifesci.ucsb.edu</t>
  </si>
  <si>
    <t>Marquez Johnson, Kevin/Q-1310-2018</t>
  </si>
  <si>
    <t>Marquez Johnson, Kevin/0000-0003-3278-3508</t>
  </si>
  <si>
    <t>U.S. National Science Foundation (NSF) through the U.S. Antarctic Program [PLR-1246202]; U.S. NSF Graduate Research Fellowship [1650114]; NIH Shared Instrumentation Grant [1S10OD010786-01]; Center for Scientific Computing at the Center for Nano Systems Institute at UC Santa Barbara under NSF [CNS-0960316]; Directorate For Geosciences [1246202] Funding Source: National Science Foundation; Office of Polar Programs (OPP) [1246202] Funding Source: National Science Foundation</t>
  </si>
  <si>
    <t>U.S. National Science Foundation (NSF) through the U.S. Antarctic Program(National Science Foundation (NSF)); U.S. NSF Graduate Research Fellowship(National Science Foundation (NSF)); NIH Shared Instrumentation Grant(United States Department of Health &amp; Human ServicesNational Institutes of Health (NIH) - USA); Center for Scientific Computing at the Center for Nano Systems Institute at UC Santa Barbara under NSF(National Science Foundation (NSF)); Directorate For Geosciences(National Science Foundation (NSF)NSF - Directorate for Geosciences (GEO)); Office of Polar Programs (OPP)(National Science Foundation (NSF)NSF - Directorate for Geosciences (GEO))</t>
  </si>
  <si>
    <t>This research was supported by a grant from the U.S. National Science Foundation (NSF) through the U.S. Antarctic Program (PLR-1246202) to GEH. During the course of this project, KMJ was supported by a U.S. NSF Graduate Research Fellowship under grant no. 1650114. Specimens were collected in compliance with U.S. regulations that govern collection of Antarctic organisms: the Antarctic Conservation Act of 1978 (Public Law 95-541), and the Antarctic Marine Living Resources Convention Act of 1984 (Public Law 98-623). The sequencing was carried out at the DNA Technologies and Expression Analysis Cores at the UC Davis Genome Center, supported by NIH Shared Instrumentation Grant 1S10OD010786-01. We acknowledge support from the Center for Scientific Computing at the Center for Nano Systems Institute at UC Santa Barbara under NSF award CNS-0960316.</t>
  </si>
  <si>
    <t>BMC</t>
  </si>
  <si>
    <t>CAMPUS, 4 CRINAN ST, LONDON N1 9XW, ENGLAND</t>
  </si>
  <si>
    <t>1471-2164</t>
  </si>
  <si>
    <t>BMC Genomics</t>
  </si>
  <si>
    <t>OCT 23</t>
  </si>
  <si>
    <t>10.1186/s12864-017-4161-0</t>
  </si>
  <si>
    <t>Biotechnology &amp; Applied Microbiology; Genetics &amp; Heredity</t>
  </si>
  <si>
    <t>FK4MG</t>
  </si>
  <si>
    <t>gold, Green Published</t>
  </si>
  <si>
    <t>WOS:000413467900006</t>
  </si>
  <si>
    <t>Bagheri, S; TermehYousefi, A; Do, TO</t>
  </si>
  <si>
    <t>Bagheri, Samira; TermehYousefi, Amin; Do, Trong-On</t>
  </si>
  <si>
    <t>Photocatalytic pathway toward degradation of environmental pharmaceutical pollutants: structure, kinetics and mechanism approach</t>
  </si>
  <si>
    <t>CATALYSIS SCIENCE &amp; TECHNOLOGY</t>
  </si>
  <si>
    <t>Review</t>
  </si>
  <si>
    <t>OPERATIONAL PARAMETERS OPTIMIZATION; GEL SYNTHESIZED NANOCRYSTALLINE; GRAPHITIC CARBON NITRIDE; NONSTEROIDAL ANTIINFLAMMATORY DRUGS; ENDOCRINE DISRUPTING COMPOUNDS; ADVANCED OXIDATION PROCESSES; WATER-TREATMENT TECHNOLOGY; METAL-FREE ACTIVATION; WASTE-WATER; TITANIUM-DIOXIDE</t>
  </si>
  <si>
    <t>During the last few years, the presence of pharmaceuticals in the aquatic environment, classified as so-called emerging contaminants, has attracted attention from the scientific community. Based on uptake mechanism and route administration of pharmaceuticals, they are expelled as a mixture of metabolites, neutral substance, or conjugated complex with an inactivating compound attached to the molecule. After usage, the expelled by-products are usually only partially metabolized and end up in the wastewater treatment plants. Large amounts of these substances are not destroyed by traditional sewage and wastewater treatment plants, thus eventually getting released into the environment. Their environmental existence has gained attention worldwide owing to related abnormal physiological processes in species reproduction, spurt incidences of cancer, enhancement of antibiotic-resistant bacteria and potential increment of hazardous chemical mixtures. Pharmaceutical pollution in the environment exists as a major issue for humans as well as the environment. These types of pollutants have been discovered in areas of low human population, such as the Antarctic. Although their influence, on both human health and the environment, is barely discernible, behavioral and physiological effects have already been detected in a number of species. In addition, there are several verified unfavorable impacts on human health such as presence of endocrine disruptors in low concentrations in the environment. Environmental pollution by pharmaceutical waste needs to be controlled through the quality use of medicines and quality sewage treatment. Through appropriate use of pharmaceuticals and suitable sewage systems, the environmental impact of pharmaceuticals may be reduced, without affecting the health danger gained through the intake of these medicines. Therefore, photocatalytic degradation of pharmaceutical pollution is a suitable method that should be reviewed and studied.</t>
  </si>
  <si>
    <t>[Bagheri, Samira; TermehYousefi, Amin; Do, Trong-On] Laval Univ, Dept Chem Engn, Quebec City, PQ G1V 0A8, Canada</t>
  </si>
  <si>
    <t>Laval University</t>
  </si>
  <si>
    <t>Do, TO (corresponding author), Laval Univ, Dept Chem Engn, Quebec City, PQ G1V 0A8, Canada.</t>
  </si>
  <si>
    <t>Trong-On.Do@gch.ulaval.ca</t>
  </si>
  <si>
    <t>bagheri, samira/J-6236-2015</t>
  </si>
  <si>
    <t>bagheri, samira/0000-0003-1130-2656</t>
  </si>
  <si>
    <t>Natural Science and Engineering Research Council of Canada (NSERC); EXP Inc.; SiliCycle Inc.</t>
  </si>
  <si>
    <t>Natural Science and Engineering Research Council of Canada (NSERC)(Natural Sciences and Engineering Research Council of Canada (NSERC)); EXP Inc.; SiliCycle Inc.</t>
  </si>
  <si>
    <t>This work was supported by the Natural Science and Engineering Research Council of Canada (NSERC) through the Strategic Project (SP) and Discovery Grants. The author would like to thank EXP Inc. and SiliCycle Inc. for their support.</t>
  </si>
  <si>
    <t>ROYAL SOC CHEMISTRY</t>
  </si>
  <si>
    <t>CAMBRIDGE</t>
  </si>
  <si>
    <t>THOMAS GRAHAM HOUSE, SCIENCE PARK, MILTON RD, CAMBRIDGE CB4 0WF, CAMBS, ENGLAND</t>
  </si>
  <si>
    <t>2044-4753</t>
  </si>
  <si>
    <t>2044-4761</t>
  </si>
  <si>
    <t>CATAL SCI TECHNOL</t>
  </si>
  <si>
    <t>Catal. Sci. Technol.</t>
  </si>
  <si>
    <t>OCT 21</t>
  </si>
  <si>
    <t>10.1039/c7cy00468k</t>
  </si>
  <si>
    <t>FK0TK</t>
  </si>
  <si>
    <t>WOS:000413192900001</t>
  </si>
  <si>
    <t>Schlosser, E; Dittmann, A; Stenni, B; Powers, JG; Manning, KW; Masson-Delmotte, V; Valt, M; Cagnati, A; Grigioni, P; Scarchilli, C</t>
  </si>
  <si>
    <t>Schlosser, Elisabeth; Dittmann, Anna; Stenni, Barbara; Powers, Jordan G.; Manning, Kevin W.; Masson-Delmotte, Valerie; Valt, Mauro; Cagnati, Anselmo; Grigioni, Paolo; Scarchilli, Claudio</t>
  </si>
  <si>
    <t>The influence of the synoptic regime on stable water isotopes in precipitation at Dome C, East Antarctica</t>
  </si>
  <si>
    <t>CRYOSPHERE</t>
  </si>
  <si>
    <t>DRONNING MAUD LAND; POLAR WEATHER RESEARCH; SURFACE SNOW; DEUTERIUM EXCESS; WEST ANTARCTICA; ACCUMULATION; VAPOR; TEMPERATURE; PREDICTION; STATION</t>
  </si>
  <si>
    <t>The correct derivation of paleotemperatures from ice cores requires exact knowledge of all processes involved before and after the deposition of snow and the subsequent formation of ice. At the Antarctic deep ice core drilling site Dome C, a unique data set of daily precipitation amount, type, and stable water isotope ratios is available that enables us to study in detail atmospheric processes that influence the stable water isotope ratio of precipitation. Meteorological data from both automatic weather station and a mesoscale atmospheric model were used to investigate how different atmospheric flow patterns determine the precipitation parameters. A classification of synoptic situations that cause precipitation at Dome C was established and, together with back-trajectory calculations, was utilized to estimate moisture source areas. With the resulting source area conditions (wind speed, sea surface temperature, and relative humidity) as input, the precipitation stable isotopic composition was modeled using the so-called Mixed Cloud Isotope Model (MCIM). The model generally underestimates the depletion of O-18 in precipitation, which was not improved by using condensation temperature rather than inversion temperature. Contrary to the assumption widely used in ice core studies, a more northern moisture source does not necessarily mean stronger isotopic fractionation. This is due to the fact that snowfall events at Dome C are often associated with warm air advection due to amplification of planetary waves, which considerably increases the site temperature and thus reduces the temperature difference between source area and deposition site. In addition, no correlation was found between relative humidity at the moisture source and the deuterium excess in precipitation. The significant difference in the isotopic signal of hoarfrost and diamond dust was shown to disappear after removal of seasonality. This study confirms the results of an earlier study carried out at Dome Fuji with a shorter data set using the same methods.</t>
  </si>
  <si>
    <t>[Schlosser, Elisabeth; Dittmann, Anna] Univ Innsbruck, Inst Atmospher &amp; Cryospher Sci, Innsbruck, Austria; [Schlosser, Elisabeth] Austrian Polar Res Inst, Vienna, Austria; [Stenni, Barbara] Ca Foscari Univ Venice, Dept Environm Sci Informat &amp; Stat, Venice, Italy; [Powers, Jordan G.; Manning, Kevin W.] Natl Ctr Atmospher Res, POB 3000, Boulder, CO 80307 USA; [Masson-Delmotte, Valerie] Lab Sci Climate &amp; Environm, Gif Sur Yvette, France; [Valt, Mauro; Cagnati, Anselmo] ARPA Ctr Avalanches, Arabba, Italy; [Grigioni, Paolo; Scarchilli, Claudio] ENEA, Lab Observat &amp; Anal Earth &amp; Climate, Rome, Italy</t>
  </si>
  <si>
    <t>University of Innsbruck; Universita Ca Foscari Venezia; National Center Atmospheric Research (NCAR) - USA; CEA; Centre National de la Recherche Scientifique (CNRS); Universite Paris Saclay; Regional Environmental Protection Agency - Italy; Italian National Agency New Technical Energy &amp; Sustainable Economics Development</t>
  </si>
  <si>
    <t>Schlosser, E (corresponding author), Univ Innsbruck, Inst Atmospher &amp; Cryospher Sci, Innsbruck, Austria.;Schlosser, E (corresponding author), Austrian Polar Res Inst, Vienna, Austria.</t>
  </si>
  <si>
    <t>elisabeth.schlosser@uibk.ac.at</t>
  </si>
  <si>
    <t>Grigioni, paolo/AAH-5193-2020; Masson-Delmotte, Valerie L/G-1995-2011</t>
  </si>
  <si>
    <t>Masson-Delmotte, Valerie L/0000-0001-8296-381X; Stenni, Barbara/0000-0003-4950-3664; Scarchilli, Claudio/0000-0002-2414-2439</t>
  </si>
  <si>
    <t>Austrian Science Funds (FWF) [P24223, P28695]; US National Science Foundation, Division of Polar Programs; Dome C II data set (NSF) [ANT-0944018, ANT-12456663]; University of Wisconsin-Madison Automatic Weather Station Program; Austrian Science Fund (FWF) [P24223, P28695] Funding Source: Austrian Science Fund (FWF)</t>
  </si>
  <si>
    <t>Austrian Science Funds (FWF)(Austrian Science Fund (FWF)); US National Science Foundation, Division of Polar Programs(National Science Foundation (NSF)); Dome C II data set (NSF); University of Wisconsin-Madison Automatic Weather Station Program; Austrian Science Fund (FWF)(Austrian Science Fund (FWF))</t>
  </si>
  <si>
    <t>This study was funded by the Austrian Science Funds (FWF) under grants P24223 and P28695. AMPS is supported by the US National Science Foundation, Division of Polar Programs. The precipitation measurements at Dome C have been carried out in the framework of the Concordia station and ESF PolarCLIMATE HOLOCLIP projects. We appreciate the support of the University of Wisconsin-Madison Automatic Weather Station Program with the Dome C II data set (NSF grant numbers ANT-0944018 and ANT-12456663). Radiosonde data and information were obtained from IPEV/PNRA Project Routine Meteorological Observation at Station Concordia (www.climantartide.it). We would like to express our gratitude to all winterers at Dome C, who were involved in the precipitation sampling.</t>
  </si>
  <si>
    <t>COPERNICUS GESELLSCHAFT MBH</t>
  </si>
  <si>
    <t>GOTTINGEN</t>
  </si>
  <si>
    <t>BAHNHOFSALLEE 1E, GOTTINGEN, 37081, GERMANY</t>
  </si>
  <si>
    <t>1994-0416</t>
  </si>
  <si>
    <t>1994-0424</t>
  </si>
  <si>
    <t>Cryosphere</t>
  </si>
  <si>
    <t>OCT 20</t>
  </si>
  <si>
    <t>10.5194/tc-11-2345-2017</t>
  </si>
  <si>
    <t>Geography, Physical; Geosciences, Multidisciplinary</t>
  </si>
  <si>
    <t>Physical Geography; Geology</t>
  </si>
  <si>
    <t>FK2KB</t>
  </si>
  <si>
    <t>Green Submitted, gold</t>
  </si>
  <si>
    <t>WOS:000413310000001</t>
  </si>
  <si>
    <t>Abbott, BP; Abbott, R; Abbott, TD; Acernese, F; Ackley, K; Adams, C; Adams, T; Addesso, P; Adhikari, RX; Adya, VB; Affeldt, C; Afrough, M; Agarwal, B; Agathos, M; Agatsuma, K; Aggarwal, N; Aguiar, OD; Aiello, L; Ain, A; Ajith, P; Allen, B; Allen, G; Allocca, A; Altin, PA; Amato, A; Ananyeva, A; Anderson, SB; Anderson, WG; Angelova, SV; Antier, S; Appert, S; Arai, K; Araya, MC; Areeda, JS; Arnaud, N; Arun, KG; Ascenzi, S; Ashton, G; Ast, M; Aston, SM; Astone, P; Atallah, DV; Aufmuth, P; Aulbert, C; AultONeal, K; Austin, C; Avila-Alvarez, A; Babak, S; Bacon, P; Bader, MKM; Bae, S; Baker, PT; Baldaccini, F; Ballardin, G; Ballmer, SW; Banagiri, S; Barayoga, JC; Barclay, SE; Barish, BC; Barker, D; Barkett, K; Barone, F; Barr, B; Barsotti, L; Barsuglia, M; Barta, D; Barthelmy, SD; Bartlett, J; Bartos, I; Bassiri, R; Basti, A; Batch, JC; Bawaj, M; Bayley, JC; Bazzan, M; Becsy, B; Beer, C; Bejger, M; Belahcene, I; Bell, AS; Berger, BK; Bergmann, G; Bero, JJ; Berry, CPL; Bersanetti, D; Bertolini, A; Betzwieser, J; Bhagwat, S; Bhandare, R; Bilenko, IA; Billingsley, G; Billman, CR; Birch, J; Birney, R; Birnholtz, O; Biscans, S; Biscoveanu, S; Bisht, A; Bitossi, M; Biwer, C; Bizouard, MA; Blackburn, JK; Blackman, J; Blair, CD; Blair, DG; Blair, RM; Bloemen, S; Bock, O; Bode, N; Boer, M; Bogaert, G; Bohe, A; Bondu, F; Bonilla, E; Bonnand, R; Boom, BA; Bork, R; Boschi, V; Bose, S; Bossie, K; Bouffanais, Y; Bozzi, A; Bradaschia, C; Brady, PR; Branchesi, M; Brau, JE; Briant, T; Brillet, A; Brinkmann, M; Brisson, V; Brockill, P; Broida, JE; Brooks, AF; Brown, DA; Brown, DD; Brunett, S; Buchanan, CC; Buikema, A; Bulik, T; Bulten, HJ; Buonanno, A; Buskulic, D; Buy, C; Byer, RL; Cabero, M; Cadonati, L; Cagnoli, G; Cahillane, C; Bustillo, JC; Callister, TA; Calloni, E; Camp, JB; Canepa, M; Canizares, P; Cannon, KC; Cao, H; Cao, J; Capano, CD; Capocasa, E; Carbognani, F; Caride, S; Carney, MF; Diaz, JC; Casentini, C; Caudill, S; Cavagli, M; Cavalier, F; Cavalieri, R; Cella, G; Cepeda, CB; Cerd-Durn, P; Cerretani, G; Cesarini, E; Chamberlin, SJ; Chan, M; Chao, S; Charlton, P; Chase, E; Chassande-Mottin, E; Chatterjee, D; Chatziioannou, K; Cheeseboro, BD; Chen, HY; Chen, X; Chen, Y; Cheng, HP; Chia, H; Chincarini, A; Chiummo, A; Chmiel, T; Cho, HS; Cho, M; Chow, JH; Christensen, N; Chu, Q; Chua, AJK; Chua, S; Chung, AKW; Chung, S; Ciani, G; Ciolfi, R; Cirelli, CE; Cirone, A; Clara, F; Clark, JA; Clearwater, P; Cleva, F; Cocchieri, C; Coccia, E; Cohadon, PF; Cohen, D; Colla, A; Collette, CG; Cominsky, LR; Constancio, M; Conti, L; Cooper, SJ; Corban, P; Corbitt, TR; Cordero-Carrion, I; Corley, KR; Cornish, N; Corsi, A; Cortese, S; Costa, CA; Coughlin, MW; Coughlin, SB; Coulon, JP; Countryman, ST; Couvares, P; Covas, PB; Cowan, EE; Coward, DM; Cowart, MJ; Coyne, DC; Coyne, R; Creighton, JDE; Creighton, TD; Cripe, J; Crowder, SG; Cullen, TJ; Cumming, A; Cunningham, L; Cuoco, E; Dal Canton, T; Dlya, G; Danilishin, SL; D'Antonio, S; Danzmann, K; Dasgupta, A; Costa, CFDS; Dattilo, V; Dave, I; Davier, M; Davis, D; Daw, EJ; Day, B; De, S; Debra, D; Degallaix, J; De Laurentis, M; Deleglise, S; Del Pozzo, W; Demos, N; Denker, T; Dent, T; De Pietri, R; Dergachev, V; De Rosa, R; DeRosa, RT; De Rossi, C; DeSalvo, R; De Varona, O; Devenson, J; Dhurandhar, S; Díaz, MC; Di Fiore, L; Di Giovanni, M; Di Girolamo, T; Di Lieto, A; Di Pace, S; Di Palma, I; Di Renzo, F; Doctor, Z; Dolique, V; Donovan, F; Dooley, KL; Doravari, S; Dorrington, I; Douglas, R; Alvarez, MD; Downes, TP; Drago, M; Dreissigacker, C; Driggers, JC; Du, Z; Ducrot, M; Dupej, P; Dwyer, SE; Edo, TB; Edwards, MC; Effler, A; Eggenstein, HB; Ehrens, P; Eichholz, J; Eikenberry, SS; Eisenstein, RA; Essick, RC; Estevez, D; Etienne, ZB; Etzel, T; Evans, M; Evans, TM; Factourovich, M; Fafone, V; Fair, H; Fairhurst, S; Fan, X; Farinon, S; Farr, B; Farr, WM; Fauchon-Jones, EJ; Favata, M; Fays, M; Fee, C; Fehrmann, H; Feicht, J; Fejer, MM; Fernandez-Galiana, A; Ferrante, I; Ferreira, EC; Ferrini, F; Fidecaro, F; Finstad, D; Fiori, I; Fiorucci, D; Fishbach, M; Fisher, RP; Fitz-Axen, M; Flaminio, R; Fletcher, M; Fong, H; Font, JA; Forsyth, PWF; Forsyth, SS; Fournier, JD; Frasca, S; Frasconi, F; Frei, Z; Freise, A; Frey, R; Frey, V; Fries, EM; Fritschel, P; Frolov, VV; Fulda, P; Fyffe, M; Gabbard, H; Gadre, BU; Gaebel, SM; Gair, JR; Gammaitoni, L; Ganija, MR; Gaonkar, SG; Garcia-Quiros, C; Garufi, F; Gateley, B; Gaudio, S; Gaur, G; Gayathri, V; Gehrels, N; Gemme, G; Genin, E; Gennai, A; George, D; George, J; Gergely, L; Germain, V; Ghonge, S; Ghosh, A; Ghosh, A; Ghosh, S; Giaime, JA; Giardina, KD; Giazotto, A; Gill, K; Glover, L; Goetz, E; Goetz, R; Gomes, S; Goncharov, B; Gonzlez, G; Castro, JMG; Gopakumar, A; Gorodetsky, ML; Gossan, SE; Gosselin, M; Gouaty, R; Grado, A; Graef, C; Granata, M; Grant, A; Gras, S; Gray, C; Greco, G; Green, AC; Gretarsson, EM; Griswold, B; Groot, P; Grote, H; Grunewald, S; Gruning, P; Guidi, GM; Guo, X; Gupta, A; Gupta, MK; Gushwa, KE; Gustafson, EK; Gustafson, R; Halim, O; Hall, BR; Hall, ED; Hamilton, EZ; Hammond, G; Haney, M; Hanke, MM; Hanks, J; Hanna, C; Hannam, MD; Hannuksela, OA; Hanson, J; Hardwick, T; Harms, J; Harry, GM; Harry, IW; Hart, MJ; Haster, CJ; Haughian, K; Healy, J; Heidmann, A; Heintze, MC; Heitmann, H; Hello, P; Hemming, G; Hendry, M; Heng, IS; Hennig, J; Heptonstall, AW; Heurs, M; Hild, S; Hinderer, T; Hoak, D; Hofman, D; Holt, K; Holz, DE; Hopkins, P; Horst, C; Hough, J; Houston, EA; Howell, EJ; Hreibi, A; Hu, YM; Huerta, EA; Huet, D; Hughey, B; Husa, S; Huttner, SH; Huynh-Dinh, T; Indik, N; Inta, R; Intini, G; Isa, HN; Isac, JM; Isi, M; Iyer, BR; Izumi, K; Jacqmin, T; Jani, K; Jaranowski, P; Jawahar, S; Jimenez-Forteza, F; Johnson, WW; Jones, DI; Jones, R; Jonker, RJG; Ju, L; Junker, J; Kalaghatgi, CV; Kalogera, V; Kamai, B; Kandhasamy, S; Kang, G; Kanner, JB; Kapadia, SJ; Karki, S; Karvinen, KS; Kasprzack, M; Katolik, M; Katsavounidis, E; Katzman, W; Kaufer, S; Kawabe, K; Kefelian, F; Keitel, D; Kemball, AJ; Kennedy, R; Kent, C; Key, JS; Khalili, FY; Khan, I; Khan, S; Khan, Z; Khazanov, EA; Kijbunchoo, N; Kim, C; Kim, JC; Kim, K; Kim, W; Kim, WS; Kim, YM; Kimbrell, SJ; King, EJ; King, PJ; Kinley-Hanlon, M; Kirchhoff, R; Kissel, JS; Kleybolte, L; Klimenko, S; Knowles, TD; Koch, P; Koehlenbeck, SM; Koley, S; Kondrashov, V; Kontos, A; Korobko, M; Korth, WZ; Kowalska, I; Kozak, DB; Krmer, C; Kringel, V; Krishnan, B; Krlak, A; Kuehn, G; Kumar, P; Kumar, R; Kumar, S; Kuo, L; Kutynia, A; Kwang, S; Lackey, BD; Lai, KH; Landry, M; Lang, RN; Lange, J; Lantz, B; Lanza, RK; Larson, SL; Lartaux-Vollard, A; Lasky, PD; Laxen, M; Lazzarini, A; Lazzaro, C; Leaci, P; Leavey, S; Lee, CH; Lee, HK; Lee, HM; Lee, HW; Lee, K; Lehmann, J; Lenon, A; Leonardi, M; Leroy, N; Letendre, N; Levin, Y; Li, TGF; Linker, SD; Littenberg, TB; Liu, J; Lo, RKL; Lockerbie, NA; London, LT; Lord, JE; Lorenzini, M; Loriette, V; Lormand, M; Losurdo, G; Lough, JD; Lousto, CO; Lovelace, G; Lck, H; Lumaca, D; Lundgren, AP; Lynch, R; Ma, Y; Macas, R; Macfoy, S; Machenschalk, B; MacInnis, M; Macleod, DM; Hernandez, IM; Magaa-Sandoval, F; Zertuche, LM; Magee, RM; Majorana, E; Maksimovic, I; Man, N; Mandic, V; Mangano, V; Mansell, GL; Manske, M; Mantovani, M; Marchesoni, F; Marion, F; Mrka, S; Mrka, Z; Markakis, C; Markosyan, AS; Markowitz, A; Maros, E; Marquina, A; Marsh, P; Martelli, F; Martellini, L; Martin, IW; Martin, RM; Martynov, DV; Mason, K; Massera, E; Masserot, A; Massinger, TJ; Masso-Reid, M; Mastrogiovanni, S; Matas, A; Matichard, F; Matone, L; Mavalvala, N; Mazumder, N; McCarthy, R; McClelland, DE; McCormick, S; McCuller, L; McGuire, SC; McIntyre, G; McIver, J; McManus, DJ; McNeill, L; Mcrae, T; McWilliams, ST; Meacher, D; Meadors, GD; Mehmet, M; Meidam, J; Mejuto-Villa, E; Melatos, A; Mendell, G; Mercer, RA; Merilh, EL; Merzougui, M; Meshkov, S; Messenger, C; Messick, C; Metzdorff, R; Meyers, PM; Miao, H; Michel, C; Middleton, H; Mikhailov, EE; Milano, L; Müller, AL; Müller, BB; Miller, J; Millhouse, M; Milovich-Goff, MC; Minazzoli, O; Minenkov, Y; Ming, J; Mishra, C; Mitra, S; Mitrofanov, VP; Mitselmakher, G; Mittleman, R; Moffa, D; Moggi, A; Mogushi, K; Mohan, M; Mohapatra, SRP; Montani, M; Moore, CJ; Moraru, D; Moreno, G; Morriss, SR; Mours, B; Mow-Lowry, CM; Mueller, G; Muir, AW; Mukherjee, A; Mukherjee, D; Mukherjee, S; Mukund, N; Mullavey, A; Munch, J; Muiz, EA; Muratore, M; Murray, PG; Napier, K; Nardecchia, I; Naticchioni, L; Nayak, RK; Neilson, J; Nelemans, G; Nelson, TJN; Nery, M; Neunzert, A; Nevin, L; Newport, JM; Newton, G; Ng, KKY; Nguyen, P; Nguyen, TT; Nichols, D; Nielsen, AB; Nissanke, S; Nitz, A; Noack, A; Nocera, F; Nolting, D; North, C; Nuttall, LK; Oberling, J; O'Dea, GD; Ogin, GH; Oh, JJ; Oh, SH; Ohme, F; Okada, MA; Oliver, M; Oppermann, P; Oram, RJ; O'Reilly, B; Ormiston, R; Ortega, LF; O'Shaughnessy, R; Ossokine, S; Ottaway, DJ; Overmier, H; Owen, BJ; Pace, AE; Page, J; Page, MA; Pai, A; Pai, SA; Palamos, JR; Palashov, O; Palomba, C; Pal-Singh, A; Pan, H; Pan, HW; Pang, B; Pang, PTH; Pankow, C; Pannarale, F; Pant, BC; Paoletti, F; Paoli, A; Papa, MA; Parida, A; Parker, W; Pascucci, D; Pasqualetti, A; Passaquieti, R; Passuello, D; Patil, M; Patricelli, B; Pearlstone, BL; Pedraza, M; Pedurand, R; Pekowsky, L; Pele, A; Penn, S; Perez, CJ; Perreca, A; Perri, LM; Pfeiffer, HP; Phelps, M; Piccinni, OJ; Pichot, M; Piergiovanni, F; Pierro, V; Pillant, G; Pinard, L; Pinto, IM; Pirello, M; Pitkin, M; Poe, M; Poggiani, R; Popolizio, P; Porter, EK; Post, A; Powell, J; Prasad, J; Pratt, JWW; Pratten, G; Predoi, V; Prestegard, T; Price, LR; Prijatelj, M; Principe, M; Privitera, S; Prodi, GA; Prokhorov, LG; Puncken, O; Punturo, M; Puppo, P; Prrer, M; Qi, H; Quetschke, V; Quintero, EA; Quitzow-James, R; Raab, FJ; Rabeling, DS; Radkins, H; Raffai, P; Raja, S; Rajan, C; Rajbhandari, B; Rakhmanov, M; Ramirez, KE; Ramos-Buades, A; Rapagnani, P; Raymond, V; Razzano, M; Read, J; Regimbau, T; Rei, L; Reid, S; Reitze, DH; Ren, W; Reyes, SD; Ricci, F; Ricker, PM; Rieger, S; Riles, K; Rizzo, M; Robertson, NA; Robie, R; Robinet, F; Rocchi, A; Rolland, L; Rollins, JG; Roma, VJ; Romano, R; Romel, CL; Romie, JH; Rosinska, D; Ross, MP; Rowan, S; Rdiger, A; Ruggi, P; Rutins, G; Ryan, K; Sachdev, S; Sadecki, T; Sadeghian, L; Sakellariadou, M; Salconi, L; Saleem, M; Salemi, F; Samajdar, A; Sammut, L; Sampson, LM; Sanchez, EJ; Sanchez, LE; Sanchis-Gual, N; Sandberg, V; Sanders, JR; Sassolas, B; Sathyaprakash, BS; Saulson, PR; Sauter, O; Savage, RL; Sawadsky, A; Schale, P; Scheel, M; Scheuer, J; Schmidt, J; Schmidt, P; Schnabel, R; Schofield, RMS; Schonbeck, A; Schreiber, E; Schuette, D; Schulte, BW; Schutz, BF; Schwalbe, SG; Scott, J; Scott, SM; Seidel, E; Sellers, D; Sengupta, AS; Sentenac, D; Sequino, V; Sergeev, A; Shaddock, DA; Shaffer, TJ; Shah, AA; Shahriar, MS; Shaner, MB; Shao, L; Shapiro, B; Shawhan, P; Sheperd, A; Shoemaker, DH; Shoemaker, DM; Siellez, K; Siemens, X; Sieniawska, M; Sigg, D; Silva, AD; Singer, LP; Singh, A; Singhal, A; Sintes, AM; Slagmolen, BJJ; Smith, B; Smith, JR; Smith, RJE; Somala, S; Son, EJ; Sonnenberg, JA; Sorazu, B; Sorrentino, F; Souradeep, T; Spencer, AP; Srivastava, AK; Staats, K; Staley, A; Steinke, M; Steinlechner, J; Steinlechner, S; Steinmeyer, D; Stevenson, SP; Stone, R; Stops, DJ; Strain, KA; Stratta, G; Strigin, SE; Strunk, A; Sturani, R; Stuver, AL; Summerscales, TZ; Sun, L; Sunil, S; Suresh, J; Sutton, PJ; Swinkels, BL; Szczepanczyk, MJ; Tacca, M; Tait, SC; Talbot, C; Talukder, D; Tanner, DB; Tpai, M; Taracchini, A; Tasson, JD; Taylor, JA; Taylor, R; Tewari, SV; Theeg, T; Thies, F; Thomas, EG; Thomas, M; Thomas, P; Thorne, KA; Thorne, KS; Thrane, E; Tiwari, S; Tiwari, V; Tokmakov, KV; Toland, K; Tonelli, M; Tornasi, Z; Torres-Forn, A; Torrie, CI; Toyr, D; Travasso, F; Traylor, G; Trinastic, J; Tringali, MC; Trozzo, L; Tsang, KW; Tse, M; Tso, R; Tsukada, L; Tsuna, D; Tuyenbayev, D; Ueno, K; Ugolini, D; Unnikrishnan, CS; Urban, AL; Usman, SA; Vahlbruch, H; Vajente, G; Valdes, G; Van Bakel, N; Van Beuzekom, M; van den Brand, JFJ; van den Broeck, C; Vander-Hyde, DC; van der Schaaf, L; van Heijningen, JV; van Veggel, AA; Vardaro, M; Varma, V; Vass, S; Vasuth, M; Vecchio, A; Vedovato, G; Veitch, J; Veitch, PJ; Venkateswara, K; Venugopalan, G; Verkindt, D; Vetro, F; Vicere, A; Viets, AD; Vinciguerra, S; Vine, DJ; Vinet, JY; Vitale, S; Vo, T; Vocca, H; Vorvick, C; Vyatchanin, SP; Wade, AR; Wade, LE; Wade, M; Walet, R; Walker, M; Wallace, L; Walsh, S; Wang, G; Wang, H; Wang, JZ; Wang, WH; Wang, YF; Ward, RL; Warner, J; Was, M; Watchi, J; Weaver, B; Wei, LW; Weinert, M; Weinstein, AJ; Weiss, R; Wen, L; Wessel, EK; Wessels, P; Westerweck, J; Westphal, T; Wette, K; Whelan, JT; Whitcomb, SE; Whiting, BF; Whittle, C; Wilken, D; Williams, D; Williams, RD; Williamson, AR; Willis, JL; Willke, B; Wimmer, MH; Winkler, W; Wipf, CC; Wittel, H; Woan, G; Woehler, J; Wofford, J; Wong, KWK; Worden, J; Wright, JL; Wu, DS; Wysocki, DM; Xiao, S; Yamamoto, H; Yancey, CC; Yang, L; Yap, MJ; Yazback, M; Yu, H; Yu, H; Yvert, M; Zadrozny, A; Zanolin, M; Zelenova, T; Zendri, JP; Zevin, M; Zhang, L; Zhang, M; Zhang, T; Zhang, YH; Zhao, C; Zhou, M; Zhou, Z; Zhu, SJ; Zhu, XJ; Zimmerman, AB; Zucker, ME; Zweizig, J; Wilson-Hodge, CA; Bissaldi, E; Blackburn, L; Briggs, MS; Burns, E; Cleveland, WH; Connaughton, V; Gibby, MH; Giles, MM; Goldstein, A; Hamburg, R; Jenke, P; Hui, CM; Kippen, RM; Kocevski, D; McBreen, S; Meegan, CA; Paciesas, WS; Poolakkil, S; Preece, RD; Racusin, J; Roberts, OJ; Stanbro, M; Veres, P; von Kienlin, A; Savchenko, V; Ferrigno, C; Kuulkers, E; Bazzano, A; Bozzo, E; Brandt, S; Chenevez, J; Courvoisier, TJL; Diehl, R; Domingo, A; Hanlon, L; Jourdain, E; Laurent, P; Lebrun, F; Lutovinov, A; Martin-Carrillo, A; Mereghetti, S; Natalucci, L; Rodi, J; Roques, JP; Sunyaev, R; Ubertini, P; Aartsen, MG; Ackermann, M; Adams, J; Aguilar, JA; Ahlers, M; Ahrens, M; Al Samarai, I; Altmann, D; Andeen, K; Anderson, T; Ansseau, I; Anton, G; Argelles, C; Auffenberg, J; Axani, S; Bagherpour, H; Bai, X; Barron, JP; Barwick, SW; Baum, V; Bay, R; Beatty, JJ; Tjus, JB; Bernardini, E; Besson, DZ; Binder, G; Bindig, D; Blaufuss, E; Blot, S; Bohm, C; Borner, M; Bos, F; Bose, D; Boser, S; Botner, O; Bourbeau, E; Bourbeau, J; Bradascio, F; Braun, J; Brayeur, L; Brenzke, M; Bretz, HP; Bron, S; Brostean-Kaiser, J; Burgman, A; Carver, T; Casey, J; Casier, M; Cheung, E; Chirkin, D; Christov, A; Clark, K; Classen, L; Coenders, S; Collin, GH; Conrad, JM; Cowen, DF; Cross, R; Day, M; De Andre, JPAM; De Clercq, C; DeLaunay, JJ; Dembinski, H; De Ridder, S; Desiati, P; De Vries, KD; De Wasseige, G; De With, M; DeYoung, T; Diaz-Velez, JC; Di Lorenzo, V; Dujmovic, H; Dumm, JP; Dunkman, M; Dvorak, E; Eberhardt, B; Ehrhardt, T; Eichmann, B; Eller, P; Evenson, PA; Fahey, S; Fazely, AR; Felde, J; Filimonov, K; Finley, C; Flis, S; Franckowiak, A; Friedman, E; Fuchs, T; Gaisser, TK; Gallagher, J; Gerhardt, L; Ghorbani, K; Giang, W; Glauch, T; Glsenkamp, T; Goldschmidt, A; Gonzalez, JG; Grant, D; Griffith, Z; Haack, C; Hallgren, A; Halzen, F; Hanson, K; Hebecker, D; Heereman, D; Helbing, K; Hellauer, R; Hickford, S; Hignight, J; Hill, GC; Hoffman, KD; Hoffmann, R; Hokanson-Fasig, B; Hoshina, K; Huang, F; Huber, M; Hultqvist, K; Hnnefeld, M; In, S; Ishihara, A; Jacobi, E; Japaridze, GS; Jeong, M; Jero, K; Jones, BJP; Kalaczynski, P; Kang, W; Kappes, A; Karg, T; Karle, A; Keivani, A; Kelley, JL; Kheirandish, A; Kim, J; Kim, M; Kintscher, T; Kiryluk, J; Kittler, T; Klein, SR; Kohnen, G; Koirala, R; Kolanoski, H; Kopke, L; Kopper, C; Kopper, S; Koschinsky, JP; Koskinen, DJ; Kowalski, M; Krings, K; Kroll, M; Krckl, G; Kunnen, J; Kunwar, S; Kurahashi, N; Kuwabara, T; Labare, AKM; Labare, M; Lanfranchi, JL; Larson, MJ; Lauber, F; Lesiak-Bzdak, M; Leuermann, M; Liu, QR; Lu, L; Lnemann, J; Luszczak, W; Madsen, J; Maggi, G; Mahn, KBM; Mancina, S; Maruyama, R; Mase, K; Maunu, R; McNally, F; Meagher, K; Medici, M; Meier, M; Menne, T; Merino, G; Meures, T; Miarecki, S; Micallef, J; Moment, G; Montaruli, T; Moore, RW; Moulai, M; Nahnhauer, R; Nakarmi, P; Naumann, U; Neer, G; Niederhausen, H; Nowicki, SC; Nygren, DR; Pollmann, AO; Olivas, A; O'Murchadha, A; Palczewski, T; Pandya, H; Pankova, DV; Peiffer, P; Pepper, JA; Heros, CPDL; Pieloth, D; Pinat, E; Price, PB; Przybylski, GT; Raab, C; Rdel, L; Rameez, M; Rawlins, K; Rea, IC; Reimann, R; Relethford, B; Relich, M; Resconi, E; Rhode, W; Richman, M; Robertson, S; Rongen, M; Rott, C; Ruhe, T; Ryckbosch, D; Rysewyk, D; Slzer, T; Herrera, SES; Sandrock, A; Sandroos, J; Santander, M; Sarkar, S; Sarkar, S; Satalecka, K; Schlunder, P; Schmidt, T; Schneider, A; Schoenen, S; Schoneberg, S; Schumacher, L; Seckel, D; Seunarine, S; Soedingrekso, J; Soldin, D; Song, M; Spiczak, GM; Spiering, C; Stachurska, J; Stamatikos, M; Stanev, T; Stasik, A; Stettner, J; Steuer, A; Stezelberger, T; Stokstad, RG; Stosl, A; Strotjohann, NL; Stuttard, T; Sullivan, GW; Sutherland, M; Taboada, I; Tatar, J; Tenholt, F; Ter-Antonyan, S; Terliuk, A; Tesic, G; Tilav, S; Toale, PA; Tobin, MN; Toscano, S; Tosi, D; Tselengidou, M; Tung, CF; Turcati, A; Turley, CF; Ty, B; Unger, E; Usner, M; Vandenbroucke, J; Van Driessche, W; Van Eijndhoven, N; Vanheule, S; Van Santen, J; Vehring, M; Vogel, E; Vraeghe, M; Walck, C; Wallace, A; Wallraff, M; Wandler, FD; Wandkowsky, N; Waza, A; Weaver, C; Weiss, MJ; Wendt, C; Werthebach, J; Whelan, BJ; Wiebe, K; Wiebusch, CH; Wille, L; Williams, DR; Wills, L; Wolf, M; Wood, TR; Woolsey, E; Woschnagg, K; Xu, DL; Xu, XW; Xu, Y; Yanez, JP; Yodh, G; Yoshida, S; Yuan, T; Zoll, M; Balasubramanian, A; Mate, S; Bhalerao, V; Bhattacharya, D; Vibhute, A; Dewangan, GC; Rao, AR; Vadawale, SV; Svinkin, DS; Hurley, K; Aptekar, RL; Frederiks, DD; Golenetskii, SV; Kozlova, AV; Lysenko, AL; Oleynik, PP; Tsvetkova, AE; Ulanov, MV; Cline, T; Li, TP; Xiong, SL; Zhang, SN; Lu, FJ; Song, LM; Cao, XL; Chang, Z; Chen, G; Chen, L; Chen, TX; Chen, Y; Chen, YB; Chen, YP; Cui, W; Cui, WW; Deng, JK; Dong, YW; Du, YY; Fu, MX; Gao, GH; Gao, H; Gao, M; Ge, MY; Gu, YD; Guan, J; Guo, CC; Han, DW; Hu, W; Huang, Y; Huo, J; Jia, SM; Jiang, LH; Jiang, WC; Jin, J; Jin, YJ; Li, B; Li, CK; Li, G; Li, MS; Li, W; Li, X; Li, XB; Li, XF; Li, YG; Li, ZJ; Li, ZW; Liang, XH; Liao, JY; Liu, CZ; Liu, GQ; Liu, HW; Liu, SZ; Liu, XJ; Liu, Y; Liu, YN; Lu, B; Lu, XF; Luo, T; Ma, X; Meng, B; Nang, Y; Nie, JY; Ou, G; Qu, JL; Sai, N; Sun, L; Tan, Y; Tao, L; Tao, WH; Tuo, YL; Wang, GF; Wang, HY; Wang, J; Wang, WS; Wang, YS; Wen, XY; Wu, BB; Wu, M; Xiao, GC; Xu, H; Xu, YP; Yan, LL; Yang, JW; Yang, S; Yang, YJ; Zhang, AM; Zhang, CL; Zhang, CM; Zhang, F; Zhang, HM; Zhang, J; Zhang, Q; Zhang, S; Zhang, T; Zhang, W; Zhang, WC; Zhang, WZ; Zhang, Y; Zhang, Y; Zhang, YF; Zhang, YJ; Zhang, Z; Zhang, ZL; Zhao, HS; Zhao, JL; Zhao, XF; Zheng, SJ; Zhu, Y; Zhu, YX; Zou, CL; Albert, A; Andre, M; Anghinolfi, M; Ardid, M; Aubert, JJ; Aublin, J; Avgitas, T; Baret, B; Barrios-Marti, J; Basa, S; Belhorma, B; Bertin, V; Biagi, S; Bormuth, R; Bourret, S; Bouwhuis, MC; Brnzas, H; Bruijn, R; Brunner, J; Busto, J; Capone, A; Caramete, L; Carr, J; Celli, S; El Moursli, RC; Chiarusi, T; Circella, M; Coelho, JAB; Coleiro, A; Coniglione, R; Costantini, H; Coyle, P; Creusot, A; Diaz, AF; Deschamps, A; De Bonis, G; Distefano, C; Di Palma, I; Domi, A; Donzaud, C; Dornic, D; Drouhin, D; Eberl, T; El Bojaddaini, I; El Khayati, N; Elsasser, D; Enzenhofer, A; Ettahiri, A; Fassi, F; Felis, I; Fusco, LA; Gay, P; Giordano, V; Glotin, H; Gregoire, T; Ruiz, RG; Graf, K; Hallmann, S; Van Haren, H; Heijboer, AJ; Hello, Y; Hernndez-Rey, JJ; Hossl, J; Hofestdt, J; Hugon, C; Illuminati, G; James, CW; De Jong, M; Jongen, M; Kadler, M; Kalekin, O; Katz, U; Kiessling, D; Kouchner, A; Kreter, M; Kreykenbohm, I; Kulikovskiy, V; Lachaud, C; Lahmann, R; LefSvre, D; Leonora, E; Lotze, M; Loucatos, S; Marcelin, M; Margiotta, A; Marinelli, A; Martinez-Mora, JA; Mele, R; Melis, K; Michael, T; Migliozzi, P; Moussa, A; Navas, S; Nezri, E; Organokov, M; Pavalas, GE; Pellegrino, C; Perrina, C; Piattelli, P; Popa, V; Pradier, T; Quinn, L; Racca, C; Riccobene, G; Sánchez-Losa, A; Saldaa, M; Salvadori, I; Samtleben, DFE; Sanguineti, M; Sapienza, P; Sieger, C; Spurio, M; Stolarczyk, T; Taiuti, M; Tayalati, Y; Trovato, A; Turpin, D; Tonnis, C; Vallage, B; Van Elewyck, V; Versari, F; Vivolo, D; Vizzoca, A; Wilms, J; Zornoza, JD; Zuniga, J; Beardmore, AP; Breeveld, AA; Burrows, DN; Cenko, SB; Cusumano, G; D'Al, A; De Pasquale, M; Emery, SWK; Evans, PA; Giommi, P; Gronwall, C; Kennea, JA; Krimm, HA; Kuin, NPM; Lien, A; Marshall, FE; Melandri, A; Nousek, JA; Oates, SR; Osborne, JP; Pagani, C; Page, KL; Palmer, DM; Perri, M; Siegel, MH; Sbarufatti, B; Tagliaferri, G; Tohuvavohu, A; Tavani, M; Verrecchia, F; Bulgarelli, A; Evangelista, Y; Pacciani, L; Feroci, M; Pittori, C; Giuliani, A; Del Monte, E; Donnarumma, I; Argan, A; Trois, A; Ursi, A; Cardillo, M; Piano, G; Longo, F; Lucarelli, F; Munar-Adrover, P; Fuschino, F; Labanti, C; Marisaldi, M; Minervini, G; Fioretti, V; Parmiggiani, N; Gianotti, F; Trifoglio, M; Di Persio, G; Antonelli, LA; Barbiellini, G; Caraveo, P; Cattaneo, PW; Costa, E; Colafrancesco, S; D'Amico, F; Ferrari, A; Morselli, A; Paoletti, F; Picozza, P; Pilia, M; Rappoldi, A; Soffitta, P; Vercellone, S; Foley, RJ; Coulter, DA; Kilpatrick, CD; Drout, MR; Piro, AL; Shappee, BJ; Siebert, MR; Simon, JD; Ulloa, N; Kasen, D; Madore, BF; Murguia-Berthier, A; Pan, YC; Prochaska, JX; Ramirez-Ruiz, E; Rest, A; Rojas-Bravo, C; Berger, E; Soares-Santos, M; Annis, J; Alexander, KD; Allam, S; Balbinot, E; Blanchard, P; Brout, D; Butler, RE; Chornock, R; Cook, ER; Cowperthwaite, P; Diehl, HT; Drlica-Wagner, A; Drout, MR; Durret, F; Eftekhari, T; Finley, DA; Fong, W; Frieman, JA; Fryer, CL; Garcia-Bellido, J; Gruendl, RA; Hartley, W; Herner, K; Kessler, R; Lin, H; Lopes, PAA; Lourenco, ACC; Margutti, R; Marshall, JL; Matheson, T; Medina, GE; Metzger, BD; Muoz, RR; Muir, J; Nicholl, M; Nugent, P; Palmese, A; Paz-Chinchn, F; Quataert, E; Sako, M; Sauseda, M; Schlegel, DJ; Scolnic, D; Secco, LF; Smith, N; Sobreira, F; Villar, VA; Vivas, AK; Wester, W; Williams, PKG; Yanny, B; Zenteno, A; Zhang, Y; Abbott, TMC; Banerji, M; Bechtol, K; Benoit-Levy, A; Bertin, E; Brooks, D; Buckley-Geer, E; Burke, DL; Capozzi, D; Rosell, AC; Kind, MC; Castander, FJ; Crocce, M; Cunha, CE; D'Andrea, CB; Da Costa, LN; Davis, C; Depoy, DL; Desai, S; Dietrich, JP; Eifler, TF; Fernandez, E; Flaugher, B; Fosalba, P; Gaztanaga, E; Gerdes, DW; Giannantonio, T; Goldstein, DA; Gruen, D; Gschwend, J; Gutierrez, G; Honscheid, K; James, DJ; Jeltema, T; Johnson, MWG; Johnson, MD; Kent, S; Krause, E; Kron, R; Kuehn, K; Lahav, O; Lima, M; Maia, MAG; March, M; Martini, P; McMahon, RG; Menanteau, F; Miller, CJ; Miquel, R; Mohr, JJ; Nichol, RC; Ogando, RLC; Plazas, AA; Romer, AK; Roodman, A; Rykoff, ES; Sanchez, E; Scarpine, V; Schindler, R; Schubnell, M; Sevilla-Noarbe, I; Sheldon, E; Smith, M; Smith, RC; Stebbins, A; Suchyta, E; Swanson, MEC; Tarle, G; Thomas, RC; Troxel, MA; Tucker, DL; Vikram, V; Walker, AR; Wechsler, RH; Weller, J; Carlin, JL; Gill, MSS; Li, TS; Marriner, J; Neilsen, E; Haislip, JB; Kouprianov, VV; Reichart, DE; Sand, DJ; Tartaglia, L; Valenti, S; Yang, S; Benetti, S; Brocato, E; Campana, S; Cappellaro, E; Covino, S; D'Avanzo, P; D'Elia, V; Getman, F; Ghirlanda, G; Ghisellini, G; Limatola, L; Nicastro, L; Palazzi, E; Pian, E; Piranomonte, S; Possenti, A; Rossi, A; Salafia, OS; Tomasella, L; Amati, L; Antonelli, LA; Bernardini, MG; Bufano, F; Capaccioli, M; Casella, P; Dadina, M; De Cesare, G; Di Paola, A; Giuffrida, G; Giunta, A; Israel, GL; Lisi, M; Maiorano, E; Mapelli, M; Masetti, N; Pescalli, A; Pulone, L; Salvaterra, R; Schipani, P; Spera, M; Stamerra, A; Stella, L; Testa, V; Turatto, M; Vergani, D; Aresu, G; Bachetti, M; Buffa, F; Burgay, M; Buttu, M; Caria, T; Carretti, E; Casasola, V; Castangia, P; Carboni, G; Casu, S; Concu, R; Corongiu, A; Deiana, GL; Egron, E; Fara, A; Gaudiomonte, F; Gusai, V; Ladu, A; Loru, S; Leurini, S; Marongiu, L; Melis, A; Melis, G; Migoni, C; Milia, S; Navarrini, A; Orlati, A; Ortu, P; Palmas, S; Pellizzoni, A; Perrodin, D; Pisanu, T; Poppi, S; Righini, S; Saba, A; Serra, G; Serrau, M; Stagni, M; Surcis, G; Vacca, V; Vargiu, GP; Hunt, LK; Jin, ZP; Klose, S; Kouveliotou, C; Mazzali, PA; Moller, P; Nava, L; Piran, T; Selsing, J; Vergani, SD; Wiersema, K; Toma, K; Higgins, AB; Mundell, CG; Alighieri, SDS; Gtz, D; Gao, W; Gomboc, A; Kaper, L; Kobayashi, S; Kopac, D; Mao, J; Starling, RLC; Steele, I; Van der Horst, AJ; Acero, F; Atwood, WB; Baldini, L; Barbiellini, G; Bastieri, D; Berenji, B; Bellazzini, R; Bissaldi, E; Blandford, RD; Bloom, ED; Bonino, R; Bottacini, E; Bregeon, J; Buehler, R; Buson, S; Cameron, RA; Caputo, R; Caraveo, PA; Cavazzuti, E; Chekhtman, A; Cheung, CC; Chiang, J; Ciprini, S; Cohen-Tanugi, J; Cominsky, LR; Costantin, D; Cuoco, A; D'Ammando, F; De Palma, F; Digel, SW; Di Lalla, N; Di Mauro, M; Di Venere, L; Dubois, R; Fegan, SJ; Focke, WB; Franckowiak, A; Fukazawa, Y; Funk, S; Fusco, P; Gargano, F; Gasparrini, D; Giglietto, N; Giordano, F; Giroletti, M; Glanzman, T; Green, D; Grondin, MH; Guillemot, L; Guiriec, S; Harding, AK; Horan, D; Jhannesson, G; Kamae, T; Kensei, S; Kuss, M; La Mura, G; Latronico, L; Lemoine-Goumard, M; Longo, F; Loparco, F; Lovellette, MN; Lubrano, P; Magill, JD; Maldera, S; Manfreda, A; Mazziotta, MN; McEnery, JE; Meyer, M; Michelson, PF; Mirabal, N; Monzani, ME; Morselli, A; Moskalenko, IV; Negro, M; Nuss, E; Ojha, R; Omodei, N; Orienti, M; Orlando, E; Palatiello, M; Paliya, VS; Paneque, D; Pesce-Rollins, M; Piron, F; Porter, TA; Principe, G; Rain, S; Rando, R; Razzano, M; Razzaque, S; Reimer, A; Reimer, O; Reposeur, T; Rochester, LS; Parkinson, PMS; Sgro, C; Siskind, EJ; Spada, F; Spandre, G; Suson, DJ; Takahashi, M; Tanaka, Y; Thayer, JG; Thayer, JB; Thompson, DJ; Tibaldo, L; Torres, DF; Torresi, E; Troja, E; Venters, TM; Vianello, G; Zaharijas, G; Allison, J; Bannister, KW; Dobie, D; Kaplan, DL; Lenc, E; Lynch, C; Murphy, T; Sadler, EM; Hotan, A; James, CW; Oslowski, S; Raja, W; Shannon, RM; Whiting, M; Arcavi, I; Howell, DA; McCully, C; Hosseinzadeh, G; Hiramatsu, D; Poznanski, D; Barnes, J; Zaltzman, M; Vasylyev, S; Maoz, D; Cooke, J; Bailes, M; Wolf, C; Deller, AT; Lidman, C; Wang, L; Gendre, B; Andreoni, I; Ackley, K; Pritchard, TA; Bessell, MS; Chang, SW; Moller, A; Onken, CA; Scalzo, RA; Ridden-Harper, R; Sharp, RG; Tucker, BE; Farrell, TJ; Elmer, E; Johnston, S; Krishnan, VV; Keane, EF; Green, JA; Jameson, A; Hu, L; Ma, B; Sun, T; Wu, X; Wang, X; Shang, Z; Hu, Y; Ashley, MCB; Yuan, X; Li, X; Tao, C; Zhu, Z; Zhang, H; Suntzeff, NB; Zhou, J; Yang, J; Orange, B; Morris, D; Cucchiara, A; Giblin, T; Klotz, A; Staff, J; Thierry, P; Schmidt, BP; Tanvir, NR; Levan, AJ; Cano, Z; De Ugarte-Postigo, A; Evans, P; Gonzalez-Fernandez, C; Greiner, J; Hjorth, J; Irwin, M; Kruhler, T; Mandel, I; Milvang-Jensen, B; O'Brien, P; Rol, E; Rosetti, S; Rosswog, S; Rowlinson, A; Steeghs, DTH; Thene, CC; Ulaczyk, K; Watson, D; Bruun, SH; Cutter, R; Jaimes, RF; Fujii, YI; Fruchter, AS; Gompertz, B; Jakobsson, P; Hodosan, G; Jergensen, UG; Kangas, T; Kann, DA; Rabus, M; Schroder, SL; Stanway, ER; Wijers, RAMJ; Lipunov, VM; Gorbovskoy, ES; Kornilov, VG; Tyurina, NV; Balanutsa, PV; Kuznetsov, AS; Vlasenko, DM; Podesta, RC; Lopez, C; Podesta, F; Levato, HO; Saffe, C; Mallamaci, CC; Budnev, NM; Gress, OA; Kuvshinov, DA; Gorbunov, IA; Vladimirov, VV; Zimnukhov, DS; Gabovich, AV; Yurkov, VV; Sergienko, YP; Rebolo, R; Serra-Ricart, M; Tlatov, AG; Ishmuhametova, YV; Abe, F; Aoki, K; Aoki, W; Asakura, Y; Baar, S; Barway, S; Bond, IA; Doi, M; Finet, F; Fujiyoshi, T; Furusawa, H; Honda, S; Itoh, R; Kanda, N; Kawabata, KS; Kawabata, M; Kim, JH; Koshida, S; Kuroda, D; Lee, CH; Liu, W; Matsubayashi, K; Miyazaki, S; Morihana, K; Morokuma, T; Motohara, K; Murata, KL; Nagai, H; Nagashima, H; Nagayama, T; Nakaoka, T; Nakata, F; Ohsawa, R; Ohshima, T; Ohta, K; Okita, H; Saito, T; Saito, Y; Sako, S; Sekiguchi, Y; Sumi, T; Tajitsu, A; Takahashi, J; Takayama, M; Tamura, Y; Tanaka, I; Tanaka, M; Terai, T; Tominaga, N; Tristram, PJ; Uemura, M; Utsumi, Y; Yamaguchi, MS; Yasuda, N; Yoshida, M; Zenko, T; Adams, SM; Allison, JR; Anupama, GC; Bally, J; Barway, S; Bellm, E; Blagorodnova, N; Cannella, C; Chandra, P; Chatterjee, D; Clarke, TE; Cobb, BE; Cook, DO; Copperwheat, C; De, K; Emery, SWK; Evans, PA; Feindt, U; Foster, K; Frail, ODFDA; Frail, DA; Fremling, C; Frohmaier, C; Garcia, JA; Ghosh, S; Giacintucci, S; Goobar, A; Gottlieb, O; Grefenstette, BW; Hallinan, G; Harrison, F; Heida, M; Helou, G; Ho, AYQ; Horesh, A; Hotokezaka, K; Ip, WH; Itoh, R; Jacobs, B; Jencson, JE; Kasen, D; Kasliwal, MM; Kassim, NE; Kim, H; Kiran, BS; Kuin, NPM; Kulkarni, SR; Kupfer, T; Lau, RM; Madsen, K; Mazzali, PA; Miller, AA; Miyasaka, H; Mooley, K; Myers, ST; Nakar, E; Ngeow, CC; Nugent, P; Ofek, EO; Palliyaguru, N; Pavana, M; Perley, DA; Peters, WM; Pike, S; Piran, T; Qi, H; Quimby, RM; Rana, J; Rosswog, S; Rusu, F; Sadler, EM; Van Sistine, A; Sollerman, J; Xu, Y; Yan, L; Yatsu, Y; Yu, PC; Zhang, C; Zhao, W; Chambers, KC; Huber, ME; Schultz, ASB; Bulger, J; Flewelling, H; Magnier, EA; Lowe, TB; Wainscoat, RJ; Waters, C; Willman, M; Ebisawa, K; Hanyu, C; Harita, S; Hashimoto, T; Hidaka, K; Hori, T; Ishikawa, M; Isobe, N; Iwakiri, W; Kawai, H; Kawai, N; Kawamuro, T; Kawase, T; Kitaoka, Y; Makishima, K; Matsuoka, M; Mihara, T; Morita, T; Morita, K; Nakahira, S; Nakajima, M; Nakamura, Y; Negoro, H; Oda, S; Sakamaki, A; Sasaki, R; Serino, M; Shidatsu, M; Shimomukai, R; Sugawara, Y; Sugita, S; Sugizaki, M; Tachibana, Y; Takao, Y; Tanimoto, A; Tomida, H; Tsuboi, Y; Tsunemi, H; Ueda, Y; Ueno, S; Yamada, S; Yamaoka, K; Yamauchi, M; Yatabe, F; Yoneyama, T; Yoshii, T; Coward, DM; Crisp, H; Macpherson, D; Andreoni, I; Laugier, R; Noysena, K; Klotz, A; Gendre, B; Thierry, P; Turpin, D; Im, M; Choi, C; Kim, J; Yoon, Y; Lim, G; Lee, SK; Lee, CU; Kim, SL; Ko, SW; Joe, J; Kwon, MK; Kim, PJ; Lim, SK; Choi, JS; Fynbo, JPU; Malesani, D; Xu, D; Smartt, SJ; Jerkstrand, A; Kankare, E; Sim, SA; Fraser, M; Inserra, C; Maguire, K; Leloudas, G; Magee, M; Shingles, LJ; Smith, KW; Young, DR; Kotak, R; Gal-Yam, A; Lyman, JD; Homan, DS; Agliozzo, C; Anderson, JP; Angus, CR; Ashall, C; Barbarino, C; Bauer, FE; Berton, M; Botticella, MT; Bulla, M; Cannizzaro, G; Cartier, R; Cikota, A; Clark, P; De Cia, A; Della Valle, M; Dennefeld, M; Dessart, L; Dimitriadis, G; Elias-Rosa, N; Firth, RE; Flors, A; Frohmaier, C; Galbany, L; Gonzlez-Gaitn, S; Gromadzki, M; Gutierrez, CP; Hamanowicz, A; Harmanen, J; Heintz, KE; Hernandez, MS; Hodgkin, ST; Hook, IM; Izzo, L; James, PA; Jonker, PG; Kerzendorf, WE; Kostrzewa-Rutkowska, Z; Kromer, M; Kuncarayakti, H; Lawrence, A; Manulis, I; Mattila, S; McBrien, O; Mller, A; Nordin, J; O'Neill, D; Onori, F; Palmerio, JT; Pastorello, A; Patat, F; Pignata, G; Podsiadlowski, P; Razza, A; Reynolds, T; Roy, R; Ruiter, AJ; Rybicki, KA; Salmon, L; Pumo, ML; Prentice, SJ; Seitenzahl, IR; Smith, M; Sollerman, J; Sullivan, M; Szegedi, H; Taddia, F; Taubenberger, S; Terreran, G; Van Soelen, B; Vos, J; Walton, NA; Wright, DE; Wyrzykowski, L; Yaron, O; Chen, TW; Krhler, T; Schady, P; Wiseman, P; Greiner, J; Rau, A; Schweyer, T; Klose, S; Guelbenzu, AN; Palliyaguru, NT; Shara, MM; Williams, T; Vaisanen, P; Potter, SB; Colmenero, ER; Crawford, S; Buckley, DAH; Mao, J; Díaz, MC; Macri, LM; Lambas, DG; de Oliveira, CM; Castellon, JLN; Ribeiro, T; Sánchez, B; Schoenell, W; Abramo, LR; Akras, S; Alcaniz, JS; Artola, R; Beroiz, M; Bonoli, S; Cabral, J; Camuccio, R; Chavushyan, V; Coelho, P; Colazo, C; Costa-Duarte, MV; Larenas, HC; Romero, MD; Dultzin, D; Fernandez, D; Garcia, J; Girardini, C; Goncalves, DR; Goncalves, TS; Gurovich, S; Jimenez-Teja, Y; Kanaan, A; Lares, M; de Oliveira, RL; López-Cruz, O; Melia, R; Molino, A; Padilla, N; Penuela, T; Placco, VM; Quinones, C; Rivera, AR; Renzi, V; Riguccini, L; Rios-Lopez, E; Rodriguez, H; Sampedro, L; Schneiter, M; Sodre, L; Starck, M; Torres-Flores, S; Tornatore, M; Zadrozny, A; Castro-Tirado, AJ; Tello, JC; Hu, YD; Zhang, BB; Cunniffe, R; Castelln, A; Hiriart, D; Caballero-García, MD; Jelínek, M; Kubnek, P; Del Pulgar, CP; Park, IH; Jeong, S; Cerón, JMC; Pandey, SB; Yock, PC; Querel, R; Fan, Y; Wang, C; Beardsley, A; Brown, IS; Crosse, B; Emrich, D; Franzen, T; Gaensler, BM; Horsley, L; Johnston-Hollitt, M; Kenney, D; Morales, MF; Pallot, D; Sokolowski, M; Steele, K; Tingay, SJ; Trott, CM; Walker, M; Wayth, R; Williams, A; Wu, C; Yoshida, A; Sakamoto, T; Kawakubo, Y; Yamaoka, K; Takahashi, I; Asaoka, Y; Ozawa, S; Torii, S; Shimizu, Y; Tamura, T; Ishizaki, W; Cherry, ML; Ricciarini, S; Penacchioni, AV; Marrocchesi, PS; Pozanenko, AS; Volnova, AA; Mazaeva, ED; Minaev, PY; Kru(data truncated to fit)</t>
  </si>
  <si>
    <t>Abbott, B. P.; Abbott, R.; Abbott, T. D.; Acernese, F.; Ackley, K.; Adams, C.; Adams, T.; Addesso, P.; Adhikari, R. X.; Adya, V. B.; Affeldt, C.; Afrough, M.; Agarwal, B.; Agathos, M.; Agatsuma, K.; Aggarwal, N.; Aguiar, O. D.; Aiello, L.; Ain, A.; Ajith, P.; Allen, B.; Allen, G.; Allocca, A.; Altin, P. A.; Amato, A.; Ananyeva, A.; Anderson, S. B.; Anderson, W. G.; Angelova, S. V.; Antier, S.; Appert, S.; Arai, K.; Araya, M. C.; Areeda, J. S.; Arnaud, N.; Arun, K. G.; Ascenzi, S.; Ashton, G.; Ast, M.; Aston, S. M.; Astone, P.; Atallah, D. V.; Aufmuth, P.; Aulbert, C.; AultONeal, K.; Austin, C.; Avila-Alvarez, A.; Babak, S.; Bacon, P.; Bader, M. K. M.; Bae, S.; Baker, P. T.; Baldaccini, F.; Ballardin, G.; Ballmer, S. W.; Banagiri, S.; Barayoga, J. C.; Barclay, S. E.; Barish, B. C.; Barker, D.; Barkett, K.; Barone, F.; Barr, B.; Barsotti, L.; Barsuglia, M.; Barta, D.; Barthelmy, S. D.; Bartlett, J.; Bartos, I.; Bassiri, R.; Basti, A.; Batch, J. C.; Bawaj, M.; Bayley, J. C.; Bazzan, M.; Becsy, B.; Beer, C.; Bejger, M.; Belahcene, I.; Bell, A. S.; Berger, B. K.; Bergmann, G.; Bero, J. J.; Berry, C. P. L.; Bersanetti, D.; Bertolini, A.; Betzwieser, J.; Bhagwat, S.; Bhandare, R.; Bilenko, I. A.; Billingsley, G.; Billman, C. R.; Birch, J.; Birney, R.; Birnholtz, O.; Biscans, S.; Biscoveanu, S.; Bisht, A.; Bitossi, M.; Biwer, C.; Bizouard, M. A.; Blackburn, J. K.; Blackman, J.; Blair, C. D.; Blair, D. G.; Blair, R. M.; Bloemen, S.; Bock, O.; Bode, N.; Boer, M.; Bogaert, G.; Bohe, A.; Bondu, F.; Bonilla, E.; Bonnand, R.; Boom, B. A.; Bork, R.; Boschi, V.; Bose, S.; Bossie, K.; Bouffanais, Y.; Bozzi, A.; Bradaschia, C.; Brady, P. R.; Branchesi, M.; Brau, J. E.; Briant, T.; Brillet, A.; Brinkmann, M.; Brisson, V.; Brockill, P.; Broida, J. E.; Brooks, A. F.; Brown, D. A.; Brown, D. D.; Brunett, S.; Buchanan, C. C.; Buikema, A.; Bulik, T.; Bulten, H. J.; Buonanno, A.; Buskulic, D.; Buy, C.; Byer, R. L.; Cabero, M.; Cadonati, L.; Cagnoli, G.; Cahillane, C.; Bustillo, J. Caldern; Callister, T. A.; Calloni, E.; Camp, J. B.; Canepa, M.; Canizares, P.; Cannon, K. C.; Cao, H.; Cao, J.; Capano, C. D.; Capocasa, E.; Carbognani, F.; Caride, S.; Carney, M. F.; Diaz, J. Casanueva; Casentini, C.; Caudill, S.; Cavagli, M.; Cavalier, F.; Cavalieri, R.; Cella, G.; Cepeda, C. B.; Cerd-Durn, P.; Cerretani, G.; Cesarini, E.; Chamberlin, S. J.; Chan, M.; Chao, S.; Charlton, P.; Chase, E.; Chassande-Mottin, E.; Chatterjee, D.; Chatziioannou, K.; Cheeseboro, B. D.; Chen, H. Y.; Chen, X.; Chen, Y.; Cheng, H. -P.; Chia, H.; Chincarini, A.; Chiummo, A.; Chmiel, T.; Cho, H. S.; Cho, M.; Chow, J. H.; Christensen, N.; Chu, Q.; Chua, A. J. K.; Chua, S.; Chung, A. K. W.; Chung, S.; Ciani, G.; Ciolfi, R.; Cirelli, C. E.; Cirone, A.; Clara, F.; Clark, J. A.; Clearwater, P.; Cleva, F.; Cocchieri, C.; Coccia, E.; Cohadon, P. -F.; Cohen, D.; Colla, A.; Collette, C. G.; Cominsky, L. R.; Constancio, M.; Conti, L.; Cooper, S. J.; Corban, P.; Corbitt, T. R.; Cordero-Carrion, I.; Corley, K. R.; Cornish, N.; Corsi, A.; Cortese, S.; Costa, C. A.; Coughlin, M. W.; Coughlin, S. B.; Coulon, J. -P.; Countryman, S. T.; Couvares, P.; Covas, P. B.; Cowan, E. E.; Coward, D. M.; Cowart, M. J.; Coyne, D. C.; Coyne, R.; Creighton, J. D. E.; Creighton, T. D.; Cripe, J.; Crowder, S. G.; Cullen, T. J.; Cumming, A.; Cunningham, L.; Cuoco, E.; Dal Canton, T.; Dlya, G.; Danilishin, S. L.; D'Antonio, S.; Danzmann, K.; Dasgupta, A.; Costa, C. F. Da Silva; Dattilo, V.; Dave, I.; Davier, M.; Davis, D.; Daw, E. J.; Day, B.; De, S.; Debra, D.; Degallaix, J.; De laurentis, M.; Deleglise, S.; Del Pozzo, W.; Demos, N.; Denker, T.; Dent, T.; De Pietri, R.; Dergachev, V.; De Rosa, R.; DeRosa, R. T.; De Rossi, C.; DeSalvo, R.; De Varona, O.; Devenson, J.; Dhurandhar, S.; Diaz, M. C.; Di Fiore, L.; Di Giovanni, M.; Di Girolamo, T.; Di Lieto, A.; Di Pace, S.; Di Palma, I.; Di Renzo, F.; Doctor, Z.; Dolique, V.; Donovan, F.; Dooley, K. L.; Doravari, S.; Dorrington, I.; Douglas, R.; Alvarez, M. Dovale; Downes, T. P.; Drago, M.; Dreissigacker, C.; Driggers, J. C.; Du, Z.; Ducrot, M.; Dupej, P.; Dwyer, S. E.; Edo, T. B.; Edwards, M. C.; Effler, A.; Eggenstein, H. -B.; Ehrens, P.; Eichholz, J.; Eikenberry, S. S.; Eisenstein, R. A.; Essick, R. C.; Estevez, D.; Etienne, Z. B.; Etzel, T.; Evans, M.; Evans, T. M.; Factourovich, M.; Fafone, V.; Fair, H.; Fairhurst, S.; Fan, X.; Farinon, S.; Farr, B.; Farr, W. M.; Fauchon-Jones, E. J.; Favata, M.; Fays, M.; Fee, C.; Fehrmann, H.; Feicht, J.; Fejer, M. M.; Fernandez-Galiana, A.; Ferrante, I.; Ferreira, E. C.; Ferrini, F.; Fidecaro, F.; Finstad, D.; Fiori, I.; Fiorucci, D.; Fishbach, M.; Fisher, R. P.; Fitz-Axen, M.; Flaminio, R.; Fletcher, M.; Fong, H.; Font, J. A.; Forsyth, P. W. F.; Forsyth, S. S.; Fournier, J. -D.; Frasca, S.; Frasconi, F.; Frei, Z.; Freise, A.; Frey, R.; Frey, V.; Fries, E. M.; Fritschel, P.; Frolov, V. V.; Fulda, P.; Fyffe, M.; Gabbard, H.; Gadre, B. U.; Gaebel, S. M.; Gair, J. R.; Gammaitoni, L.; Ganija, M. R.; Gaonkar, S. G.; Garcia-Quiros, C.; Garufi, F.; Gateley, B.; Gaudio, S.; Gaur, G.; Gayathri, V.; Gehrels, N.; Gemme, G.; Genin, E.; Gennai, A.; George, D.; George, J.; Gergely, L.; Germain, V.; Ghonge, S.; Ghosh, Abhirup; Ghosh, Archisman; Ghosh, S.; Giaime, J. A.; Giardina, K. D.; Giazotto, A.; Gill, K.; Glover, L.; Goetz, E.; Goetz, R.; Gomes, S.; Goncharov, B.; Gonzlez, G.; Castro, J. M. Gonzalez; Gopakumar, A.; Gorodetsky, M. L.; Gossan, S. E.; Gosselin, M.; Gouaty, R.; Grado, A.; Graef, C.; Granata, M.; Grant, A.; Gras, S.; Gray, C.; Greco, G.; Green, A. C.; Gretarsson, E. M.; Griswold, B.; Groot, P.; Grote, H.; Grunewald, S.; Gruning, P.; Guidi, G. M.; Guo, X.; Gupta, A.; Gupta, M. K.; Gushwa, K. E.; Gustafson, E. K.; Gustafson, R.; Halim, O.; Hall, B. R.; Hall, E. D.; Hamilton, E. Z.; Hammond, G.; Haney, M.; Hanke, M. M.; Hanks, J.; Hanna, C.; Hannam, M. D.; Hannuksela, O. A.; Hanson, J.; Hardwick, T.; Harms, J.; Harry, G. M.; Harry, I. W.; Hart, M. J.; Haster, C. -J.; Haughian, K.; Healy, J.; Heidmann, A.; Heintze, M. C.; Heitmann, H.; Hello, P.; Hemming, G.; Hendry, M.; Heng, I. S.; Hennig, J.; Heptonstall, A. W.; Heurs, M.; Hild, S.; Hinderer, T.; Hoak, D.; Hofman, D.; Holt, K.; Holz, D. E.; Hopkins, P.; Horst, C.; Hough, J.; Houston, E. A.; Howell, E. J.; Hreibi, A.; Hu, Y. M.; Huerta, E. A.; Huet, D.; Hughey, B.; Husa, S.; Huttner, S. H.; Huynh-Dinh, T.; Indik, N.; Inta, R.; Intini, G.; Isa, H. N.; Isac, J. -M.; Isi, M.; Iyer, B. R.; Izumi, K.; Jacqmin, T.; Jani, K.; Jaranowski, P.; Jawahar, S.; Jimenez-Forteza, F.; Johnson, W. W.; Jones, D. I.; Jones, R.; Jonker, R. J. G.; Ju, L.; Junker, J.; Kalaghatgi, C. V.; Kalogera, V.; Kamai, B.; Kandhasamy, S.; Kang, G.; Kanner, J. B.; Kapadia, S. J.; Karki, S.; Karvinen, K. S.; Kasprzack, M.; Katolik, M.; Katsavounidis, E.; Katzman, W.; Kaufer, S.; Kawabe, K.; Kefelian, F.; Keitel, D.; Kemball, A. J.; Kennedy, R.; Kent, C.; Key, J. S.; Khalili, F. Y.; Khan, I.; Khan, S.; Khan, Z.; Khazanov, E. A.; Kijbunchoo, N.; Kim, Chunglee; Kim, J. C.; Kim, K.; Kim, W.; Kim, W. S.; Kim, Y. -M.; Kimbrell, S. J.; King, E. J.; King, P. J.; Kinley-Hanlon, M.; Kirchhoff, R.; Kissel, J. S.; Kleybolte, L.; Klimenko, S.; Knowles, T. D.; Koch, P.; Koehlenbeck, S. M.; Koley, S.; Kondrashov, V.; Kontos, A.; Korobko, M.; Korth, W. Z.; Kowalska, I.; Kozak, D. B.; Krmer, C.; Kringel, V.; Krishnan, B.; Krlak, A.; Kuehn, G.; Kumar, P.; Kumar, R.; Kumar, S.; Kuo, L.; Kutynia, A.; Kwang, S.; Lackey, B. D.; Lai, K. H.; Landry, M.; Lang, R. N.; Lange, J.; Lantz, B.; Lanza, R. K.; Larson, S. L.; Lartaux-Vollard, A.; Lasky, P. D.; Laxen, M.; Lazzarini, A.; Lazzaro, C.; Leaci, P.; Leavey, S.; Lee, C. H.; Lee, H. K.; Lee, H. M.; Lee, H. W.; Lee, K.; Lehmann, J.; Lenon, A.; Leonardi, M.; Leroy, N.; Letendre, N.; Levin, Y.; Li, T. G. F.; Linker, S. D.; Littenberg, T. B.; Liu, J.; Lo, R. K. L.; Lockerbie, N. A.; London, L. T.; Lord, J. E.; Lorenzini, M.; Loriette, V.; Lormand, M.; Losurdo, G.; Lough, J. D.; Lousto, C. O.; Lovelace, G.; Lck, H.; Lumaca, D.; Lundgren, A. P.; Lynch, R.; Ma, Y.; Macas, R.; Macfoy, S.; Machenschalk, B.; MacInnis, M.; Macleod, D. M.; Hernandez, I. Magaa; Magaa-Sandoval, F.; Zertuche, L. Magaa; Magee, R. M.; Majorana, E.; Maksimovic, I.; Man, N.; Mandic, V.; Mangano, V.; Mansell, G. L.; Manske, M.; Mantovani, M.; Marchesoni, F.; Marion, F.; Mrka, S.; Mrka, Z.; Markakis, C.; Markosyan, A. S.; Markowitz, A.; Maros, E.; Marquina, A.; Marsh, P.; Martelli, F.; Martellini, L.; Martin, I. W.; Martin, R. M.; Martynov, D. V.; Mason, K.; Massera, E.; Masserot, A.; Massinger, T. J.; Masso-Reid, M.; Mastrogiovanni, S.; Matas, A.; Matichard, F.; Matone, L.; Mavalvala, N.; Mazumder, N.; McCarthy, R.; McClelland, D. E.; McCormick, S.; McCuller, L.; McGuire, S. C.; McIntyre, G.; McIver, J.; McManus, D. J.; McNeill, L.; Mcrae, T.; McWilliams, S. T.; Meacher, D.; Meadors, G. D.; Mehmet, M.; Meidam, J.; Mejuto-Villa, E.; Melatos, A.; Mendell, G.; Mercer, R. A.; Merilh, E. L.; Merzougui, M.; Meshkov, S.; Messenger, C.; Messick, C.; Metzdorff, R.; Meyers, P. M.; Miao, H.; Michel, C.; Middleton, H.; Mikhailov, E. E.; Milano, L.; Mueller, A. L.; Mueller, B. B.; Miller, J.; Millhouse, M.; Milovich-Goff, M. C.; Minazzoli, O.; Minenkov, Y.; Ming, J.; Mishra, C.; Mitra, S.; Mitrofanov, V. P.; Mitselmakher, G.; Mittleman, R.; Moffa, D.; Moggi, A.; Mogushi, K.; Mohan, M.; Mohapatra, S. R. P.; Montani, M.; Moore, C. J.; Moraru, D.; Moreno, G.; Morriss, S. R.; Mours, B.; Mow-Lowry, C. M.; Mueller, G.; Muir, A. W.; Mukherjee, Arunava; Mukherjee, D.; Mukherjee, S.; Mukund, N.; Mullavey, A.; Munch, J.; Muniz, E. A.; Muratore, M.; Murray, P. G.; Napier, K.; Nardecchia, I.; Naticchioni, L.; Nayak, R. K.; Neilson, J.; Nelemans, G.; Nelson, T. J. N.; Nery, M.; Neunzert, A.; Nevin, L.; Newport, J. M.; Newton, G.; Ng, K. K. Y.; Nguyen, P.; Nguyen, T. T.; Nichols, D.; Nielsen, A. B.; Nissanke, S.; Nitz, A.; Noack, A.; Nocera, F.; Nolting, D.; North, C.; Nuttall, L. K.; Oberling, J.; O'Dea, G. D.; Ogin, G. H.; Oh, J. J.; Oh, S. H.; Ohme, F.; Okada, M. A.; Oliver, M.; Oppermann, P.; Oram, Richard J.; O'Reilly, B.; Ormiston, R.; Ortega, L. F.; O'Shaughnessy, R.; Ossokine, S.; Ottaway, D. J.; Overmier, H.; Owen, B. J.; Pace, A. E.; Page, J.; Page, M. A.; Pai, A.; Pai, S. A.; Palamos, J. R.; Palashov, O.; Palomba, C.; Pal-Singh, A.; Pan, Howard; Pan, Huang-Wei; Pang, B.; Pang, P. T. H.; Pankow, C.; Pannarale, F.; Pant, B. C.; Paoletti, F.; Paoli, A.; Papa, M. A.; Parida, A.; Parker, W.; Pascucci, D.; Pasqualetti, A.; Passaquieti, R.; Passuello, D.; Patil, M.; Patricelli, B.; Pearlstone, B. L.; Pedraza, M.; Pedurand, R.; Pekowsky, L.; Pele, A.; Penn, S.; Perez, C. J.; Perreca, A.; Perri, L. M.; Pfeiffer, H. P.; Phelps, M.; Piccinni, O. J.; Pichot, M.; Piergiovanni, F.; Pierro, V.; Pillant, G.; Pinard, L.; Pinto, I. M.; Pirello, M.; Pitkin, M.; Poe, M.; Poggiani, R.; Popolizio, P.; Porter, E. K.; Post, A.; Powell, J.; Prasad, J.; Pratt, J. W. W.; Pratten, G.; Predoi, V.; Prestegard, T.; Price, L. R.; Prijatelj, M.; Principe, M.; Privitera, S.; Prodi, G. A.; Prokhorov, L. G.; Puncken, O.; Punturo, M.; Puppo, P.; Prrer, M.; Qi, H.; Quetschke, V.; Quintero, E. A.; Quitzow-James, R.; Raab, F. J.; Rabeling, D. S.; Radkins, H.; Raffai, P.; Raja, S.; Rajan, C.; Rajbhandari, B.; Rakhmanov, M.; Ramirez, K. E.; Ramos-Buades, A.; Rapagnani, P.; Raymond, V.; Razzano, M.; Read, J.; Regimbau, T.; Rei, L.; Reid, S.; Reitze, D. H.; Ren, W.; Reyes, S. D.; Ricci, F.; Ricker, P. M.; Rieger, S.; Riles, K.; Rizzo, M.; Robertson, N. A.; Robie, R.; Robinet, F.; Rocchi, A.; Rolland, L.; Rollins, J. G.; Roma, V. J.; Romano, R.; Romel, C. L.; Romie, J. H.; Rosinska, D.; Ross, M. P.; Rowan, S.; Rdiger, A.; Ruggi, P.; Rutins, G.; Ryan, K.; Sachdev, S.; Sadecki, T.; Sadeghian, L.; Sakellariadou, M.; Salconi, L.; Saleem, M.; Salemi, F.; Samajdar, A.; Sammut, L.; Sampson, L. M.; Sanchez, E. J.; Sanchez, L. E.; Sanchis-Gual, N.; Sandberg, V.; Sanders, J. R.; Sassolas, B.; Sathyaprakash, B. S.; Saulson, P. R.; Sauter, O.; Savage, R. L.; Sawadsky, A.; Schale, P.; Scheel, M.; Scheuer, J.; Schmidt, J.; Schmidt, P.; Schnabel, R.; Schofield, R. M. S.; Schonbeck, A.; Schreiber, E.; Schuette, D.; Schulte, B. W.; Schutz, B. F.; Schwalbe, S. G.; Scott, J.; Scott, S. M.; Seidel, E.; Sellers, D.; Sengupta, A. S.; Sentenac, D.; Sequino, V.; Sergeev, A.; Shaddock, D. A.; Shaffer, T. J.; Shah, A. A.; Shahriar, M. S.; Shaner, M. B.; Shao, L.; Shapiro, B.; Shawhan, P.; Sheperd, A.; Shoemaker, D. H.; Shoemaker, D. M.; Siellez, K.; Siemens, X.; Sieniawska, M.; Sigg, D.; Silva, A. D.; Singer, L. P.; Singh, A.; Singhal, A.; Sintes, A. M.; Slagmolen, B. J. J.; Smith, B.; Smith, J. R.; Smith, R. J. E.; Somala, S.; Son, E. J.; Sonnenberg, J. A.; Sorazu, B.; Sorrentino, F.; Souradeep, T.; Spencer, A. P.; Srivastava, A. K.; Staats, K.; Staley, A.; Steinke, M.; Steinlechner, J.; Steinlechner, S.; Steinmeyer, D.; Stevenson, S. P.; Stone, R.; Stops, D. J.; Strain, K. A.; Stratta, G.; Strigin, S. E.; Strunk, A.; Sturani, R.; Stuver, A. L.; Summerscales, T. Z.; Sun, L.; Sunil, S.; Suresh, J.; Sutton, P. J.; Swinkels, B. L.; Szczepanczyk, M. J.; Tacca, M.; Tait, S. C.; Talbot, C.; Talukder, D.; Tanner, D. B.; Tpai, M.; Taracchini, A.; Tasson, J. D.; Taylor, J. A.; Taylor, R.; Tewari, S. V.; Theeg, T.; Thies, F.; Thomas, E. G.; Thomas, M.; Thomas, P.; Thorne, K. A.; Thorne, K. S.; Thrane, E.; Tiwari, S.; Tiwari, V.; Tokmakov, K. V.; Toland, K.; Tonelli, M.; Tornasi, Z.; Torres-Forn, A.; Torrie, C. I.; Toyr, D.; Travasso, F.; Traylor, G.; Trinastic, J.; Tringali, M. C.; Trozzo, L.; Tsang, K. W.; Tse, M.; Tso, R.; Tsukada, L.; Tsuna, D.; Tuyenbayev, D.; Ueno, K.; Ugolini, D.; Unnikrishnan, C. S.; Urban, A. L.; Usman, S. A.; Vahlbruch, H.; Vajente, G.; Valdes, G.; Van Bakel, N.; Van Beuzekom, M.; van den Brand, J. F. J.; van den Broeck, C.; Vander-Hyde, D. C.; van der Schaaf, L.; van Heijningen, J. V.; van Veggel, A. A.; Vardaro, M.; Varma, V.; Vass, S.; Vasuth, M.; Vecchio, A.; Vedovato, G.; Veitch, J.; Veitch, P. J.; Venkateswara, K.; Venugopalan, G.; Verkindt, D.; Vetro, F.; Vicere, A.; Viets, A. D.; Vinciguerra, S.; Vine, D. J.; Vinet, J. Y.; Vitale, S.; Vo, T.; Vocca, H.; Vorvick, C.; Vyatchanin, S. P.; Wade, A. R.; Wade, L. E.; Wade, M.; Walet, R.; Walker, M.; Wallace, L.; Walsh, S.; Wang, G.; Wang, H.; Wang, J. Z.; Wang, W. H.; Wang, Y. F.; Ward, R. L.; Warner, J.; Was, M.; Watchi, J.; Weaver, B.; Wei, L. -W.; Weinert, M.; Weinstein, A. J.; Weiss, R.; Wen, L.; Wessel, E. K.; Wessels, P.; Westerweck, J.; Westphal, T.; Wette, K.; Whelan, J. T.; Whitcomb, S. E.; Whiting, B. F.; Whittle, C.; Wilken, D.; Williams, D.; Williams, R. D.; Williamson, A. R.; Willis, J. L.; Willke, B.; Wimmer, M. H.; Winkler, W.; Wipf, C. C.; Wittel, H.; Woan, G.; Woehler, J.; Wofford, J.; Wong, K. W. K.; Worden, J.; Wright, J. L.; Wu, D. S.; Wysocki, D. M.; Xiao, S.; Yamamoto, H.; Yancey, C. C.; Yang, L.; Yap, M. J.; Yazback, M.; Yu, Hang; Yu, Haocun; Yvert, M.; Zadrozny, A.; Zanolin, M.; Zelenova, T.; Zendri, J. -P.; Zevin, M.; Zhang, L.; Zhang, M.; Zhang, T.; Zhang, Y. -H.; Zhao, C.; Zhou, M.; Zhou, Z.; Zhu, S. J.; Zhu, X. J.; Zimmerman, A. B.; Zucker, M. E.; Zweizig, J.; Wilson-Hodge, C. A.; Bissaldi, E.; Blackburn, L.; Briggs, M. S.; Burns, E.; Cleveland, W. H.; Connaughton, V.; Gibby, M. H.; Giles, M. M.; Goldstein, A.; Hamburg, R.; Jenke, P.; Hui, C. M.; Kippen, R. M.; Kocevski, D.; McBreen, S.; Meegan, C. A.; Paciesas, W. S.; Poolakkil, S.; Preece, R. D.; Racusin, J.; Roberts, O. J.; Stanbro, M.; Veres, P.; von Kienlin, A.; Savchenko, V.; Ferrigno, C.; Kuulkers, E.; Bazzano, A.; Bozzo, E.; Brandt, S.; Chenevez, J.; Courvoisier, T. J. -L.; Diehl, R.; Domingo, A.; Hanlon, L.; Jourdain, E.; Laurent, P.; Lebrun, F.; Lutovinov, A.; Martin-Carrillo, A.; Mereghetti, S.; Natalucci, L.; Rodi, J.; Roques, J. -P.; Sunyaev, R.; Ubertini, P.; Aartsen, M. G.; Ackermann, M.; Adams, J.; Aguilar, J. A.; Ahlers, M.; Ahrens, M.; Al Samarai, I.; Altmann, D.; Andeen, K.; Anderson, T.; Ansseau, I.; Anton, G.; Argelles, C.; Auffenberg, J.; Axani, S.; Bagherpour, H.; Bai, X.; Barron, J. P.; Barwick, S. W.; Baum, V.; Bay, R.; Beatty, J. J.; Tjus, J. Becker; Bernardini, E.; Besson, D. Z.; Binder, G.; Bindig, D.; Blaufuss, E.; Blot, S.; Bohm, C.; Borner, M.; Bos, F.; Bose, D.; Boser, S.; Botner, O.; Bourbeau, E.; Bourbeau, J.; Bradascio, F.; Braun, J.; Brayeur, L.; Brenzke, M.; Bretz, H. -P.; Bron, S.; Brostean-Kaiser, J.; Burgman, A.; Carver, T.; Casey, J.; Casier, M.; Cheung, E.; Chirkin, D.; Christov, A.; Clark, K.; Classen, L.; Coenders, S.; Collin, G. H.; Conrad, J. M.; Cowen, D. F.; Cross, R.; Day, M.; De Andre, J. P. A. M.; De Clercq, C.; DeLaunay, J. J.; Dembinski, H.; De Ridder, S.; Desiati, P.; De Vries, K. D.; De Wasseige, G.; De With, M.; DeYoung, T.; Diaz-Velez, J. C.; Di Lorenzo, V.; Dujmovic, H.; Dumm, J. P.; Dunkman, M.; Dvorak, E.; Eberhardt, B.; Ehrhardt, T.; Eichmann, B.; Eller, P.; Evenson, P. A.; Fahey, S.; Fazely, A. R.; Felde, J.; Filimonov, K.; Finley, C.; Flis, S.; Franckowiak, A.; Friedman, E.; Fuchs, T.; Gaisser, T. K.; Gallagher, J.; Gerhardt, L.; Ghorbani, K.; Giang, W.; Glauch, T.; Glsenkamp, T.; Goldschmidt, A.; Gonzalez, J. G.; Grant, D.; Griffith, Z.; Haack, C.; Hallgren, A.; Halzen, F.; Hanson, K.; Hebecker, D.; Heereman, D.; Helbing, K.; Hellauer, R.; Hickford, S.; Hignight, J.; Hill, G. C.; Hoffman, K. D.; Hoffmann, R.; Hokanson-Fasig, B.; Hoshina, K.; Huang, F.; Huber, M.; Hultqvist, K.; Hnnefeld, M.; In, S.; Ishihara, A.; Jacobi, E.; Japaridze, G. S.; Jeong, M.; Jero, K.; Jones, B. J. P.; Kalaczynski, P.; Kang, W.; Kappes, A.; Karg, T.; Karle, A.; Keivani, A.; Kelley, J. L.; Kheirandish, A.; Kim, J.; Kim, M.; Kintscher, T.; Kiryluk, J.; Kittler, T.; Klein, S. R.; Kohnen, G.; Koirala, R.; Kolanoski, H.; Kopke, L.; Kopper, C.; Kopper, S.; Koschinsky, J. P.; Koskinen, D. J.; Kowalski, M.; Krings, K.; Kroll, M.; Krckl, G.; Kunnen, J.; Kunwar, S.; Kurahashi, N.; Kuwabara, T.; Kyriacou, A.; Labare, M.; Lanfranchi, J. L.; Larson, M. J.; Lauber, F.; Lesiak-Bzdak, M.; Leuermann, M.; Liu, Q. R.; Lu, L.; Lnemann, J.; Luszczak, W.; Madsen, J.; Maggi, G.; Mahn, K. B. M.; Mancina, S.; Maruyama, R.; Mase, K.; Maunu, R.; McNally, F.; Meagher, K.; Medici, M.; Meier, M.; Menne, T.; Merino, G.; Meures, T.; Miarecki, S.; Micallef, J.; Moment, G.; Montaruli, T.; Moore, R. W.; Moulai, M.; Nahnhauer, R.; Nakarmi, P.; Naumann, U.; Neer, G.; Niederhausen, H.; Nowicki, S. C.; Nygren, D. R.; Pollmann, A. Obertacke; Olivas, A.; O'Murchadha, A.; Palczewski, T.; Pandya, H.; Pankova, D. V.; Peiffer, P.; Pepper, J. A.; Heros, C. Perez De Los; Pieloth, D.; Pinat, E.; Price, P. B.; Przybylski, G. T.; Raab, C.; Rdel, L.; Rameez, M.; Rawlins, K.; Rea, I. C.; Reimann, R.; Relethford, B.; Relich, M.; Resconi, E.; Rhode, W.; Richman, M.; Robertson, S.; Rongen, M.; Rott, C.; Ruhe, T.; Ryckbosch, D.; Rysewyk, D.; Slzer, T.; Herrera, S. E. Sanchez; Sandrock, A.; Sandroos, J.; Santander, M.; Sarkar, S.; Sarkar, S.; Satalecka, K.; Schlunder, P.; Schmidt, T.; Schneider, A.; Schoenen, S.; Schoneberg, S.; Schumacher, L.; Seckel, D.; Seunarine, S.; Soedingrekso, J.; Soldin, D.; Song, M.; Spiczak, G. M.; Spiering, C.; Stachurska, J.; Stamatikos, M.; Stanev, T.; Stasik, A.; Stettner, J.; Steuer, A.; Stezelberger, T.; Stokstad, R. G.; Stosl, A.; Strotjohann, N. L.; Stuttard, T.; Sullivan, G. W.; Sutherland, M.; Taboada, I.; Tatar, J.; Tenholt, F.; Ter-Antonyan, S.; Terliuk, A.; Tesic, G.; Tilav, S.; Toale, P. A.; Tobin, M. N.; Toscano, S.; Tosi, D.; Tselengidou, M.; Tung, C. F.; Turcati, A.; Turley, C. F.; Ty, B.; Unger, E.; Usner, M.; Vandenbroucke, J.; Van Driessche, W.; Van Eijndhoven, N.; Vanheule, S.; Van Santen, J.; Vehring, M.; Vogel, E.; Vraeghe, M.; Walck, C.; Wallace, A.; Wallraff, M.; Wandler, F. D.; Wandkowsky, N.; Waza, A.; Weaver, C.; Weiss, M. J.; Wendt, C.; Werthebach, J.; Whelan, B. J.; Wiebe, K.; Wiebusch, C. H.; Wille, L.; Williams, D. R.; Wills, L.; Wolf, M.; Wood, T. R.; Woolsey, E.; Woschnagg, K.; Xu, D. L.; Xu, X. W.; Xu, Y.; Yanez, J. P.; Yodh, G.; Yoshida, S.; Yuan, T.; Zoll, M.; Balasubramanian, A.; Mate, S.; Bhalerao, V.; Bhattacharya, D.; Vibhute, A.; Dewangan, G. C.; Rao, A. R.; Vadawale, S. V.; Svinkin, D. S.; Hurley, K.; Aptekar, R. L.; Frederiks, D. D.; Golenetskii, S. V.; Kozlova, A. V.; Lysenko, A. L.; Oleynik, Ph. P.; Tsvetkova, A. E.; Ulanov, M. V.; Cline, T.; Li, T. P.; Xiong, S. L.; Zhang, S. N.; Lu, F. J.; Song, L. M.; Cao, X. L.; Chang, Z.; Chen, G.; Chen, L.; Chen, T. X.; Chen, Y.; Chen, Y. B.; Chen, Y. P.; Cui, W.; Cui, W. W.; Deng, J. K.; Dong, Y. W.; Du, Y. Y.; Fu, M. X.; Gao, G. H.; Gao, H.; Gao, M.; Ge, M. Y.; Gu, Y. D.; Guan, J.; Guo, C. C.; Han, D. W.; Hu, W.; Huang, Y.; Huo, J.; Jia, S. M.; Jiang, L. H.; Jiang, W. C.; Jin, J.; Jin, Y. J.; Li, B.; Li, C. K.; Li, G.; Li, M. S.; Li, W.; Li, X.; Li, X. B.; Li, X. F.; Li, Y. G.; Li, Z. J.; Li, Z. W.; Liang, X. H.; Liao, J. Y.; Liu, C. Z.; Liu, G. Q.; Liu, H. W.; Liu, S. Z.; Liu, X. J.; Liu, Y.; Liu, Y. N.; Lu, B.; Lu, X. F.; Luo, T.; Ma, X.; Meng, B.; Nang, Y.; Nie, J. Y.; Ou, G.; Qu, J. L.; Sai, N.; Sun, L.; Tan, Y.; Tao, L.; Tao, W. H.; Tuo, Y. L.; Wang, G. F.; Wang, H. Y.; Wang, J.; Wang, W. S.; Wang, Y. S.; Wen, X. Y.; Wu, B. B.; Wu, M.; Xiao, G. C.; Xu, H.; Xu, Y. P.; Yan, L. L.; Yang, J. W.; Yang, S.; Yang, Y. J.; Zhang, A. M.; Zhang, C. L.; Zhang, C. M.; Zhang, F.; Zhang, H. M.; Zhang, J.; Zhang, Q.; Zhang, S.; Zhang, T.; Zhang, W.; Zhang, W. C.; Zhang, W. Z.; Zhang, Y.; Zhang, Y.; Zhang, Y. F.; Zhang, Y. J.; Zhang, Z.; Zhang, Z. L.; Zhao, H. S.; Zhao, J. L.; Zhao, X. F.; Zheng, S. J.; Zhu, Y.; Zhu, Y. X.; Zou, C. L.; Albert, A.; Andre, M.; Anghinolfi, M.; Ardid, M.; Aubert, J. -J.; Aublin, J.; Avgitas, T.; Baret, B.; Barrios-Marti, J.; Basa, S.; Belhorma, B.; Bertin, V.; Biagi, S.; Bormuth, R.; Bourret, S.; Bouwhuis, M. C.; Brnzas, H.; Bruijn, R.; Brunner, J.; Busto, J.; Capone, A.; Caramete, L.; Carr, J.; Celli, S.; El Moursli, R. Cherkaoui; Chiarusi, T.; Circella, M.; Coelho, J. A. B.; Coleiro, A.; Coniglione, R.; Costantini, H.; Coyle, P.; Creusot, A.; Diaz, A. F.; Deschamps, A.; De Bonis, G.; Distefano, C.; Di Palma, I.; Domi, A.; Donzaud, C.; Dornic, D.; Drouhin, D.; Eberl, T.; El Bojaddaini, I.; El Khayati, N.; Elsasser, D.; Enzenhofer, A.; Ettahiri, A.; Fassi, F.; Felis, I.; Fusco, L. A.; Gay, P.; Giordano, V.; Glotin, H.; Gregoire, T.; Ruiz, R. Gracia; Graf, K.; Hallmann, S.; Van Haren, H.; Heijboer, A. J.; Hello, Y.; Hernndez-Rey, J. J.; Hossl, J.; Hofestdt, J.; Hugon, C.; Illuminati, G.; James, C. W.; De Jong, M.; Jongen, M.; Kadler, M.; Kalekin, O.; Katz, U.; Kiessling, D.; Kouchner, A.; Kreter, M.; Kreykenbohm, I.; Kulikovskiy, V.; Lachaud, C.; Lahmann, R.; LefSvre, D.; Leonora, E.; Lotze, M.; Loucatos, S.; Marcelin, M.; Margiotta, A.; Marinelli, A.; Martinez-Mora, J. A.; Mele, R.; Melis, K.; Michael, T.; Migliozzi, P.; Moussa, A.; Navas, S.; Nezri, E.; Organokov, M.; Pavalas, G. E.; Pellegrino, C.; Perrina, C.; Piattelli, P.; Popa, V.; Pradier, T.; Quinn, L.; Racca, C.; Riccobene, G.; Sanchez-Losa, A.; Saldaa, M.; Salvadori, I.; Samtleben, D. F. E.; Sanguineti, M.; Sapienza, P.; Sieger, C.; Spurio, M.; Stolarczyk, Th.; Taiuti, M.; Tayalati, Y.; Trovato, A.; Turpin, D.; Tonnis, C.; Vallage, B.; Van Elewyck, V.; Versari, F.; Vivolo, D.; Vizzoca, A.; Wilms, J.; Zornoza, J. D.; Zuniga, J.; Beardmore, A. P.; Breeveld, A. A.; Burrows, D. N.; Cenko, S. B.; Cusumano, G.; D'Al, A.; De Pasquale, M.; Emery, S. W. K.; Evans, P. A.; Giommi, P.; Gronwall, C.; Kennea, J. A.; Krimm, H. A.; Kuin, N. P. M.; Lien, A.; Marshall, F. E.; Melandri, A.; Nousek, J. A.; Oates, S. R.; Osborne, J. P.; Pagani, C.; Page, K. L.; Palmer, D. M.; Perri, M.; Siegel, M. H.; Sbarufatti, B.; Tagliaferri, G.; Tohuvavohu, A.; Tavani, M.; Verrecchia, F.; Bulgarelli, A.; Evangelista, Y.; Pacciani, L.; Feroci, M.; Pittori, C.; Giuliani, A.; Del Monte, E.; Donnarumma, I.; Argan, A.; Trois, A.; Ursi, A.; Cardillo, M.; Piano, G.; Longo, F.; Lucarelli, F.; Munar-Adrover, P.; Fuschino, F.; Labanti, C.; Marisaldi, M.; Minervini, G.; Fioretti, V.; Parmiggiani, N.; Gianotti, F.; Trifoglio, M.; Di Persio, G.; Antonelli, L. A.; Barbiellini, G.; Caraveo, P.; Cattaneo, P. W.; Costa, E.; Colafrancesco, S.; D'Amico, F.; Ferrari, A.; Morselli, A.; Paoletti, F.; Picozza, P.; Pilia, M.; Rappoldi, A.; Soffitta, P.; Vercellone, S.; Foley, R. J.; Coulter, D. A.; Kilpatrick, C. D.; Drout, M. R.; Piro, A. L.; Shappee, B. J.; Siebert, M. R.; Simon, J. D.; Ulloa, N.; Kasen, D.; Madore, B. F.; Murguia-Berthier, A.; Pan, Y. -C.; Prochaska, J. X.; Ramirez-Ruiz, E.; Rest, A.; Rojas-Bravo, C.; Berger, E.; Soares-Santos, M.; Annis, J.; Alexander, K. D.; Allam, S.; Balbinot, E.; Blanchard, P.; Brout, D.; Butler, R. E.; Chornock, R.; Cook, E. R.; Cowperthwaite, P.; Diehl, H. T.; Drlica-Wagner, A.; Drout, M. R.; Durret, F.; Eftekhari, T.; Finley, D. A.; Fong, W.; Frieman, J. A.; Fryer, C. L.; Garcia-Bellido, J.; Gruendl, R. A.; Hartley, W.; Herner, K.; Kessler, R.; Lin, H.; Lopes, P. A. A.; Lourenco, A. C. C.; Margutti, R.; Marshall, J. L.; Matheson, T.; Medina, G. E.; Metzger, B. D.; Muoz, R. R.; Muir, J.; Nicholl, M.; Nugent, P.; Palmese, A.; Paz-Chinchn, F.; Quataert, E.; Sako, M.; Sauseda, M.; Schlegel, D. J.; Scolnic, D.; Secco, L. F.; Smith, N.; Sobreira, F.; Villar, V. A.; Vivas, A. K.; Wester, W.; Williams, P. K. G.; Yanny, B.; Zenteno, A.; Zhang, Y.; Abbott, T. M. C.; Banerji, M.; Bechtol, K.; Benoit-Levy, A.; Bertin, E.; Brooks, D.; Buckley-Geer, E.; Burke, D. L.; Capozzi, D.; Rosell, A. Carnero; Kind, M. Carrasco; Castander, F. J.; Crocce, M.; Cunha, C. E.; D'Andrea, C. B.; Da Costa, L. N.; Davis, C.; Depoy, D. L.; Desai, S.; Dietrich, J. P.; Eifler, T. F.; Fernandez, E.; Flaugher, B.; Fosalba, P.; Gaztanaga, E.; Gerdes, D. W.; Giannantonio, T.; Goldstein, D. A.; Gruen, D.; Gschwend, J.; Gutierrez, G.; Honscheid, K.; James, D. J.; Jeltema, T.; Johnson, M. W. G.; Johnson, M. D.; Kent, S.; Krause, E.; Kron, R.; Kuehn, K.; Lahav, O.; Lima, M.; Maia, M. A. G.; March, M.; Martini, P.; McMahon, R. G.; Menanteau, F.; Miller, C. J.; Miquel, R.; Mohr, J. J.; Nichol, R. C.; Ogando, R. L. C.; Plazas, A. A.; Romer, A. K.; Roodman, A.; Rykoff, E. S.; Sanchez, E.; Scarpine, V.; Schindler, R.; Schubnell, M.; Sevilla-Noarbe, I.; Sheldon, E.; Smith, M.; Smith, R. C.; Stebbins, A.; Suchyta, E.; Swanson, M. E. C.; Tarle, G.; Thomas, R. C.; Troxel, M. A.; Tucker, D. L.; Vikram, V.; Walker, A. R.; Wechsler, R. H.; Weller, J.; Carlin, J. L.; Gill, M. S. S.; Li, T. S.; Marriner, J.; Neilsen, E.; Haislip, J. B.; Kouprianov, V. V.; Reichart, D. E.; Sand, D. J.; Tartaglia, L.; Valenti, S.; Yang, S.; Benetti, S.; Brocato, E.; Campana, S.; Cappellaro, E.; Covino, S.; D'Avanzo, P.; D'Elia, V.; Getman, F.; Ghirlanda, G.; Ghisellini, G.; Limatola, L.; Nicastro, L.; Palazzi, E.; Pian, E.; Piranomonte, S.; Possenti, A.; Rossi, A.; Salafia, O. S.; Tomasella, L.; Amati, L.; Antonelli, L. A.; Bernardini, M. G.; Bufano, F.; Capaccioli, M.; Casella, P.; Dadina, M.; De Cesare, G.; Di Paola, A.; Giuffrida, G.; Giunta, A.; Israel, G. L.; Lisi, M.; Maiorano, E.; Mapelli, M.; Masetti, N.; Pescalli, A.; Pulone, L.; Salvaterra, R.; Schipani, P.; Spera, M.; Stamerra, A.; Stella, L.; Testa, V.; Turatto, M.; Vergani, D.; Aresu, G.; Bachetti, M.; Buffa, F.; Burgay, M.; Buttu, M.; Caria, T.; Carretti, E.; Casasola, V.; Castangia, P.; Carboni, G.; Casu, S.; Concu, R.; Corongiu, A.; Deiana, G. L.; Egron, E.; Fara, A.; Gaudiomonte, F.; Gusai, V.; Ladu, A.; Loru, S.; Leurini, S.; Marongiu, L.; Melis, A.; Melis, G.; Migoni, Carlo; Milia, Sabrina; Navarrini, Alessandro; Orlati, A.; Ortu, P.; Palmas, S.; Pellizzoni, A.; Perrodin, D.; Pisanu, T.; Poppi, S.; Righini, S.; Saba, A.; Serra, G.; Serrau, M.; Stagni, M.; Surcis, G.; Vacca, V.; Vargiu, G. P.; Hunt, L. K.; Jin, Z. P.; Klose, S.; Kouveliotou, C.; Mazzali, P. A.; Moller, P.; Nava, L.; Piran, T.; Selsing, J.; Vergani, S. D.; Wiersema, K.; Toma, K.; Higgins, A. B.; Mundell, C. G.; Alighieri, S. Di Serego; Gtz, D.; Gao, W.; Gomboc, A.; Kaper, L.; Kobayashi, S.; Kopac, D.; Mao, J.; Starling, R. L. C.; Steele, I.; Van der Horst, A. J.; Acero, F.; Atwood, W. B.; Baldini, L.; Barbiellini, G.; Bastieri, D.; Berenji, B.; Bellazzini, R.; Bissaldi, E.; Blandford, R. D.; Bloom, E. D.; Bonino, R.; Bottacini, E.; Bregeon, J.; Buehler, R.; Buson, S.; Cameron, R. A.; Caputo, R.; Caraveo, P. A.; Cavazzuti, E.; Chekhtman, A.; Cheung, C. C.; Chiang, J.; Ciprini, S.; Cohen-Tanugi, J.; Cominsky, L. R.; Costantin, D.; Cuoco, A.; D'Ammando, F.; De Palma, F.; Digel, S. W.; Di Lalla, N.; Di Mauro, M.; Di Venere, L.; Dubois, R.; Fegan, S. J.; Focke, W. B.; Franckowiak, A.; Fukazawa, Y.; Funk, S.; Fusco, P.; Gargano, F.; Gasparrini, D.; Giglietto, N.; Giordano, F.; Giroletti, M.; Glanzman, T.; Green, D.; Grondin, M. -H.; Guillemot, L.; Guiriec, S.; Harding, A. K.; Horan, D.; Jhannesson, G.; Kamae, T.; Kensei, S.; Kuss, M.; La Mura, G.; Latronico, L.; Lemoine-Goumard, M.; Longo, F.; Loparco, F.; Lovellette, M. N.; Lubrano, P.; Magill, J. D.; Maldera, S.; Manfreda, A.; Mazziotta, M. N.; McEnery, J. E.; Meyer, M.; Michelson, P. F.; Mirabal, N.; Monzani, M. E.; Morselli, A.; Moskalenko, I. V.; Negro, M.; Nuss, E.; Ojha, R.; Omodei, N.; Orienti, M.; Orlando, E.; Palatiello, M.; Paliya, V. S.; Paneque, D.; Pesce-Rollins, M.; Piron, F.; Porter, T. A.; Principe, G.; Rain, S.; Rando, R.; Razzano, M.; Razzaque, S.; Reimer, A.; Reimer, O.; Reposeur, T.; Rochester, L. S.; Parkinson, P. M. Saz; Sgro, C.; Siskind, E. J.; Spada, F.; Spandre, G.; Suson, D. J.; Takahashi, M.; Tanaka, Y.; Thayer, J. G.; Thayer, J. B.; Thompson, D. J.; Tibaldo, L.; Torres, D. F.; Torresi, E.; Troja, E.; Venters, T. M.; Vianello, G.; Zaharijas, G.; Allison, J.; Bannister, K. W.; Dobie, D.; Kaplan, D. L.; Lenc, E.; Lynch, C.; Murphy, T.; Sadler, E. M.; Hotan, A.; James, C. W.; Oslowski, S.; Raja, W.; Shannon, R. M.; Whiting, M.; Arcavi, I.; Howell, D. A.; McCully, C.; Hosseinzadeh, G.; Hiramatsu, D.; Poznanski, D.; Barnes, J.; Zaltzman, M.; Vasylyev, S.; Maoz, D.; Cooke, J.; Bailes, M.; Wolf, C.; Deller, A. T.; Lidman, C.; Wang, L.; Gendre, B.; Andreoni, I.; Ackley, K.; Pritchard, T. A.; Bessell, M. S.; Chang, S. -W.; Moller, A.; Onken, C. A.; Scalzo, R. A.; Ridden-Harper, R.; Sharp, R. G.; Tucker, B. E.; Farrell, T. J.; Elmer, E.; Johnston, S.; Krishnan, V. Venkatraman; Keane, E. F.; Green, J. A.; Jameson, A.; Hu, L.; Ma, B.; Sun, T.; Wu, X.; Wang, X.; Shang, Z.; Hu, Y.; Ashley, M. C. B.; Yuan, X.; Li, X.; Tao, C.; Zhu, Z.; Zhang, H.; Suntzeff, N. B.; Zhou, J.; Yang, J.; Orange, B.; Morris, D.; Cucchiara, A.; Giblin, T.; Klotz, A.; Staff, J.; Thierry, P.; Schmidt, B. P.; Tanvir, N. R.; Levan, A. J.; Cano, Z.; De Ugarte-Postigo, A.; Evans, P.; Gonzalez-Fernandez, C.; Greiner, J.; Hjorth, J.; Irwin, M.; Kruhler, T.; Mandel, I.; Milvang-Jensen, B.; O'Brien, P.; Rol, E.; Rosetti, S.; Rosswog, S.; Rowlinson, A.; Steeghs, D. T. H.; Thene, C. C.; Ulaczyk, K.; Watson, D.; Bruun, S. H.; Cutter, R.; Jaimes, R. Figuera; Fujii, Y. I.; Fruchter, A. S.; Gompertz, B.; Jakobsson, P.; Hodosan, G.; Jergensen, U. G.; Kangas, T.; Kann, D. A.; Rabus, M.; Schroder, S. L.; Stanway, E. R.; Wijers, R. A. M. J.; Lipunov, V. M.; Gorbovskoy, E. S.; Kornilov, V. G.; Tyurina, N. V.; Balanutsa, P. V.; Kuznetsov, A. S.; Vlasenko, D. M.; Podesta, R. C.; Lopez, C.; Podesta, F.; Levato, H. O.; Saffe, C.; Mallamaci, C. C.; Budnev, N. M.; Gress, O. A.; Kuvshinov, D. A.; Gorbunov, I. A.; Vladimirov, V. V.; Zimnukhov, D. S.; Gabovich, A. V.; Yurkov, V. V.; Sergienko, Yu. P.; Rebolo, R.; Serra-Ricart, M.; Tlatov, A. G.; Ishmuhametova, Yu. V.; Abe, F.; Aoki, K.; Aoki, W.; Asakura, Y.; Baar, S.; Barway, S.; Bond, I. A.; Doi, M.; Finet, F.; Fujiyoshi, T.; Furusawa, H.; Honda, S.; Itoh, R.; Kanda, N.; Kawabata, K. S.; Kawabata, M.; Kim, J. H.; Koshida, S.; Kuroda, D.; Lee, C. -H.; Liu, W.; Matsubayashi, K.; Miyazaki, S.; Morihana, K.; Morokuma, T.; Motohara, K.; Murata, K. L.; Nagai, H.; Nagashima, H.; Nagayama, T.; Nakaoka, T.; Nakata, F.; Ohsawa, R.; Ohshima, T.; Ohta, K.; Okita, H.; Saito, T.; Saito, Y.; Sako, S.; Sekiguchi, Y.; Sumi, T.; Tajitsu, A.; Takahashi, J.; Takayama, M.; Tamura, Y.; Tanaka, I.; Tanaka, M.; Terai, T.; Tominaga, N.; Tristram, P. J.; Uemura, M.; Utsumi, Y.; Yamaguchi, M. S.; Yasuda, N.; Yoshida, M.; Zenko, T.; Adams, S. M.; Allison, J. R.; Anupama, G. C.; Bally, J.; Barway, S.; Bellm, E.; Blagorodnova, N.; Cannella, C.; Chandra, P.; Chatterjee, D.; Clarke, T. E.; Cobb, B. E.; Cook, D. O.; Copperwheat, C.; De, K.; Emery, S. W. K.; Evans, P. A.; Feindt, U.; Foster, K.; Fox, O. D.; Frail, D. A.; Fremling, C.; Frohmaier, C.; Garcia, J. A.; Ghosh, S.; Giacintucci, S.; Goobar, A.; Gottlieb, O.; Grefenstette, B. W.; Hallinan, G.; Harrison, F.; Heida, M.; Helou, G.; Ho, A. Y. Q.; Hor(data truncated to fit)</t>
  </si>
  <si>
    <t>LIGO Sci Collaboration &amp; Virgo; Fermi GBM; INTERGRAL; IceCube Collaboration; AstroSat Cadmium Zinc Telluride; IPN Collaboration; Insight-Hxmt Collaboration; ANTARES Collaboration; Swift Collaboration; AGILE Team; The 1M2H Team; Dark Energy Camera GW-EM; DLT40 Collaboration; GRAWITA GRAvitational Wave; Fermi Large Area Telescope; ATCA Australia Telescope; ASKAP Australian SKA Pathfinder; Las Cumbres Observatory Grp; OzGrav DWF Deeper Wider Faster; VINROUGE Collaboration; MASTER Collaboration; J-GEM; GROWTH JAGWAR CALTECH; Pan-STARRS; MAXI Team; TZAC Consortium; KU Collaboration; Nordic Optical Telescope; ePESSTO; GROUND; Texas Tech Univ; Salt Grp; Toros Transient Robotic Observat; BOOTES Collaboration; MWA Murchison Widefield Array; CALET Collaboration; IKI-GW Follow-up Collaboration; H E S S Collaboration; LOFAR Collaboration; LWA Long Wavelength Array; HAWC Collaboration; Pierre Auger Collaboration; ALMA Collaboration; Euro VLBI Team; Pi Sky Collaboration; Chandra Team McGill Univ; DFN Desert Fireball Network; ATLAS; High Time Resolution Universe; RIMAS RATIR; SKA South Africa MeerKAT</t>
  </si>
  <si>
    <t>Multi-messenger Observations of a Binary Neutron Star Merger</t>
  </si>
  <si>
    <t>ASTROPHYSICAL JOURNAL LETTERS</t>
  </si>
  <si>
    <t>gravitational waves; stars: neutron</t>
  </si>
  <si>
    <t>GAMMA-RAY BURST; NEARBY SUPERNOVA RATES; GRAVITATIONAL-WAVES; HOST GALAXY; AFTERGLOW; PULSAR; EVOLUTION; REDSHIFT; IMAGER; NUCLEOSYNTHESIS</t>
  </si>
  <si>
    <t>On 2017 August 17 a binary neutron star coalescence candidate (later designated GW170817) with merger time 12:41:04 UTC was observed through gravitational waves by the Advanced LIGO and Advanced Virgo detectors. The Fermi Gamma-ray Burst Monitor independently detected a gamma-ray burst (GRB 170817A) with a time delay of similar to 1.7 s with respect to the merger time. From the gravitational-wave signal, the source was initially localized to a sky region of 31 deg(2) at a luminosity distance of 40(-8)(+8) Mpc and with component masses consistent with neutron stars. The component masses were later measured to be in the range 0.86 to 2.26 M-circle dot. An extensive observing campaign was launched across the electromagnetic spectrum leading to the discovery of a bright optical transient (SSS17a, now with the IAU identification of AT 2017gfo) in NGC 4993 (at similar to 40 Mpc) less than 11 hours after the merger by the One-Meter, Two Hemisphere (1M2H) team using the 1 m Swope Telescope. The optical transient was independently detected by multiple teams within an hour. Subsequent observations targeted the object and its environment. Early ultraviolet observations revealed a blue transient that faded within 48 hours. Optical and infrared observations showed a redward evolution over similar to 10 days. Following early non-detections, X-ray and radio emission were discovered at the transient's position similar to 9 and similar to 16 days, respectively, after the merger. Both the X-ray and radio emission likely arise from a physical process that is distinct from the one that generates the UV/optical/near-infrared emission. No ultra-high-energy gamma-rays and no neutrino candidates consistent with the source were found in follow-up searches. These observations support the hypothesis that GW170817 was produced by the merger of two neutron stars in NGC4993 followed by a short gamma-ray burst (GRB 170817A) and a kilonova/macronova powered by the radioactive decay of r-process nuclei synthesized in the ejecta.</t>
  </si>
  <si>
    <t>[Abbott, B. P.; Abbott, R.; Adhikari, R. X.; Ananyeva, A.; Anderson, S. B.; Appert, S.; Arai, K.; Araya, M. C.; Barayoga, J. C.; Barish, B. C.; Berger, B. K.; Billingsley, G.; Biscans, S.; Blackburn, J. K.; Blair, C. D.; Brooks, A. F.; Brunett, S.; Cahillane, C.; Callister, T. A.; Cepeda, C. B.; Coughlin, M. W.; Couvares, P.; Coyne, D. C.; Ehrens, P.; Eichholz, J.; Etzel, T.; Feicht, J.; Fries, E. M.; Gossan, S. E.; Gushwa, K. E.; Gustafson, E. K.; Heptonstall, A. W.; Isi, M.; Kamai, B.; Kanner, J. B.; Kondrashov, V.; Korth, W. Z.; Kozak, D. B.; Lazzarini, A.; Markowitz, A.; Maros, E.; Massinger, T. J.; Matichard, F.; McIntyre, G.; McIver, J.; Meshkov, S.; Nevin, L.; Pedraza, M.; Perreca, A.; Price, L. R.; Quintero, E. A.; Reitze, D. H.; Robertson, N. A.; Rollins, J. G.; Sachdev, S.; Sanchez, E. J.; Sanchez, L. E.; Schmidt, P.; Smith, R. J. E.; Taylor, R.; Torrie, C. I.; Tso, R.; Urban, A. L.; Vajente, G.; Vass, S.; Venugopalan, G.; Verkindt, D.; Vetro, F.; Wade, A. R.; Wallace, L.; Weinstein, A. J.; Whitcomb, S. E.; Williams, R. D.; Willke, B.; Wipf, C. C.; Xiao, S.; Yamamoto, H.; Zhang, L.; Zucker, M. E.; Zweizig, J.] CALTECH, LIGO, Pasadena, CA 91125 USA; [Abbott, T. D.; Austin, C.; Buchanan, C. C.; Corbitt, T. R.; Cripe, J.; Cullen, T. J.; Giaime, J. A.; Gonzlez, G.; Hardwick, T.; Johnson, W. W.; Kasprzack, M.; Valdes, G.; Cherry, M. L.; Matthews, J.; Shadkam, A.] Louisiana State Univ, Baton Rouge, LA 70803 USA; [Acernese, F.; Barone, F.; Romano, R.] Univ Salerno, I-84084 Salerno, Italy; [Acernese, F.; Barone, F.; Calloni, E.; De laurentis, M.; De Rosa, R.; Di Fiore, L.; Di Girolamo, T.; Garufi, F.; Grado, A.; Milano, L.; Romano, R.] Complesso Univ Monte S Angelo04, Ist Nazl Fis Nucl, Sez Napoli, I-80126 Naples, Italy; [Ackley, K.; Bartos, I.; Billman, C. R.; Cheng, H. -P.; Chia, H.; Ciani, G.; Costa, C. F. Da Silva; Eikenberry, S. S.; Fulda, P.; Goetz, R.; Klimenko, S.; Mueller, A. L.; Mitselmakher, G.; Mueller, G.; Ortega, L. F.; Reitze, D. H.; Tanner, D. B.; Trinastic, J.; Whiting, B. F.; Yazback, M.] Univ Florida, Gainesville, FL 32611 USA; [Ackley, K.; Biscoveanu, S.; Goncharov, B.; Lasky, P. D.; Levin, Y.; McNeill, L.; Sammut, L.; Smith, R. J. E.; Talbot, C.; Thrane, E.; Whittle, C.; Zhu, X. J.] Monash Univ, Sch Phys &amp; Astron, OzGrav, Clayton, Vic 3800, Australia; [Adams, C.; Betzwieser, J.; Birch, J.; Bossie, K.; Corban, P.; Cowart, M. J.; DeRosa, R. T.; Effler, A.; Fyffe, M.; Giaime, J. A.; Giardina, K. D.; Hanson, J.; Heintze, M. C.; Holt, K.; Jani, K.; Kandhasamy, S.; Laxen, M.; Lormand, M.; Mullavey, A.; Nolting, D.; Oram, Richard J.; O'Reilly, B.; Overmier, H.; Pele, A.; Romie, J. H.; Sellers, D.; Shoemaker, D. M.; Smith, B.; Stuver, A. L.; Thomas, M.; Thorne, K. A.; Traylor, G.; Vetro, F.] LIGO Livingston Observ, Livingston, LA 70754 USA; Univ Savoie Mont Blanc, CNRS, IN2P3, Lab Annecy Le Vieux Phys Particules LAPP, F-74941 Annecy, France; [Addesso, P.; Mejuto-Villa, E.; Pierro, V.; Pinto, I. M.; Principe, M.] Univ Sannio Benevento, I-82100 Benevento, Italy; [Addesso, P.; Mejuto-Villa, E.; Pierro, V.; Pinto, I. M.; Principe, M.] Ist Nazl Fis Nucl, Sez Napoli, I-80100 Naples, Italy; [Adya, V. B.; Affeldt, C.; Allen, B.; Ashton, G.; Aulbert, C.; Beer, C.; Bergmann, G.; Birnholtz, O.; Bloemen, S.; Bock, O.; Brinkmann, M.; Cabero, M.; Capano, C. D.; Danilishin, S. L.; Danzmann, K.; Denker, T.; Dent, T.; De Varona, O.; Doravari, S.; Drago, M.; Dreissigacker, C.; Eggenstein, H. -B.; Fehrmann, H.; Grote, H.; Hanke, M. M.; Heurs, M.; Hu, Y. M.; Indik, N.; Junker, J.; Karvinen, K. S.; Khan, S.; Kirchhoff, R.; Koch, P.; Koehlenbeck, S. M.; Krmer, C.; Kringel, V.; Krishnan, B.; Kuehn, G.; Lehmann, J.; Lough, J. D.; Lck, H.; Lundgren, A. P.; Machenschalk, B.; Meadors, G. D.; Mehmet, M.; Mukherjee, Arunava; Nery, M.; Nielsen, A. B.; Nitz, A.; Noack, A.; Ohme, F.; Oppermann, P.; Papa, M. A.; Post, A.; Prijatelj, M.; Puncken, O.; Rieger, S.; Rdiger, A.; Salemi, F.; Schreiber, E.; Schuette, D.; Schulte, B. W.; Schutz, B. F.; Singh, A.; Steinke, M.; Steinmeyer, D.; Theeg, T.; Thies, F.; Vetro, F.; Walsh, S.; Wei, L. -W.; Weinert, M.; Wessels, P.; Westerweck, J.; Westphal, T.; Wilken, D.; Wimmer, M. H.; Winkler, W.; Wittel, H.; Woehler, J.; Wu, D. S.; Zhu, S. J.] Max Planck Inst Gravitat Phys, Albert Einstein Inst, D-30167 Hannover, Germany; [Afrough, M.; Ananyeva, A.; Cavagli, M.; Cocchieri, C.; Dooley, K. L.; Mogushi, K.] Univ Mississippi, University, MS 38677 USA; [Agarwal, B.; Allen, G.; George, D.; Huerta, E. A.; Katolik, M.; Kemball, A. J.; Markakis, C.; Ren, W.; Ricker, P. M.; Seidel, E.; Wessel, E. K.] Univ Illinois, NCSA, Urbana, IL 61801 USA; [Agathos, M.; Chua, A. J. K.; Moore, C. J.] Univ Cambridge, Cambridge CB2 1TN, England; [Agatsuma, K.; Bader, M. K. M.; Bertolini, A.; Boom, B. A.; Bork, R.; Bulten, H. J.; Caudill, S.; Ghosh, Archisman; Ghosh, S.; Jonker, R. J. G.; Koley, S.; Meidam, J.; Nelemans, G.; Nissanke, S.; Tacca, M.; Tsang, K. W.; Van Bakel, N.; Van Beuzekom, M.; van den Brand, J. F. J.; van den Broeck, C.; van der Schaaf, L.; van Heijningen, J. V.; Walet, R.; Bormuth, R.; Bouwhuis, M. C.; Bruijn, R.; Heijboer, A. J.; De Jong, M.; Jongen, M.; Melis, K.; Michael, T.; Samtleben, D. F. E.; Canfora, F.; De Jong, S. J.; De Mauro, G.; Falcke, H.; Horandel, J. R.; Timmermans, C.] Nikhef, Sci Pk, NL-1098 XG Amsterdam, Netherlands; [Aggarwal, N.; Barsotti, L.; Biscans, S.; Buikema, A.; Demos, N.; Donovan, F.; Eisenstein, R. A.; Essick, R. C.; Evans, M.; Fernandez-Galiana, A.; Fritschel, P.; Gras, S.; Hall, E. D.; Katsavounidis, E.; Kontos, A.; Lanza, R. K.; Lynch, R.; MacInnis, M.; Martynov, D. V.; Mason, K.; Matichard, F.; Mavalvala, N.; McCuller, L.; Miller, J.; Mittleman, R.; Mohapatra, S. R. P.; Shoemaker, D. H.; Tse, M.; Vitale, S.; Weiss, R.; Yu, Hang; Yu, Haocun; Zucker, M. E.; Blackburn, L.] MIT, LIGO, Cambridge, MA 02139 USA; [Aguiar, O. D.; Constancio, M.; Costa, C. A.; Ferreira, E. C.; Okada, M. A.; Silva, A. D.] Inst Nacl Pesquisas Espaciais, Sao Jose Campos, BR-12227010 Sao Paulo, Brazil; [Aiello, L.; Branchesi, M.; Coccia, E.; De laurentis, M.; Fafone, V.; Halim, O.; Harms, J.; Khan, I.; Lorenzini, M.; Sequino, V.; Singhal, A.; Tiwari, S.; Wang, G.] GSSI, I-67100 Laquila, Italy; [Aiello, L.; Branchesi, M.; Coccia, E.; Halim, O.; Harms, J.; Lorenzini, M.] Ist Nazl Fis Nucl, Lab Nazl Gran Sasso, I-67100 Assergi, Italy; [Ain, A.; Bose, S.; Dhurandhar, S.; Gadre, B. U.; Gaonkar, S. G.; Mitra, S.; Mukund, N.; Parida, A.; Prasad, J.; Souradeep, T.; Suresh, J.; Bhattacharya, D.; Vibhute, A.; Dewangan, G. C.; Rana, J.] Inter Univ, Ctr Astron &amp; Astrophys, Pune 411007, Maharashtra, India; [Ajith, P.; Ghosh, Abhirup; Ghosh, Archisman; Iyer, B. R.; Kumar, S.] Tata Inst Fundamental Res, Int Ctr Theoret Sci, Bengaluru 560089, India; [Allen, B.; Anderson, W. G.; Brady, P. R.; Brockill, P.; Caudill, S.; Chatterjee, D.; Creighton, J. D. E.; Downes, T. P.; Ghosh, S.; Horst, C.; Kapadia, S. J.; Kwang, S.; Hernandez, I. Magaa; Manske, M.; Mercer, R. A.; Mukherjee, D.; Papa, M. A.; Poe, M.; Prestegard, T.; Qi, H.; Sadeghian, L.; Sheperd, A.; Siemens, X.; Sonnenberg, J. A.; Ueno, K.; Viets, A. D.; Walsh, S.] Univ Wisconsin Milwaukee, Milwaukee, WI 53201 USA; [Allen, B.; Aufmuth, P.; Bisht, A.; Danilishin, S. L.; Danzmann, K.; Heurs, M.; Kaufer, S.; Lck, H.; Schuette, D.; Singh, A.; Vahlbruch, H.; Wei, L. -W.; Wimmer, M. H.; Wittel, H.] Leibniz Univ Hannover, D-30167 Hannover, Germany; [Allocca, A.; Basti, A.; Cerretani, G.; Del Pozzo, W.; Di Lieto, A.; Di Renzo, F.; Ferrante, I.; Fidecaro, F.; Castro, J. M. Gonzalez; Passaquieti, R.; Poggiani, R.; Razzano, M.; Tonelli, M.] Univ Pisa, I-56127 Pisa, Italy; [Allocca, A.; Basti, A.; Bradaschia, C.; Cella, G.; Cerretani, G.; Del Pozzo, W.; Di Lieto, A.; Di Renzo, F.; Ferrante, I.; Fidecaro, F.; Frasconi, F.; Gennai, A.; Giazotto, A.; Castro, J. M. Gonzalez; Losurdo, G.; Moggi, A.; Paoletti, F.; Passaquieti, R.; Passuello, D.; Patricelli, B.; Poggiani, R.; Razzano, M.; Tonelli, M.; Trozzo, L.] Ist Nazl Fis Nucl, Sez Pisa, I-56127 Pisa, Italy; [Altin, P. A.; Chow, J. H.; Forsyth, P. W. F.; Kijbunchoo, N.; Mansell, G. L.; Manske, M.; McClelland, D. E.; McManus, D. J.; Mcrae, T.; Nguyen, T. T.; Rabeling, D. S.; Scott, S. M.; Shaddock, D. A.; Slagmolen, B. J. J.; Ward, R. L.; Wette, K.; Yap, M. J.] Australian Natl Univ, OzGrav, Canberra, ACT 0200, Australia; [Amato, A.; Cagnoli, G.; Degallaix, J.; De Rossi, C.; Dolique, V.; Flaminio, R.; Granata, M.; Hofman, D.; Michel, C.; Pedurand, R.; Pinard, L.; Sassolas, B.] CNRS, IN2P3, LMA, F-69622 Villeurbanne, France; [Angelova, S. V.; Devenson, J.; Macfoy, S.; Rutins, G.; Vine, D. J.] Univ Weast Scotland, SUPA, Paisley PA1 2BE, Renfrew, Scotland; [Antier, S.; Arnaud, N.; Belahcene, I.; Bizouard, M. A.; Brisson, V.; Diaz, J. Casanueva; Cavalier, F.; Cohen, D.; Davier, M.; Frey, V.; Gruning, P.; Hello, P.; Huet, D.; Lartaux-Vollard, A.; Leroy, N.; Robinet, F.] Univ Paris Saclay, Univ Paris Sud, CNRS, IN2P3,LAL, F-91898 Orsay, France; [Areeda, J. S.; Avila-Alvarez, A.; Cullen, T. J.; Lovelace, G.; Read, J.; Smith, J. R.; Walker, M.] Calif State Univ Fullerton, Fullerton, CA 92831 USA; [Arnaud, N.; Ballardin, G.; Bitossi, M.; Boschi, V.; Bozzi, A.; Carbognani, F.; Cavalieri, R.; Chiummo, A.; Cortese, S.; Cuoco, E.; Dattilo, V.; De Rossi, C.; Ferrini, F.; Fiori, I.; Genin, E.; Gosselin, M.; Hemming, G.; Hoak, D.; Mantovani, M.; Mohan, M.; Nocera, F.; Paoli, A.; Pasqualetti, A.; Pillant, G.; Popolizio, P.; Ruggi, P.; Salconi, L.; Sentenac, D.; Swinkels, B. L.; Travasso, F.; Zelenova, T.] EGO, I-56021 Pisa, Italy; [Arun, K. G.] Chennai Math Inst, Chennai 603103, Tamil Nadu, India; [Ascenzi, S.; Casentini, C.; Fafone, V.; Lumaca, D.; Nardecchia, I.; Sequino, V.] Univ Roma Tor Vergata, I-00133 Rome, Italy; [Ascenzi, S.; Casentini, C.; Cesarini, E.; D'Antonio, S.; Fafone, V.; Khan, I.; Lumaca, D.; Minenkov, Y.; Nardecchia, I.; Rocchi, A.; Sequino, V.] Ist Nazl Fis Nucl, Sez Roma Tor Vergata, I-00133 Rome, Italy; [Ast, M.; Kleybolte, L.; Korobko, M.; Pal-Singh, A.; Sawadsky, A.; Schnabel, R.; Schonbeck, A.; Steinlechner, J.; Steinlechner, S.] Univ Hamburg, D-22761 Hamburg, Germany; [Astone, P.; Colla, A.; Di Pace, S.; Di Palma, I.; Frasca, S.; Intini, G.; Leaci, P.; Majorana, E.; Mastrogiovanni, S.; Mueller, A. L.; Naticchioni, L.; Palomba, C.; Piccinni, O. J.; Puppo, P.; Rapagnani, P.; Ricci, F.; Singhal, A.] Ist Nazl Fis Nucl, Sez Roma, I-00185 Rome, Italy; [Atallah, D. V.; Dorrington, I.; Fairhurst, S.; Fauchon-Jones, E. J.; Fays, M.; Gomes, S.; Hamilton, E. Z.; Hannam, M. D.; Hopkins, P.; Kalaghatgi, C. V.; Kent, C.; London, L. T.; Macas, R.; Macleod, D. M.; Muir, A. W.; North, C.; Nuttall, L. K.; Pannarale, F.; Predoi, V.; Sathyaprakash, B. S.; Schutz, B. F.; Sutton, P. J.; Tiwari, V.; Usman, S. A.; Vetro, F.] Cardiff Univ, Cardiff CF24 3AA, S Glam, Wales; [AultONeal, K.; Gaudio, S.; Gill, K.; Gretarsson, E. M.; Hughey, B.; Muratore, M.; Pratt, J. W. W.; Schwalbe, S. G.; Staats, K.; Szczepanczyk, M. J.; Zanolin, M.] Embry Riddle Aeronaut Univ, Prescott, AZ 86301 USA; [Babak, S.; Bohe, A.; Buonanno, A.; Dergachev, V.; Eggenstein, H. -B.; Grunewald, S.; Harry, I. W.; Lackey, B. D.; Meadors, G. D.; Ming, J.; Ossokine, S.; Papa, M. A.; Privitera, S.; Prrer, M.; Raymond, V.; Shao, L.; Singh, A.; Taracchini, A.; Walsh, S.; Zhu, S. J.] Max Planck Inst Gravitat Phys, Albert Einstein Inst, D-14476 Potsdam, Germany; [Bacon, P.; Barsuglia, M.; Bouffanais, Y.; Buy, C.; Capocasa, E.; Chassande-Mottin, E.; Fiorucci, D.; Porter, E. K.] Univ Paris Diderot, CNRS, IN2P3,Sorbonne Paris Cite, APC,AstroParticule &amp; Cosmol,CEA Irfu,Observ Paris, F-75205 Paris 13, France; [Bae, S.; Kang, G.] Korea Inst Sci &amp; Technol Informat, Daejeon 34141, South Korea; [Baker, P. T.; Cheeseboro, B. D.; Etienne, Z. B.; Knowles, T. D.; Lenon, A.; McWilliams, S. T.] West Virginia Univ, Morgantown, WV 26506 USA; [Baldaccini, F.; Gammaitoni, L.; Vocca, H.] Univ Perugia, I-06123 Perugia, Italy; [Baldaccini, F.; Bawaj, M.; Marchesoni, F.; Punturo, M.; Travasso, F.; Vocca, H.] Ist Nazl Fis Nucl, Sez Perugia, I-06123 Perugia, Italy; [Ballmer, S. W.; Bhagwat, S.; Biwer, C.; Brown, D. A.; Davis, D.; De, S.; Fair, H.; Finstad, D.; Fisher, R. P.; Lord, J. E.; Magaa-Sandoval, F.; Zertuche, L. Magaa; Muniz, E. A.; Pekowsky, L.; Reyes, S. D.; Sanders, J. R.; Saulson, P. R.; Vander-Hyde, D. C.; Vo, T.] Syracuse Univ, Syracuse, NY 13244 USA; [Banagiri, S.; Fitz-Axen, M.; Mandic, V.; Matas, A.; Meyers, P. M.; Ormiston, R.] Univ Minnesota, Minneapolis, MN 55455 USA; [Barclay, S. E.; Barr, B.; Bayley, J. C.; Bell, A. S.; Chan, M.; Cumming, A.; Cunningham, L.; Douglas, R.; Dupej, P.; Fletcher, M.; Gabbard, H.; Graef, C.; Grant, A.; Hammond, G.; Hart, M. J.; Haughian, K.; Hendry, M.; Heng, I. S.; Hennig, J.; Hild, S.; Hough, J.; Houston, E. A.; Huttner, S. H.; Isa, H. N.; Jones, R.; Keitel, D.; Leavey, S.; Lee, K.; Mangano, V.; Martin, I. W.; Masso-Reid, M.; Messenger, C.; Murray, P. G.; Newton, G.; Pascucci, D.; Pearlstone, B. L.; Phelps, M.; Pitkin, M.; Powell, J.; Robertson, N. A.; Robie, R.; Rowan, S.; Scott, J.; Sorazu, B.; Spencer, A. P.; Steinlechner, J.; Strain, K. A.; Tait, S. C.; Toland, K.; Tornasi, Z.; van Veggel, A. A.; Veitch, J.; Williams, D.; Woan, G.; Wright, J. L.; Zhang, T.] Univ Glasgow, SUPA, Glasgow G12 8QQ, Lanark, Scotland; [Barker, D.; Bartlett, J.; Batch, J. C.; Blair, D. G.; Clara, F.; Driggers, J. C.; Dwyer, S. E.; Gateley, B.; Gray, C.; Hanks, J.; Izumi, K.; Kawabe, K.; King, P. J.; Kissel, J. S.; Landry, M.; McCarthy, R.; Mendell, G.; Merilh, E. L.; Moraru, D.; Moreno, G.; Oberling, J.; Perez, C. J.; Pirello, M.; Raab, F. J.; Radkins, H.; Romel, C. L.; Ryan, K.; Sadecki, T.; Sandberg, V.; Savage, R. L.; Shaffer, T. J.; Sigg, D.; Strunk, A.; Thomas, P.; Vetro, F.; Vorvick, C.; Warner, J.; Weaver, B.; Worden, J.] LIGO Hanford Observ, Richland, WA 99352 USA; [Barkett, K.; Blackman, J.; Chen, Y.; Ma, Y.; Pang, B.; Scheel, M.; Thorne, K. S.; Varma, V.] Caltech CaRT, Pasadena, CA 91125 USA; [Barta, D.; Vasuth, M.] RMKI, Wigner RCP, Konkoly Thege Miklos Ut 29-33, H-1121 Budapest, Hungary; [Barthelmy, S. D.; Camp, J. B.; Dal Canton, T.; Gehrels, N.; Singer, L. P.; Burns, E.; Racusin, J.; Buson, S.; Green, D.; Guiriec, S.; Harding, A. K.; McEnery, J. E.; Mirabal, N.; Ojha, R.; Thompson, D. J.; Troja, E.; Venters, T. M.; Gonzalez, J. Becerra] NASA Goddard Space Flight Ctr, Greenbelt, MD 20771 USA; [Bartos, I.; Corley, K. R.; Countryman, S. T.; Di Girolamo, T.; Factourovich, M.; Mrka, S.; Mrka, Z.; Matone, L.; Staley, A.] Columbia Univ, New York, NY 10027 USA; [Bassiri, R.; Bonilla, E.; Byer, R. L.; Cirelli, C. E.; Debra, D.; Fejer, M. M.; Lantz, B.; Markosyan, A. S.; Shapiro, B.; Cano, Z.] Stanford Univ, Stanford, CA 94305 USA; [Bawaj, M.; Marchesoni, F.] Univ Camerino, Dipartimento Fis, I-62032 Camerino, Italy; [Bazzan, M.; Ciani, G.; Vardaro, M.] Univ Padua, Dipartimento Fis &amp; Astron, I-35131 Padua, Italy; [Bazzan, M.; Ciani, G.; Conti, L.; Lazzaro, C.; Vardaro, M.; Vedovato, G.; Zendri, J. -P.] Ist Nazl Fis Nucl, Sez Padova, I-35131 Padua, Italy; [Becsy, B.; Dlya, G.; Frei, Z.; Raffai, P.] Eotvos Lorand Univ, Inst Phys, Pazmany Ps 1-A, H-1117 Budapest, Hungary; [Bejger, M.; Rosinska, D.; Sieniawska, M.] Polish Acad Sci, Nicolaus Copernicus Astron Ctr, PL-00716 Warsaw, Poland; [Bero, J. J.; Healy, J.; Lange, J.; Lousto, C. O.; O'Shaughnessy, R.; Rizzo, M.; Whelan, J. T.; Wofford, J.; Wysocki, D. M.; Zhang, Y. -H.] Rochester Inst Technol, Rochester, NY 14623 USA; [Berry, C. P. L.; Cooper, S. J.; Del Pozzo, W.; Alvarez, M. Dovale; Farr, W. M.; Freise, A.; Gaebel, S. M.; Green, A. C.; Miao, H.; Middleton, H.; Mow-Lowry, C. M.; Stevenson, S. P.; Stops, D. J.; Thomas, E. G.; Toyr, D.; Vecchio, A.; Vinciguerra, S.; Wang, H.] Univ Birmingham, Birmingham B15 2TT, W Midlands, England; [Bersanetti, D.; Canepa, M.; Chincarini, A.; Cirone, A.; Farinon, S.; Gemme, G.; Rei, L.; Sorrentino, F.] Ist Nazl Fis Nucl, Sez Genova, I-16146 Genoa, Italy; [Bhandare, R.; Dave, I.; George, J.; Pai, S. A.; Pant, B. C.; Raja, S.; Rajan, C.] RRCAT, Indore 452013, MP, India; [Bilenko, I. A.; Gorodetsky, M. L.; Khalili, F. Y.; Mitrofanov, V. P.; Prokhorov, L. G.; Strigin, S. E.; Vyatchanin, S. P.] Lomonosov Moscow State Univ, Fac Phys, Moscow 119991, Russia; [Birney, R.; Jawahar, S.; Lockerbie, N. A.; Reid, S.; Tokmakov, K. V.] Univ Strathclyde, SUPA, Glasgow G1 1XQ, Lanark, Scotland; [Biscoveanu, S.; Chamberlin, S. J.; Gupta, A.; Hanna, C.; Magee, R. M.; Meacher, D.; Messick, C.; Pace, A. E.; Sathyaprakash, B. S.; Wang, J. Z.] Penn State Univ, University Pk, PA 16802 USA; [Blair, C. D.; Chen, X.; Chu, Q.; Chung, S.; Coward, D. M.; Howell, E. J.; Ju, L.; Liu, J.; Page, M. A.; Wen, L.; Zhao, C.] Univ Western Australia, OzGrav, Crawley, WA 6009, Australia; [Blair, R. M.; Canizares, P.; Ghosh, S.; Groot, P.; Hinderer, T.; Nelemans, G.; Nichols, D.; Nissanke, S.; Schmidt, P.; Williamson, A. R.; Jacobs, Bob; Jonker, P. G.; Kostrzewa-Rutkowska, Z.; Aab, A.; Buitink, S.; Canfora, F.; De Jong, S. J.; De Mauro, G.; Falcke, H.; Horandel, J. R.; Timmermans, C.; Van Aar, G.; Van Vliet, A.; Jonker, P.; Fender, R. P.] Radboud Univ Nijmegen, Inst Math Astrophys &amp; Particle Phys, NL-6525 AJ Nijmegen, Netherlands; [Bode, N.; Boer, M.; Bogaert, G.; Brillet, A.; Christensen, N.; Cleva, F.; Coulon, J. -P.; Fournier, J. -D.; Heitmann, H.; Hreibi, A.; Kefelian, F.; Man, N.; Martellini, L.; Merzougui, M.; Minazzoli, O.; Pichot, M.; Regimbau, T.; Vinet, J. Y.] Univ Cote Azur, CNRS, Observ Cote Azur, CS 34229,Artemis, F-06304 Nice 4, France; [Bondu, F.] Univ Rennes 1, CNRS, Inst FOTON, F-35042 Rennes, France; [Bose, S.; Hall, B. R.; Mazumder, N.] Washington State Univ, Pullman, WA 99164 USA; [Brau, J. E.; Frey, R.; Griswold, B.; Karki, S.; Nguyen, P.; Palamos, J. R.; Quitzow-James, R.; Roma, V. J.; Schale, P.; Schofield, R. M. S.; Talukder, D.] Univ Oregon, Eugene, OR 97403 USA; [Briant, T.; Chua, S.; Cohadon, P. -F.; Deleglise, S.; Heidmann, A.; Isac, J. -M.; Jacqmin, T.; Metzdorff, R.] ENS PSL Res Univ, UPMC Sorbonne Univ, CNRS, Lab Kastler Brossel,Coll France, F-75005 Paris, France; [Broida, J. E.; Christensen, N.; Coughlin, M. W.; Edwards, M. C.; Tasson, J. D.] Carleton Coll, Northfield, MN 55057 USA; [Brown, D. D.; Cao, H.; Ganija, M. R.; Kim, W.; King, E. J.; Munch, J.; Ottaway, D. J.; Veitch, P. J.] Univ Adelaide, OzGrav, Adelaide, SA 5005, Australia; [Bulik, T.; Kowalska, I.] Warsaw Univ, Astron Observ, PL-00478 Warsaw, Poland; [Bulten, H. J.; van den Brand, J. F. J.] Vrije Univ Amsterdam, NL-1081 HV Amsterdam, Netherlands; [Buonanno, A.; Cho, M.; Shawhan, P.; Yancey, C. C.] Univ Maryland, College Pk, MD 20742 USA; [Cadonati, L.; Bustillo, J. Caldern; Clark, J. A.; Cowan, E. E.; Day, B.; Forsyth, S. S.; Ghonge, S.; Jani, K.; Kimbrell, S. J.; Napier, K.; Siellez, K.] Georgia Inst Technol, Ctr Relativist Astrophys, Atlanta, GA 30332 USA; [Cagnoli, G.] Univ Claude Bernard Lyon 1, F-69622 Villeurbanne, France; [Calloni, E.; De Rosa, R.; Di Girolamo, T.; Garufi, F.; Milano, L.] Complesso Univ Monte S Angelo, Univ Napoli Federico II, I-80126 Naples, Italy; [Canepa, M.; Cirone, A.] Univ Genoa, Dipartimento Fis, I-16146 Genoa, Italy; [Cannon, K. C.; Tsukada, L.; Tsuna, D.] Univ Tokyo, RESCEU, Tokyo 1130033, Japan; [Cao, J.; Du, Z.; Fan, X.; Guo, X.; Li, T. P.; Chen, Y. B.; Cui, W.; Deng, J. K.; Fu, M. X.; Jin, Y. J.; Liu, G. Q.; Liu, Y. N.; Zhang, Z.] Tsinghua Univ, Beijing 100084, Peoples R China; [Caride, S.; Corsi, A.; Coyne, R.; Inta, R.; Owen, B. J.; Rajbhandari, B.] Texas Tech Univ, Lubbock, TX 79409 USA; [Carney, M. F.; Chmiel, T.; Fee, C.; Moffa, D.; Wade, L. E.; Wade, M.] Kenyon Coll, Gambier, OH 43022 USA; [Cerd-Durn, P.; Font, J. A.; Sanchis-Gual, N.; Torres-Forn, A.] Univ Valencia, Dept Astronomia &amp; Astrofis, E-46100 Valencia, Spain; [Cesarini, E.] Museo Storico Fis &amp; Ctr &amp; Ric Enrico Fermi, I-00184 Rome, Italy; [Chao, S.; Kuo, L.; Pan, Howard; Pan, Huang-Wei] Natl Tsing Hua Univ, Hsinchu 30013, Taiwan; [Charlton, P.; Pfeiffer, H. P.] Charles Sturt Univ, Wagga Wagga, NSW 2678, Australia; [Chase, E.; Coughlin, S. B.; Kalogera, V.; Larson, S. L.; Mueller, B. B.; Pankow, C.; Perri, L. M.; Sampson, L. M.; Scheuer, J.; Shahriar, M. S.; Zevin, M.; Zhou, M.; Zhou, Z.] Northwestern Univ, CIERA, Evanston, IL 60208 USA; [Chatziioannou, K.; Fong, H.; Haster, C. -J.; Kumar, P.; Pfeiffer, H. P.; Zimmerman, A. B.] Univ Toronto, Canadian Inst Theoret Astrophys, Toronto, ON M5S 3H8, Canada; [Chen, H. Y.; Doctor, Z.; Farr, B.; Fishbach, M.; Holz, D. E.] Univ Chicago, Chicago, IL 60637 USA; [Cho, H. S.; Kim, Y. -M.; Lee, C. H.] Pusan Natl Univ, Busan 46241, South Korea; [Chung, A. K. W.; Hannuksela, O. A.; Kim, K.; Lai, K. H.; Li, T. G. F.; Lo, R. K. L.; Ng, K. K. Y.; Pang, P. T. H.; Wang, Y. F.; Wong, K. W. K.] Chinese Univ Hong Kong, Shatin, NT, Peoples R China; [Ciolfi, R.] INAF, Osservatorio Astronom Padova, I-35122 Padua, Italy; [Ciolfi, R.; Di Giovanni, M.; Leonardi, M.; Perreca, A.; Prodi, G. A.; Tiwari, S.; Tringali, M. C.] Ist Nazl Fis Nucl, Trento Inst Fundamental Phys &amp; Applicat, I-38123 Povo, Trento, Italy; [Clearwater, P.; Melatos, A.; Sun, L.] Univ Melbourne, OzGrav, Parkville, Vic 3010, Australia; [Colla, A.; Di Pace, S.; Di Palma, I.; Frasca, S.; Intini, G.; Leaci, P.; Mastrogiovanni, S.; Mueller, A. L.; Naticchioni, L.; Piccinni, O. J.; Rapagnani, P.; Ricci, F.] Univ Roma La Sapienza, I-00185 Rome, Italy; [Collette, C. G.; Watchi, J.] Univ Libre Bruxelles, B-1050 Brussels, Belgium; [Cominsky, L. R.] Sonoma State Univ, Rohnert Pk, CA 94928 USA; [Cordero-Carrion, I.; Marquina, A.] Univ Valencia, Dept Matemat, E-46100 Valencia, Spain; [Cornish, N.; Millhouse, M.] Montana State Univ, Bozeman, MT 59717 USA; [Covas, P. B.; Garcia-Quiros, C.; Husa, S.; Jimenez-Forteza, F.; Oliver, M.; Pratten, G.; Ramos-Buades, A.; Sintes, A. M.] Univ Illes Balears, IAC3, IEEC, E-07122 Palma de Mallorca, Spain; [Creighton, T. D.; Diaz, M. C.; Morriss, S. R.; Mukherjee, S.; Rakhmanov, M.; Ramirez, K. E.; Stone, R.; Tuyenbayev, D.] Univ Texas Rio Grande Valley, Brownsville, TX 78520 USA; [Crowder, S. G.] Bellevue Coll, Bellevue, WA 98007 USA; [Dasgupta, A.; Gupta, M. K.; Khan, Z.; Kumar, R.; Srivastava, A. K.; Sunil, S.] Inst Plasma Res, Bhat 382428, Gandhinagar, India; [Daw, E. J.; Edo, T. B.; Kennedy, R.; Massera, E.] Univ Sheffield, Sheffield S10 2TN, S Yorkshire, England; [De Pietri, R.] Univ Parma, Dipartimento Sci Matemat Fisiche &amp; Informat, I-43124 Parma, Italy; [De Pietri, R.] Ist Nazl Fis Nucl, Sez Milano Bicocca, Grp Coll Parma, I-43124 Parma, Italy; [DeSalvo, R.; Glover, L.; Linker, S. D.; Milovich-Goff, M. C.; Neilson, J.; O'Dea, G. D.; Shaner, M. B.] Calif State Univ Los Angeles, 5151 State Univ Dr, Los Angeles, CA 90032 USA; [Di Giovanni, M.; Leonardi, M.; Perreca, A.; Prodi, G. A.; Tringali, M. C.] Univ Trento, Dipartimento Fis, I-38123 Povo, Trento, Italy; [Favata, M.; Martin, R. M.] Montclair State Univ, Montclair, NJ 07043 USA; [Flaminio, R.] Natl Astron Observ Japan, 2-21-1 Osawa, Tokyo 1818588, Japan; [Font, J. A.] Univ Valencia, Observ Astron, E-46980 Valencia, Spain; [Agatsuma, K.; Bader, M. K. M.; Bertolini, A.; Boom, B. A.; Bork, R.; Bulten, H. J.; Caudill, S.; Ghosh, Archisman; Ghosh, S.; Jonker, R. J. G.; Koley, S.; Meidam, J.; Nelemans, G.; Nissanke, S.; Tacca, M.; Tsang, K. W.; Van Bakel, N.; Van Beuzekom, M.; van den Brand, J. F. J.; van den Broeck, C.; van der Schaaf, L.; van Heijningen, J. V.; Walet, R.; Bormuth, R.; Bouwhuis, M. C.; Bruijn, R.; Heijboer, A. J.; De Jong, M.; Jongen, M.; Melis, K.; Michael, T.; Samtleben, D. F. E.; Canfora, F.; De Jong, S. J.; De Mauro, G.; Falcke, H.; Horandel, J. R.; Timmermans, C.] Univ Edinburgh, Sch Math, Edinburgh EH9 3FD, Midlothian, Scotland; [Aggarwal, N.; Barsotti, L.; Biscans, S.; Buikema, A.; Demos, N.; Donovan, F.; Eisenstein, R. A.; Essick, R. C.; Evans, M.; Fernandez-Galiana, A.; Fritschel, P.; Gras, S.; Hall, E. D.; Katsavounidis, E.; Kontos, A.; Lanza, R. K.; Lynch, R.; MacInnis, M.; Martynov, D. V.; Mason, K.; Matichard, F.; Mavalvala, N.; McCuller, L.; Miller, J.; Mittleman, R.; Mohapatra, S. R. P.; Shoemaker, D. H.; Tse, M.; Vitale, S.; Weiss, R.; Yu, Hang; Yu, Haocun; Zucker, M. E.; Blackburn, L.] Univ &amp; Inst Adv Res, Koba Inst Area, Gandhinagar 382007, Gujarat, India; [Gayathri, V.; Pai, A.; Saleem, M.] TVM, IISER, CET Campus, Trivandrum 695016, Kerala, India; [Gergely, L.; Tpai, M.] Univ Szeged, Dom Ter 9, H-6720 Szeged, Hungary; [Goetz, E.; Gustafson, R.; Neunzert, A.; Riles, K.; Sauter, O.] Univ Michigan, Ann Arbor, MI 48109 USA; [Gopakumar, A.; Unnikrishnan, C. S.; Rao, A. R.] Tata Inst Fundamental Res, Mumbai 400005, Maharashtra, India; [Grado, A.] INAF, Osservatorio Astronom Capodimonte, I-80131 Naples, Italy; [Greco, G.; Guidi, G. M.; Martelli, F.; Montani, M.; Piergiovanni, F.; Stratta, G.; Vetro, F.; Vicere, A.] Univ Urbino Carlo Bo, I-61029 Urbino, Italy; [Greco, G.; Guidi, G. M.; Martelli, F.; Montani, M.; Piergiovanni, F.; Stratta, G.; Vetro, F.; Vicere, A.; Wang, G.] Ist Nazl Fis Nucl, Sez Firenze, I-50019 Florence, Italy; [Haney, M.] Univ Zurich, Phys Inst, Winterthurerstr 190, CH-8057 Zurich, Switzerland; [Harry, G. M.; Kinley-Hanlon, M.; Newport, J. M.] Amer Univ, Washington, DC 20016 USA; [Jaranowski, P.] Univ Bialystok, PL-15424 Bialystok, Poland; [Jones, D. I.] Univ Southampton, Southampton SO17 1BJ, Hants, England; [Key, J. S.; Marsh, P.] Univ Washington Bothell, 18115 Campus Way NE, Bothell, WA 98011 USA; [Khazanov, E. A.; Palashov, O.; Sergeev, A.] Inst Appl Phys, Nizhnii Novgorod 603950, Russia; [Kim, Chunglee] Korea Astron &amp; Space Sci Inst, Daejeon 34055, South Korea; [Kim, J. C.; Lee, H. W.] Inje Univ Gimhae, South Gyeongsang 50834, South Korea; [Kim, W. S.; Oh, J. J.; Oh, S. H.; Son, E. J.] Natl Inst Math Sci, Daejeon 34047, South Korea; [Krlak, A.; Kutynia, A.; Zadrozny, A.] NCBJ, PL-05400 Otwock, Poland; [Krlak, A.; Patil, M.] Polish Acad Sci, Inst Math, PL-00656 Warsaw, Poland; [Lang, R. N.] Hillsdale Coll, Hillsdale, MI 49242 USA; [Lee, H. K.] Hanyang Univ, Seoul 04763, South Korea; [Lee, H. M.] Seoul Natl Univ, Seoul 08826, South Korea; [Littenberg, T. B.; Page, J.; Shah, A. A.; Taylor, J. A.; Wilson-Hodge, C. A.; Hui, C. M.; Kocevski, D.] NASA Marshall Space Flight Ctr Huntsville, Huntsville, AL 35812 USA; [Loriette, V.; Maksimovic, I.] CNRS, ESPCI, F-75005 Paris, France; [McGuire, S. C.] Southern Univ, Baton Rouge, LA 70813 USA; [McGuire, S. C.] A&amp;M Coll, Baton Rouge, LA 70813 USA; [Mikhailov, E. E.; Zhang, M.] Coll William &amp; Mary, Williamsburg, VA 23187 USA; [Minazzoli, O.] Ctr Sci Monaco, 8 Quai Antoine Ier, MC-98000 Monaco, Monaco; [Mishra, C.] Indian Inst Technol Madras, Madras 600036, Tamil Nadu, India; [Nayak, R. K.; Samajdar, A.] IISER Kolkata, Mohanpur 741252, W Bengal, India; [Ogin, G. H.] Whitman Coll, 345 Boyer Ave, Walla Walla, WA 99362 USA; [Pai, A.] Indian Inst Technol, Bombay 400076, Maharashtra, India; [Patricelli, B.; Stamerra, A.] Scuola Normale Super Pisa, Piazza Cavalieri 7, I-56126 Pisa, Italy; [Pedurand, R.] Univ Lyon, F-69361 Lyon, France; [Penn, S.; Tewari, S. V.] Hobart &amp; William Smith Colleges, Geneva, NY 14456 USA; [Powell, J.; Stevenson, S. P.] Swinburne Univ Technol, OzGrav, Hawthorn, Vic 3122, Australia; [Rosinska, D.] Univ Zielona Gora, Janusz Gil Inst Astron, PL-65265 Zielona Gora, Poland; [Ross, M. P.; Venkateswara, K.] Univ Washington, Seattle, WA 98195 USA; [Sakellariadou, M.] Kings Coll London, London WC2R 2LS, England; [Sengupta, A. S.] Indian Inst Technol, Gandhinagar Ahmedabad 382424, Gujarat, India; [Somala, S.] Indian Inst Technol Hyderabad, Khandi 502285, Telangana, India; [Sturani, R.] Univ Fed Rio Grande do Norte, Int Inst Phys, BR-59078970 Natal, RN, Brazil; [Summerscales, T. Z.] Andrews Univ, Berrien Springs, MI 49104 USA; [Trozzo, L.] Univ Siena, I-53100 Siena, Italy; [Ugolini, D.] Trinity Univ, San Antonio, TX 78212 USA; [Willke, B.] Abilene Christian Univ, Abilene, TX 79699 USA; [Yang, L.] Colorado State Univ, Ft Collins, CO 80523 USA; [Bissaldi, E.] Ist Nazl Fis Nucl, Sez Bari, I-70126 Bari, Italy; [Bissaldi, E.; Cheung, C. C.] Politecn Bari, I-70126 Bari BA, Italy; [Blackburn, L.; Berger, E.; Alexander, K. D.; Blanchard, P.; Cowperthwaite, P.; Eftekhari, T.; Nicholl, M.; Villar, V. A.; Williams, P. K. G.] Harvard Smithsonian Ctr Astrophys, 60 Garden St, Cambridge, MA 02138 USA; [Briggs, M. S.; Hamburg, R.; Jenke, P.; Meegan, C. A.; Poolakkil, S.; Preece, R. D.; Stanbro, M.; Veres, P.] Univ Alabama Huntsville, Huntsville, AL 35899 USA; [Cleveland, W. H.; Connaughton, V.; Goldstein, A.; Paciesas, W. S.; Roberts, O. J.] Univ Space Res Assoc, Huntsville, AL 35805 USA; [Gibby, M. H.; Giles, M. M.] Jacobs Technol Inc, Huntsville, AL 35806 USA; [Kippen, R. M.] Los Alamos Natl Lab, Los Alamos, NM 87545 USA; [McBreen, S.; Hanlon, L.; Martin-Carrillo, A.; Fraser, M.; Salmon, L.] Univ Coll Dublin, Obrien Ctr Sci North3, Sch Phys, Dublin 4, Ireland; [von Kienlin, A.; Diehl, R.] Max Planck Inst Extraterr Phys, D-85748 Garching, Germany; [Savchenko, V.; Ferrigno, C.; Bozzo, E.; Courvoisier, T. J. -L.] Univ Geneva, Dept Astron, ISDC, Chem Ecogia 16, CH-1290 Chavannes Des Bois, Switzerland; [Kuulkers, E.] European Space Technol Ctr, ESA, ESTEC, Keplerlaan 1, NL-2201 AZ Noordwijk, Netherlands; [Bazzano, A.; Natalucci, L.; Rodi, J.; Ubertini, P.; Piro, L.; Sanchez-Ramirez, R.] INAF, Ist Astrofis &amp; Planetol Spaziali, Via Fosso Cavaliere 100, I-00133 Rome, Italy; [Brandt, S.; Chenevez, J.] Natl Space Inst Elektrovej, DTU Space, Bldg 327, DK-2800 Lyngby, Denmark; [Domingo, A.] CSIC, INTA, CAB, Ctr Astrobiol, ESAC Campus,,Camino Bajo Castillo S-N, E-28692 Madrid, Spain; [Jourdain, E.; Roques, J. -P.] Univ Toulouse, CNRS, UPS, IRAP,CNES, 9 Av Roche, F-31028 Toulouse, France; [Laurent, P.; Lebrun, F.] Univ Paris Diderot, CNRS, IN2P3,AstroParticule &amp; Cosmol, CEA Irfu,Observ Paris Sorbonne Paris Cite,APC, 10 rue Alice Domont &amp; Leonie Duquet, F-75205 Paris 13, France; [Laurent, P.] CEA Saclay, DSM Irfu Serv Astrophys, Bat 709 Orme Merisiers, F-91191 Gif Sur Yvette, France; [Lutovinov, A.; Sunyaev, R.] Russian Acad Sci, Space Res Inst, Profsoyuznaya 84-32, Moscow 117997, Russia; [Lutovinov, A.] Moscow Inst Phys &amp; Technol, Inst Per 9, Moscow 141700, Russia; [Mereghetti, S.; Caraveo, P. A.] INAF, Ist Astrofis Spaziale &amp; Fis Cosm Milano, Via E Bassini 15, I-20133 Milan, Italy; [Sunyaev, R.] Max Planck Inst Astrophys, Karl Schwarzschild Str 1, D-85741 Garching, Germany; [Aartsen, M. G.; Hill, G. C.; Kyriacou, A.; Robertson, S.; Wallace, A.; Whelan, B. J.] Univ Adelaide, Dept Phys, Adelaide, SA, Australia; [Ackermann, M.; Bernardini, E.; Blot, S.; Bradascio, F.; Bretz, H. -P.; Brostean-Kaiser, J.; Franckowiak, A.; Jacobi, E.; Karg, T.; Kintscher, T.; Kowalski, M.; Kunwar, S.; Nahnhauer, R.; Satalecka, K.; Spiering, C.; Stachurska, J.; Stasik, A.; Strotjohann, N. L.; Terliuk, A.; Usner, M.; Van Santen, J.; Bonnefoy, S.; Fssling, M.; Giavitto, G.; Haupt, M.; Klepser, S.; Lypova, I.; Murach, T.; Odaka, H.; Ohm, S.; Oya, I.; Schulz, A.; Stegmann, C.; Taylor, A. M.] DESY, D-15738 Zeuthen, Germany; [Adams, J.; Bagherpour, H.] Univ Canterbury, Dept Phys &amp; Astron, Private Bag 4800, Christchurch, New Zealand; [Aguilar, J. A.; Ansseau, I.; Heereman, D.; Meagher, K.; Meures, T.; O'Murchadha, A.; Pinat, E.; Raab, C.] Univ Libre Bruxelles, Fac Sci, CP230, B-1050 Brussels, Belgium; [Ahlers, M.; Bourbeau, E.; Koskinen, D. J.; Larson, M. J.; Medici, M.; Rameez, M.; Sarkar, S.; Stuttard, T.] Univ Copenhagen, Niels Bohr Inst, DK-2100 Copenhagen, Denmark; [Ahrens, M.; Bohm, C.; Dumm, J. P.; Finley, C.; Flis, S.; Hultqvist, K.; Walck, C.; Zoll, M.] Stockholm Univ, Oskar Klein Ctr, SE-10691 Stockholm, Sweden; [Ahrens, M.; Bohm, C.; Dumm, J. P.; Finley, C.; Flis, S.; Hultqvist, K.; Walck, C.; Zoll, M.] Stockholm Univ, Dept Phys, SE-10691 Stockholm, Sweden; [Al Samarai, I.; Bron, S.; Carver, T.; Christov, A.; Montaruli, T.] Univ Geneva, Dept phys Nucl &amp; Corpusculaire, CH-1211 Geneva, Switzerland; [Altmann, D.; Anton, G.; Glsenkamp, T.; Kittler, T.; Labare, M.; Tselengidou, M.; Eberl, T.; Graf, K.; Hallmann, S.; Hossl, J.; Hofestdt, J.; James, C. W.; Kalekin, O.; Katz, U.; Kiessling, D.; Lahmann, R.; Sieger, C.; Funk, S.; Principe, G.; Frail, D. A.; Bchele, M.; Eschbach, S.; Jankowsky, D.; Jung-Richardt, I.; Kraus, M.; Mohrmann, L.; Raab, S.; Sasaki, M.; Shilon, I.; Tiziani, D.; Van Eldik, C.; Veh, J.; Willmann, P.; WRnlein, A.; Ziegler, A.] Friedrich Alexander Univ Erlangen Nurnberg, Erlangen Ctr Astroparticle Phys, Erwin Rommel Str 1, D-91058 Erlangen, Germany; [Andeen, K.] Marquette Univ, Dept Phys, Milwaukee, WI 53201 USA; [Anderson, T.; Cowen, D. F.; DeLaunay, J. J.; Dunkman, M.; Eller, P.; Huang, F.; Keivani, A.;(data truncated to fit)</t>
  </si>
  <si>
    <t xml:space="preserve">California Institute of Technology; Louisiana State University System; Louisiana State University; University of Salerno; Istituto Nazionale di Fisica Nucleare (INFN); State University System of Florida; University of Florida; Monash University; Universite Savoie Mont Blanc; Centre National de la Recherche Scientifique (CNRS); CNRS - National Institute of Nuclear and Particle Physics (IN2P3); University of Sannio; Istituto Nazionale di Fisica Nucleare (INFN); Max Planck Society; University of Mississippi; University of Illinois System; University of Illinois Urbana-Champaign; University of Cambridge; FOM National Institute for Subatomic Physics; Massachusetts Institute of Technology (MIT); Instituto Nacional de Pesquisas Espaciais (INPE); Gran Sasso Science Institute (GSSI); Gran Sasso Science Institute (GSSI); Istituto Nazionale di Fisica Nucleare (INFN); Inter-University Centre for Astronomy &amp; Astrophysics; Tata Institute of Fundamental Research (TIFR); International Centre for Theoretical Sciences, Bengaluru; University of Wisconsin System; University of Wisconsin Milwaukee; Leibniz University Hannover; University of Pisa; Istituto Nazionale di Fisica Nucleare (INFN); Australian National University; Centre National de la Recherche Scientifique (CNRS); CNRS - National Institute of Nuclear and Particle Physics (IN2P3); Universite Paris Saclay; Centre National de la Recherche Scientifique (CNRS); CNRS - National Institute of Nuclear and Particle Physics (IN2P3); Universite Paris Cite; California State University System; California State University Fullerton; Chennai Mathematical Institute; University of Rome Tor Vergata; Istituto Nazionale di Fisica Nucleare (INFN); University of Hamburg; Istituto Nazionale di Fisica Nucleare (INFN); Cardiff University; Embry-Riddle Aeronautical University; Max Planck Society; Centre National de la Recherche Scientifique (CNRS); CNRS - National Institute of Nuclear and Particle Physics (IN2P3); Universite PSL; Observatoire de Paris; CEA; Universite Paris Cite; Korea Institute of Science &amp; Technology Information (KISTI); West Virginia University; University of Perugia; Istituto Nazionale di Fisica Nucleare (INFN); Syracuse University; University of Minnesota System; University of Minnesota Twin Cities; University of Glasgow; California Institute of Technology; Hungarian Research Network; Hungarian Academy of Sciences; HUN-REN Wigner Research Centre for Physics; National Aeronautics &amp; Space Administration (NASA); NASA Goddard Space Flight Center; Columbia University; Stanford University; University of Camerino; University of Padua; Istituto Nazionale di Fisica Nucleare (INFN); Eotvos Lorand University; Polish Academy of Sciences; Nicolaus Copernicus Astronomical Center of the Polish Academy of Sciences; Rochester Institute of Technology; University of Birmingham; Istituto Nazionale di Fisica Nucleare (INFN); Raja Ramanna Centre for Advanced Technology; Lomonosov Moscow State University; University of Strathclyde; Pennsylvania Commonwealth System of Higher Education (PCSHE); Pennsylvania State University; Pennsylvania State University - University Park; University of Western Australia; Radboud University Nijmegen; Centre National de la Recherche Scientifique (CNRS); Universite Cote d'Azur; Observatoire de la Cote d'Azur; Universite de Rennes; Centre National de la Recherche Scientifique (CNRS); Washington State University; University of Oregon; Universite PSL; College de France; Ecole Normale Superieure (ENS); Centre National de la Recherche Scientifique (CNRS); Sorbonne Universite; Carleton College; University of Adelaide; University of Warsaw; Vrije Universiteit Amsterdam; University System of Maryland; University of Maryland College Park; University System of Georgia; Georgia Institute of Technology; Universite Claude Bernard Lyon 1; University of Naples Federico II; University of Genoa; University of Tokyo; Tsinghua University; Texas Tech University System; Texas Tech University; University System of Ohio; Kenyon College; University of Valencia; National Tsing Hua University; Charles Sturt University; Northwestern University; University of Toronto; University of Chicago; Pusan National University; Chinese University of Hong Kong; Istituto Nazionale Astrofisica (INAF); Istituto Nazionale di Fisica Nucleare (INFN); University of Melbourne; Sapienza University Rome; Universite Libre de Bruxelles; California State University System; Sonoma State University; University of Valencia; Montana State University System; Montana State University Bozeman; Universitat de les Illes Balears; University of Texas System; University of Texas Rio Grande Valley; Institute for Plasma Research (IPR); University of Sheffield; University of Parma; Istituto Nazionale di Fisica Nucleare (INFN); California State University System; California State University Los Angeles; University of Trento; Montclair State University; National Institutes of Natural Sciences (NINS) - Japan; National Astronomical Observatory of Japan (NAOJ); University of Valencia; University of Edinburgh; Indian Institute of Science Education &amp; Research (IISER) - Thiruvananthapuram; Szeged University; University of Michigan System; University of Michigan; Tata Institute of Fundamental Research (TIFR); Istituto Nazionale Astrofisica (INAF); University of Urbino; Istituto Nazionale di Fisica Nucleare (INFN); University of Zurich; American University; University of Bialystok; University of Southampton; University of Washington; University of Washington Bothell; Russian Academy of Sciences; Institute of Applied Physics of the Russian Academy of Sciences; Korea Astronomy &amp; Space Science Institute (KASI); Inje University; National Institute for Mathematical Sciences (NIMS), Republic of Korea; National Centre for Nuclear Research; Polish Academy of Sciences; Institute of Mathematics of the Polish Academy of Sciences; Hillsdale College; Hanyang University; Seoul National University (SNU); Centre National de la Recherche Scientifique (CNRS); Universite PSL; Ecole Superieure de Physique et de Chimie Industrielles de la Ville de Paris (ESPCI); Southern University System; Southern University &amp; A&amp;M College; Louisiana State University System; Louisiana State University; William &amp; Mary; Indian Institute of Technology System (IIT System); Indian Institute of Technology (IIT) - Madras; Indian Institute of Science Education &amp; Research (IISER) - Kolkata; Whitman College; Indian Institute of Technology System (IIT System); Indian Institute of Technology (IIT) - Bombay; Scuola Normale Superiore di Pisa; Swinburne University of Technology; University of Zielona Gora; University of Washington; University of Washington Seattle; University of London; King's College London; Indian Institute of Technology System (IIT System); Indian Institute of Technology (IIT) - Gandhinagar; Indian Institute of Technology System (IIT System); Indian Institute of Technology (IIT) - Hyderabad; Universidade Federal do Rio Grande do Norte; Andrews University; University of Siena; Trinity University; Abilene Christian University; Colorado State University; Istituto Nazionale di Fisica Nucleare (INFN); Politecnico di Bari; Smithsonian Astrophysical Observatory; Smithsonian Institution; Harvard University; University of Alabama System; University of Alabama Huntsville; Universities Space Research Association (USRA); United States Department of Energy (DOE); Los Alamos National Laboratory; University College Dublin; Max Planck Society; University of Geneva; European Space Agency; Istituto Nazionale Astrofisica (INAF); Technical University of Denmark; Consejo Superior de Investigaciones Cientificas (CSIC); CSIC - Centro de Astrobiologia (INTA); Universite de Toulouse; Universite Toulouse III - Paul Sabatier; Centre National de la Recherche Scientifique (CNRS); Centre National de la Recherche Scientifique (CNRS); CNRS - National Institute of Nuclear and Particle Physics (IN2P3); Universite PSL; Observatoire de Paris; CEA; Universite Paris Cite; Universite Paris Saclay; CEA; Russian Academy of Sciences; Space Research Institute of the Russian Academy of Sciences; Moscow Institute of Physics &amp; Technology; Istituto Nazionale Astrofisica (INAF); Max Planck Society; University of Adelaide; Helmholtz Association; Deutsches Elektronen-Synchrotron (DESY); University of Canterbury; Universite Libre de Bruxelles; University of Copenhagen; Niels Bohr Institute; Oskar Klein Centre; Stockholm University; Stockholm University; University of Geneva; University of Erlangen Nuremberg; Marquette University; Pennsylvania Commonwealth System of Higher Education (PCSHE); Pennsylvania State University; Pennsylvania State University - University Park; Massachusetts Institute of Technology (MIT); RWTH Aachen University; South Dakota School Mines &amp; Technology; University of Alberta; University of California System; University of California Irvine; Johannes Gutenberg University of Mainz; University of California System; University of California Berkeley; University System of Ohio; Ohio State University; University System of Ohio; Ohio State University; University System of Ohio; Ohio State University; University of Wurzburg; Ruhr University Bochum; University of Kansas; United States Department of Energy (DOE); Lawrence Berkeley National Laboratory; University of Wuppertal; University System of Maryland; University of Maryland College Park; Dortmund University of Technology; Sungkyunkwan University (SKKU); Uppsala University; University of Wisconsin System; University of Wisconsin Madison; University of Wisconsin System; University of Wisconsin Madison; Vrije Universiteit Brussel; University of Munster; Technical University of Munich; Pennsylvania Commonwealth System of Higher Education (PCSHE); Pennsylvania State University; Pennsylvania State University - University Park; University of Rochester; Michigan State University; University of Delaware; University of Delaware; Ghent University; Humboldt University of Berlin; Southern University System; Southern University &amp; A&amp;M College; University of Wisconsin System; University of Wisconsin Madison; University of Tokyo; Chiba University; Chiba University; Clark Atlanta University; University of Texas System; University of Texas Arlington; State University of New York (SUNY) System; State University of New York (SUNY) Stony Brook; University of Mons; University of Alabama System; University of Alabama Tuscaloosa; Drexel University; University of Wisconsin System; Yale University; University of Alaska System; University of Alaska Anchorage; University of Oxford; University System of Georgia; Georgia Institute of Technology; University System of Georgia; Georgia Institute of Technology; Indian Institute of Science Education &amp; Research (IISER) Pune; Indian Institute of Technology System (IIT System); Indian Institute of Technology (IIT) - Bombay; Department of Space (DoS), Government of India; Physical Research Laboratory - India; Russian Academy of Sciences; St. Petersburg Scientific Centre of the Russian Academy of Sciences; Ioffe Physical Technical Institute; University of California System; University of California Berkeley; National Aeronautics &amp; Space Administration (NASA); NASA Goddard Space Flight Center; Chinese Academy of Sciences; Institute of High Energy Physics, CAS; Chinese Academy of Sciences; University of Chinese Academy of Sciences, CAS; Beijing Normal University; Universites de Strasbourg Etablissements Associes; Universite de Haute-Alsace (UHA); Universitat Politecnica de Catalunya; Istituto Nazionale di Fisica Nucleare (INFN); Universitat Politecnica de Valencia; Aix-Marseille Universite; Centre National de la Recherche Scientifique (CNRS); CNRS - National Institute of Nuclear and Particle Physics (IN2P3); Centre National de la Recherche Scientifique (CNRS); CNRS - National Institute of Nuclear and Particle Physics (IN2P3); Universite PSL; Observatoire de Paris; CEA; Universite Paris Cite; Universite Paris Saclay; Consejo Superior de Investigaciones Cientificas (CSIC); CSIC - Instituto de Fisica Corpuscular (IFIC); University of Valencia; Aix-Marseille Universite; Istituto Nazionale di Fisica Nucleare (INFN); Leiden University; Leiden University - Excl LUMC; Institute of Space Science; University of Amsterdam; Istituto Nazionale di Fisica Nucleare (INFN); Sapienza University Rome; Gran Sasso Science Institute (GSSI); Mohammed V University in Rabat; Istituto Nazionale di Fisica Nucleare (INFN); Istituto Nazionale di Fisica Nucleare (INFN); University of Granada; Universite Cote d'Azur; Observatoire de la Cote d'Azur; Institut de Recherche pour le Developpement (IRD); Centre National de la Recherche Scientifique (CNRS); University of Genoa; Universite Paris Cite; Universite Paris Saclay; Mohammed First University of Oujda; University of Bologna; Universite Clermont Auvergne (UCA); Centre National de la Recherche Scientifique (CNRS); CNRS - National Institute of Nuclear and Particle Physics (IN2P3); Istituto Nazionale di Fisica Nucleare (INFN); Arts et Metiers Institute of Technology; Centre National de la Recherche Scientifique (CNRS); Aix-Marseille Universite; Universite de Toulon; Aix-Marseille Universite; Centre National de la Recherche Scientifique (CNRS); Institut Universitaire de France; Utrecht University; Royal Netherlands Institute for Sea Research (NIOZ); Utrecht University; University of Erlangen Nuremberg; Lomonosov Moscow State University; Aix-Marseille Universite; Centre National de la Recherche Scientifique (CNRS); CNRS - National Institute for Earth Sciences &amp; Astronomy (INSU); University of Catania; Universite Paris Saclay; CEA; Istituto Nazionale di Fisica Nucleare (INFN); University of Pisa; Istituto Nazionale di Fisica Nucleare (INFN); University of Granada; University of Granada; Centre National de la Recherche Scientifique (CNRS); CNRS - National Institute of Nuclear and Particle Physics (IN2P3); Universites de Strasbourg Etablissements Associes; Universite de Strasbourg; University of Leicester; University of London; University College London; Pennsylvania Commonwealth System of Higher Education (PCSHE); Pennsylvania State University; Pennsylvania State University - University Park; National Aeronautics &amp; Space Administration (NASA); NASA Goddard Space Flight Center; University System of Maryland; University of Maryland College Park; Istituto Nazionale Astrofisica (INAF); Istanbul University; Agenzia Spaziale Italiana (ASI); Pennsylvania Commonwealth System of Higher Education (PCSHE); Pennsylvania State University; Pennsylvania State University - University Park; Universities Space Research Association (USRA); National Science Foundation (NSF); National Aeronautics &amp; Space Administration (NASA); NASA Goddard Space Flight Center; University System of Maryland; University of Maryland Baltimore; Istituto Nazionale Astrofisica (INAF); University of Warwick; United States Department of Energy (DOE); Los Alamos National Laboratory; Istituto Nazionale Astrofisica (INAF); University System of Maryland; University of Maryland College Park; Istituto Nazionale Astrofisica (INAF); University of Rome Tor Vergata; Gran Sasso Science Institute (GSSI); Istituto Nazionale Astrofisica (INAF); Istituto Nazionale Astrofisica (INAF); Istituto Nazionale Astrofisica (INAF); Agenzia Spaziale Italiana (ASI); Istituto Nazionale Astrofisica (INAF); University of Trieste; Istituto Nazionale di Fisica Nucleare (INFN); Autonomous University of Barcelona; Autonomous University of Barcelona; Institut d'Estudis Espacials de Catalunya (IEEC); Istituto Nazionale di Fisica Nucleare (INFN); University of Pavia; University of Witwatersrand; University of Turin; University of Rome Tor Vergata; Istituto Nazionale Astrofisica (INAF); University of California System; University of California Santa Cruz; Carnegie Institution for Science; University of Hawaii System; Universidad de La Serena; United States Department of Energy (DOE); Lawrence Berkeley National Laboratory; University of California System; University of California Berkeley; University of Copenhagen; Niels Bohr Institute; Space Telescope Science Institute; Johns Hopkins University; Brandeis University; United States Department of Energy (DOE); University of Chicago; Fermi National Accelerator Laboratory; University of Surrey; University of Pennsylvania; Indiana University System; Indiana University Bloomington; University System of Ohio; Ohio University; Texas A&amp;M University System; Texas A&amp;M University College Station; Texas A&amp;M University System; Texas A&amp;M University College Station; Carnegie Institution for Science; Sorbonne Universite; Centre National de la Recherche Scientifique (CNRS); CNRS - National Institute for Earth Sciences &amp; Astronomy (INSU); Sorbonne Universite; Northwestern University; Northwestern University; United States Department of Energy (DOE); Los Alamos National Laboratory; Consejo Superior de Investigaciones Cientificas (CSIC); CSIC - UAM - Institut de Fisica Teorica (IFT); Autonomous University of Madrid; University of London; University College London; Swiss Federal Institutes of Technology Domain; ETH Zurich; University of Chicago; Universidade Federal do Rio de Janeiro; Northwestern University; Northwestern University; National Optical Astronomy Observatory; Universidad de Chile; Columbia University; Columbia University; Columbia University; University of Michigan System; University of Michigan; United States Department of Energy (DOE); Lawrence Berkeley National Laboratory; University of California System; University of California Berkeley; University of California System; University of California Berkeley; United States Department of Energy (DOE); Lawrence Berkeley National Laboratory; University of Arizona; Universidade Estadual de Campinas; National Optical Astronomy Observatory; University of Cambridge; University of Cambridge; Sorbonne Universite; Centre National de la Recherche Scientifique (CNRS); CNRS - National Institute for Earth Sciences &amp; Astronomy (INSU); Sorbonne Universite; Centre National de la Recherche Scientifique (CNRS); CNRS - National Institute for Earth Sciences &amp; Astronomy (INSU); Stanford University; Stanford University; United States Department of Energy (DOE); SLAC National Accelerator Laboratory; University of Portsmouth; University of Illinois System; University of Illinois Urbana-Champaign; Institut d'Estudis Espacials de Catalunya (IEEC); University of Barcelona; Autonomous University of Barcelona; Consejo Superior de Investigaciones Cientificas (CSIC); CSIC - Instituto de Ciencias del Espacio (ICE); Texas A&amp;M University System; Texas A&amp;M University College Station; Texas A&amp;M University System; Texas A&amp;M University College Station; Indian Institute of Technology System (IIT System); Indian Institute of Technology (IIT) - Hyderabad; University of Munich; California Institute of Technology; National Aeronautics &amp; Space Administration (NASA); NASA Jet Propulsion Laboratory (JPL); California Institute of Technology; Barcelona Institute of Science &amp; Technology; Institute for High Energy Physics (IFAE); Autonomous University of Barcelona; University of Michigan System; University of Michigan; University of Michigan System; University of Michigan; University of Munich; University of California System; University of California Berkeley; University System of Ohio; Ohio State University; University System of Ohio; Ohio State University; University of Washington; University of Washington Seattle; Universidade de Sao Paulo; University System of Ohio; Ohio State University; ICREA; Max Planck Society; University of Sussex; Centro de Investigaciones Energeticas, Medioambientales Tecnologicas; United States Department of Energy (DOE); Brookhaven National Laboratory; University of Southampton; United States Department of Energy (DOE); Oak Ridge National Laboratory; United States Department of Energy (DOE); Argonne National Laboratory; Stanford University; University of North Carolina; University of North Carolina Chapel Hill; University of North Carolina School of Medicine; University of Arizona; University of Arizona; University of California System; University of California Davis; University of Padua; Istituto Nazionale Astrofisica (INAF); University of Padua; Istituto Nazionale Astrofisica (INAF); Istituto Nazionale Astrofisica (INAF); Agenzia Spaziale Italiana (ASI); Istituto Nazionale Astrofisica (INAF); Istituto Nazionale Astrofisica (INAF); University of Milano-Bicocca; Universite de Montpellier; Istituto Nazionale Astrofisica (INAF); University of Naples Federico II; University of Innsbruck; Universidad Andres Bello; University of Insubria; Istituto Nazionale Astrofisica (INAF); Istituto Nazionale Astrofisica (INAF); Istituto Nazionale Astrofisica (INAF); Istituto Nazionale Astrofisica (INAF); Purple Mountain Observatory, CAS; Chinese Academy of Sciences; Nanjing Institute of Astronomical Optics &amp; Technology, NAOC, CAS; George Washington University; Liverpool John Moores University; Max Planck Society; European Southern Observatory; Istituto Nazionale Astrofisica (INAF); Hebrew University of Jerusalem; Centre National de la Recherche Scientifique (CNRS); Universite PSL; Observatoire de Paris; University of Leicester; Tohoku University; Tohoku University; University of Bath; Universite Paris Saclay; CEA; Nanjing Normal University; Nanjing Normal University; University of Nova Gorica; University of Amsterdam; Liverpool John Moores University; University of Ljubljana; Chinese Academy of Sciences; Yunnan Astronomical Observatory, NAOC, CAS; Liverpool John Moores University; George Washington University; Universite Paris Saclay; CEA; Centre National de la Recherche Scientifique (CNRS); Universite Paris Cite; University of California System; University of California Santa Cruz; University of California System; University of California Santa Cruz; University of Pisa; Istituto Nazionale di Fisica Nucleare (INFN); Istituto Nazionale di Fisica Nucleare (INFN); University of Trieste; University of Trieste; Istituto Nazionale di Fisica Nucleare (INFN); University of Padua; California State University System; California State University Los Angeles; Istituto Nazionale di Fisica Nucleare (INFN); Universita degli Studi di Bari Aldo Moro; Politecnico di Bari; Istituto Nazionale di Fisica Nucleare (INFN); Stanford University; Stanford University; United States Department of Energy (DOE); SLAC National Accelerator Laboratory; Istituto Nazionale di Fisica Nucleare (INFN); University of Turin; Universite de Montpellier; Centre National de la Recherche Scientifique (CNRS); CNRS - National Institute of Nuclear and Particle Physics (IN2P3); Helmholtz Association; Deutsches Elektronen-Synchrotron (DESY); National Aeronautics &amp; Space Administration (NASA); NASA Goddard Space Flight Center; Agenzia Spaziale Italiana (ASI); George Mason University; United States Department of Defense; United States Navy; Naval Research Laboratory; United States Department of Defense; United States Navy; Naval Research Laboratory; Agenzia Spaziale Italiana (ASI); Istituto Nazionale di Fisica Nucleare (INFN); California State University System; Sonoma State University; RWTH Aachen University; Istituto Nazionale Astrofisica (INAF); University of Bologna; Pegaso Online University; Institut Polytechnique de Paris; Centre National de la Recherche Scientifique (CNRS); CNRS - National Institute of Nuclear and Particle Physics (IN2P3); Hiroshima University; University System of Maryland; University of Maryland College Park; University System of Maryland; University of Maryland College Park; Centre National de la Recherche Scientifique (CNRS); CNRS - National Institute of Nuclear and Particle Physics (IN2P3); Universite de Bordeaux; Universite de Orleans; Centre National de la Recherche Scientifique (CNRS); Centre National de la Recherche Scientifique (CNRS); CNRS - National Institute for Earth Sciences &amp; Astronomy (INSU); Universite PSL; Observatoire de Paris; University of Iceland; Nordic Institute for Theoretical Physics; University of Tokyo; Istituto Nazionale di Fisica Nucleare (INFN); Clemson University; Max Planck Society; University of Innsbruck; University of Innsbruck; University of Hong Kong; University of Hong Kong; Nycb Real-Time Computing Inc.; Hiroshima University; Universite de Toulouse; Universite Toulouse III - Paul Sabatier; Centre National de la Recherche Scientifique (CNRS); Universite de Toulouse; Universite Toulouse III - Paul Sabatier; Centre National de la Recherche Scientifique (CNRS); Autonomous University of Barcelona; Consejo Superior de Investigaciones Cientificas (CSIC); CSIC - Instituto de Ciencias del Espacio (ICE); ICREA; Istituto Nazionale Astrofisica (INAF); University of Nova Gorica; University of Sydney; Commonwealth Scientific &amp; Industrial Research Organisation (CSIRO); University of Wisconsin System; University of Wisconsin Milwaukee; Commonwealth Scientific &amp; Industrial Research Organisation (CSIRO); Curtin University; University of Western Australia; Swinburne University of Technology; University of California System; University of California Santa Barbara; Tel Aviv University; Columbia University; Swinburne University of Technology; Australian National University; Texas A&amp;M University System; Texas A&amp;M University College Station; Purple Mountain Observatory, CAS; Chinese Academy of Sciences; Nanjing Institute of Astronomical Optics &amp; Technology, NAOC, CAS; University of the Virgin Islands; Melbourne Genomics Health Alliance; Monash University; University of Sydney; University of Nottingham; Commonwealth Scientific &amp; Industrial Research Organisation (CSIRO); Australia Telescope National Facility; University of Manchester; Jodrell Bank Centre for Astrophysics; Chinese Academy of Sciences; National Astronomical Observatory, CAS; Tsinghua University; Tsinghua University; Tianjin Normal University; University of New South Wales Sydney; Chinese Academy of Sciences; Nanjing Institute of Astronomical Optics &amp; Technology, NAOC, CAS; Beijing Normal University; Nanjing University; Nanjing University; United States Department of Defense; United States Air Force; United States Air Force Academy; Universite de Toulouse; Australian National University; University of Leicester; Consejo Superior de Investigaciones Cientificas (CSIC); CSIC - Instituto de Astrofisica de Andalucia (IAA); University of Cambridge; Max Planck Society; University of Birmingham; University of Birmingham; Melbourne Genomics Health Alliance; Monash University; Melbourne Genomics Health Alliance; Monash University; Oskar Klein Centre; Stockholm University; University of Amsterdam; University of St Andrews; University of Copenhagen; Niels Bohr Institute; University of Copenhagen; Nagoya University; Space Telescope Science Institute; University of Iceland; Pontificia Universidad Catolica de Chile; Max Planck Society; Lomonosov Moscow State University; Lomonosov Moscow State University; Universidad Nacional de San Juan; Irkutsk State University; Instituto de Astrofisica de Canarias; Russian Academy of Sciences; St. Petersburg Scientific Centre of the Russian Academy of Sciences; Pulkovo Observatory; National Institutes of Natural Sciences (NINS) - Japan; National Astronomical Observatory of Japan (NAOJ); National Institutes of Natural Sciences (NINS) - Japan; National Astronomical Observatory of Japan (NAOJ); University of Hyogo; National Research Foundation - South Africa; South African Astronomical Observatory; Massey University; Tokyo Institute of Technology; Osaka Metropolitan University; Hiroshima University; National Institutes of Natural Sciences (NINS) - Japan; National Astronomical Observatory of Japan (NAOJ); Chinese Academy of Sciences; Nanjing Institute of Astronomical Optics &amp; Technology, NAOC, CAS; Purple Mountain Observatory, CAS; Osaka University; Nagoya University; Kagoshima University; Kyoto University; Toho University; Konan University; University of Canterbury; California Institute of Technology; Department of Science &amp; Technology (India); Indian Institute of Astrophysics (IIA); University of Colorado System; University of Colorado Boulder; National Research Foundation - South Africa; South African Astronomical Observatory; University of Washington; University of Washington Seattle; Tata Institute of Fundamental Research (TIFR); National Centre for Radio Astrophysics (NCRA), Pune; University of Wisconsin System; University of Wisconsin Milwaukee; United States Department of Defense; United States Navy; Naval Research Laboratory; George Washington University; University of London; University College London; University of Leicester; Oskar Klein Centre; Stockholm University; Space Telescope Science Institute; National Radio Astronomy Observatory (NRAO); University of Southampton; University of Portsmouth; Tel Aviv University; California Institute of Technology; Hebrew University of Jerusalem; National Central University; Tokyo Institute of Technology; University of California System; University of California Berkeley; University of California System; University of California Berkeley; Max Planck Society; Northwestern University; University of Oxford; Weizmann Institute of Science; Texas Tech University System; Texas Tech University; Liverpool John Moores University; California State University System; San Diego State University; University of Tokyo; Oskar Klein Centre; Stockholm University; University of California System; University of California Merced; University of Sydney; University of Hawaii System; Japan Aerospace Exploration Agency (JAXA); Institute of Space &amp; Astronautical Science (ISAS); University of Miyazaki; Tokyo Institute of Technology; Aoyama Gakuin University; Kyoto University; Japan Aerospace Exploration Agency (JAXA); RIKEN; Chuo University; National Institutes of Natural Sciences (NINS) - Japan; National Astronomical Observatory of Japan (NAOJ); Nihon University; Osaka University; Nagoya University; University of Western Australia; Swinburne University of Technology; Universite Cote d'Azur; Observatoire de la Cote d'Azur; Centre National de la Recherche Scientifique (CNRS); Universite de Toulouse; Universite Toulouse III - Paul Sabatier; Centre National de la Recherche Scientifique (CNRS); University of the Virgin Islands; Seoul National University (SNU); Korea Astronomy &amp; Space Science Institute (KASI); Chinese Academy of Sciences; National Astronomical Observatory, CAS; Queens University Belfast; University of Southampton; Weizmann Institute of Science; University of Warwick; University of Edinburgh; Universidad Andres Bello; European Southern Observatory; Stockholm University; Oskar Klein Centre; Pontificia Universidad Catolica de Chile; Pontificia Universidad Catolica de Chile; University of Padua; Istituto Nazionale Astrofisica (INAF); Istituto Nazionale Astrofisica (INAF); Oskar Klein Centre; Stockholm University; Centre National de la Recherche Scientifique (CNRS); Sorbonne Universite; Universidad de Chile; Istituto Nazionale Astrofisica (INAF); University of Portsmouth; Pennsylvania Commonwealth System of Higher Education (PCSHE); University of Pittsburgh; Universidade de Lisboa; University of Warsaw; University of Turku; Universidad de Valparaiso; University of Cambridge; Lancaster University; Consejo Superior de Investigaciones Cientificas (CSIC); CSIC - Instituto de Astrofisica de Andalucia (IAA); Ruprecht Karls University Heidelberg; University of Turku; Max Planck Society; Humboldt University of Berlin; Sorbonne Universite; Centre National de la Recherche Scientifique (CNRS); CNRS - National Institute for Earth Sciences &amp; Astronomy (INSU); Sorbonne Universite; University of Padua; Istituto Nazionale Astrofisica (INAF); University of Oxford; University of New South Wales Sydney; Australian Defense Force Academy; University of Catania; Istituto Nazionale di Fisica Nucleare (INFN); University of the Free State; University of Minnesota System; University of Minnesota Twin Cities; Max Planck Society; Texas Tech University System; Texas Tech University; American Museum of Natural History (AMNH); National Research Foundation - South Africa; South African Astronomical Observatory; University of Texas System; University of Texas Rio Grande Valley; University of Texas System; University of Texas Rio Grande Valley; Texas A&amp;M University System; Texas A&amp;M University College Station; National University of Cordoba; Consejo Nacional de Investigaciones Cientificas y Tecnicas (CONICET); Universidade de Sao Paulo; Universidad de La Serena; Universidad de La Serena; Universidade Federal de Sergipe; Universidade Federal de Santa Catarina (UFSC); Universidade de Sao Paulo; ; </t>
  </si>
  <si>
    <t>Abbott, BP (corresponding author), CALTECH, LIGO, Pasadena, CA 91125 USA.</t>
  </si>
  <si>
    <t>Giglietto, Nicola/Y-2425-2019; Rebolo, Rafael/S-1563-2019; Steinlechner, Jessica/AAJ-9932-2021; Young, David J/C-2045-2009; Martello, Daniele/J-3131-2012; Mastrogiovanni, Simone/AAG-9846-2021; Minaev, Pavel Yurievich/N-1833-2016; Chandra, P Nikhil/AAS-3241-2020; Valdes, Guillermo/AAC-5915-2019; Svinkin, Dmitry/C-1934-2014; Jelínek, Martin/E-5290-2016; Moura Santos, Edivaldo/K-5313-2016; Chabab, Mohamed/AAH-1882-2019; Bersanetti, Diego/N-4382-2018; Taiuti, Mauro GF/K-5324-2014; Lysenko, Alexandra/ABG-1938-2021; Maruyama, Reina H/A-1064-2013; Keane, Evan/HLH-5328-2023; Bleve, Carla/J-2521-2012; Campana, Sergio/AAL-6012-2020; Fuster-Sabater, Amparo/AAH-2699-2021; Wadiasingh, Zorawar/ABC-9287-2020; Gergely, László Árpád/X-7693-2018; Pumo, Maria Letizia/C-1730-2018; Loparco, Francesco/O-8847-2015; Popa, Vlad/C-3470-2011; Horváth, Pavel/G-6334-2014; Farr, Ben/ABH-6964-2020; Goetz, Evan/HHS-2153-2022; Sadler, Elaine M/A-5720-2008; Moller, Anais/KHE-0975-2024; Hallmann, Steffen/HLQ-7871-2023; Gemme, Gianluca/C-7233-2008; Blair, Carl/AGP-2697-2022; Felis, Ivan/AGI-2903-2022; Kopper, Claudio/N-5824-2019; Lasky, Paul D/A-2660-2009; HU, Youdong/AAT-8521-2020; Lazzaro, Claudia/L-2986-2016; Buades, Antoni Ramos/R-4149-2019; Navas, Sergio/N-4649-2014; SEGLAR-ARROYO, MONICA/AAB-4366-2021; Poggiani, Rosa/P-8801-2018; Weller, Jochen/ABD-6783-2021; Arsene, Nicusor/AAN-3952-2020; Chua, Alvin J. K./IUO-6401-2023; Sintes, Alicia M/AAF-4791-2019; Minaev, Pavel/AAM-5948-2020; Burkhonov, Otabek A/H-3778-2015; Castellina, Antonella/V-4748-2017; Arsene, Nicusor/AAY-1596-2021; Rest, Armin/ABE-6469-2020; Schüssler, Fabian/M-3789-2019; Oozeer, Nadeem/GNM-5857-2022; Vercellone, Stefano/ABC-7250-2020; Carnero, Aurelio/AAH-3411-2019; Farr, Will/KCY-9315-2024; Paxman, Jonathan/ABB-3855-2020; Ciolfi, Riccardo/HMD-3019-2023; Hjorth, Jens/M-5787-2014; Shepherd, Samantha/HHN-5424-2022; Satalecka, Konstancja/AAT-1309-2020; Marchesoni, Fabio/A-1920-2008; Sun, Peng/KDO-4243-2024; Venter, Christo/E-6884-2011; Pękala, Jan/N-5423-2018; Fassi, Farida/F-3571-2016; Costa, César/V-9846-2019; Castro-Tirado, Alberto J./I-5039-2015; Piccinni, Ornella Juliana/M-6238-2018; Ricciarini, Sergio Bruno/AAW-1098-2020; Pelayo, Rodrigo/P-4807-2019; Bejger, Magdalena/W-7298-2018; Bondu, Francois/A-2071-2012; calloni, enrico/K-5852-2019; Tápai, Márton/X-8850-2018; Soffitta, Paolo/AAA-7514-2021; Martin, Iain/V-1198-2018; Conti, Livia/F-8565-2013; Bose, Debanjan/IQT-3805-2023; Kauer, Matt/AAY-7581-2020; García González, José Andrés/IZQ-2333-2023; Martins dos Santos, Eva Maria/Q-2615-2019; Shannon, Ryan/AAW-8522-2020; Vercellone, Stefano/JDD-8183-2023; Natalucci, Lorenzo/G-1790-2012; Nosek, Dalibor/F-1129-2017; Bulik, Tomasz/AAJ-6742-2020; Bertolini, Alessandro/ABG-4851-2021; wang, David/KFR-2555-2024; GUPTA, MANOJ KUMAR/D-7962-2019; Baldini, Luca/E-5396-2012; xiao, wei/KCK-6954-2024; Whiting, Matthew T/C-1017-2008; Kéfélian, Fabien/AAN-6987-2020; Magee, Mark/AGP-5835-2022; DI PALMA, IRENE/R-1916-2018; Garufi, Fabio/JAO-0368-2023; Vazquez, Jose Ramon J. R./K-2272-2015; Pereira, Luiz Augusto Stuani/R-8682-2018; travnicek, petr/T-2962-2018; Rumyantsev, Vasilij/B-5225-2018; Bonino, Raffaella/AAT-7938-2020; Pavalas, Gabriela Emilia/B-8309-2013; Moreno-Barbosa, Eduardo/AAX-6669-2020; Markakis, Charalampos/G-1015-2011; La Mura, Giovanni/GSE-2335-2022; Wang, Yanan/JVZ-7957-2024; Gorbunov, Igor/B-3705-2015; Bulla, Mattia/ABI-2407-2020; Schroeder, Frank G./IRH-9416-2023; Krolak, Andrzej J/V-3384-2017; Malyshev, Denys/J-5639-2017; Aguiar, Odylio D/N-2738-2014; sun, huan/IUN-8843-2023; Vicere', Andrea/J-1742-2012; Volnova, Alina/AGP-3946-2022; DRAGO, Marco/K-6895-2019; Grado, Aniello/AAA-1535-2019; long, wang/KGM-0871-2024; McManus, David/AAE-3962-2019; Cataldi, Gabriella/GLS-5383-2022; Díaz, Antonio F./B-1403-2012; Balbinot, Eduardo/ABE-5040-2020; Wang, Shuai/JAZ-0277-2023; Bawaj, Mateusz/AAC-2018-2021; Green, Anna C/AAF-8474-2019; Sassolas, Benoit/HZL-0679-2023; DeYoung, Tyce/O-6895-2019; Lu, Wang/JVO-0416-2024; de León Acuña, Cederik León/E-5407-2018; Gonzalez Castro, Jose M/HOH-2401-2023; Dálya, Gergely/GLU-6345-2022; Moderski, Rafal/ABG-8777-2020; Mazaeva, Elena/AAM-6112-2020; Caraveo, Patrizia/AAL-5708-2020; Colalillo, Roberta/R-5088-2016; Gammaitoni, Luca/B-5375-2009; Spurio, Maurizio/AAM-2262-2020; Li, Tao/IWU-9607-2023; Constancio, Marcio/M-7955-2017; Zhang, Wenbin/JXX-8070-2024; Catalani, Fernando/I-4831-2015; Salemi, Francesco/F-6988-2014; Pozanenko, Alexei/ABA-9307-2021; Domi, Alba/HKF-6672-2023; Barbato, Felicia Carla Tiziana/J-7042-2019; Nicastro, Luciano/F-5866-2015; Slagmolen, Bram/AAY-1638-2020; Chiummo, Antonino/AAZ-5233-2021; Zaborov, Dmitry/AAD-8694-2019; Bernardini, Elisa/AAA-4810-2020; Lahmann, Robert/L-7461-2015; Rossi, Andrea/CAI-0171-2022; Metzger, Brian David/JQI-2008-2023; del Pulgar Mancebo, Carlos Jesús Pérez/ABA-6137-2020; Ridnaia, Anna/B-3854-2015; Gergely, László Árpád/JCO-2832-2023; Gonzalez-Fernandez, Carlos/H-3569-2015; Coelho, Joao A B/D-3546-2013; Zaharijas, Gabrijela/KCY-3040-2024; Giuliani, Alessandro/B-6061-2012; Nunez, Luis A/D-3404-2013; Gargano, Fabio/O-8934-2015; Khazanov, Efim A/B-6643-2014; Trott, Cathryn/AAM-5971-2021; Prouza, Michael/F-8514-2014; Jurysek, Jakub/C-6400-2017; Hammond, Giles D/B-7861-2009; Chiarusi, Tommaso/HDN-8739-2022; Tlatov, Andrey G./E-7095-2014; Sarkar, Subir/G-5978-2011; Dent, Thomas/AAB-3674-2019; Abramo, Luis Raul Weber/C-1745-2013; Young, David Reid/HKN-5543-2023; Mangano, Valentina/AAC-9281-2020; Nelemans, Gijs/D-3177-2012; Villar, Antonio Bueno/X-4758-2019; Addesso, Paolo/F-4928-2012; Pascucci, Daniela/AGR-5711-2022; White, Richard/AAF-4527-2019; Bartos, Imre/JCO-3215-2023; Broderick, Jess/AAD-2450-2019; Korobko, Mikhail/ABD-8704-2020; Brown, Ian S/R-7763-2016; Tjus, Julia/G-8145-2012; Shao, Lijing/GRO-6046-2022; Cerretani, Giovanni/Z-1755-2019; de Jong, Sijbrand/AFW-2548-2022; Gress, Oleg/AGZ-7514-2022; Fukazawa, Yasushi/G-2081-2017; Horns, Dieter/ABE-9516-2020; Groot, Paul/K-4391-2016; Wette, Karl/H-9897-2019; Pühlhofer, Gerd/Q-2336-2018; Parmiggiani, Nicolò/HKE-6150-2023; Vyatchanin, Sergey P/J-2238-2012; Zavrtanik, Danilo/A-1895-2019; Allekotte, Ingomar/JRW-7296-2023; ZHU, BIN/IYJ-3847-2023; Pike, Sean/CAG-0173-2022; Middleton, Hannah/HLW-9015-2023; Oya, Igor/GYU-6580-2022; Samajdar, Anuradha/AAA-3165-2022; Muralimohan, Pavana/JAZ-1136-2023; D'Aì, Antonino/B-3962-2012; Bhalerao, Varun/IZD-7512-2023; Troja, Eleonora/HCI-0783-2022; Pike, Sean/CAI-6753-2022; VARDARO, MARCO/AAC-8389-2021; Celli, Silvia/ABE-3710-2022; Eberl, Thomas/AGX-6072-2022; sanchez, juan/GSD-8167-2022; de Oliveira, Claudia Mendes/F-2391-2012; Wang, Guanhua/JXM-6373-2024; lu, lu/HII-7530-2022; -Fernandez, F.Javier García/M-7584-2019; Muralimohan, Pavana/B-3852-2019; Palazzi, Eliana/N-4746-2015; Kumar, Rishabh/P-4667-2017; Caramete, Laurentiu Ioan/C-2328-2011; Wang, Yuepeng/GPS-9328-2022; Khalili, Farit Ya/D-8113-2012; Lee, Chang-Hwan/B-3096-2015; Acernese, Fausto/E-4989-2010; Veres, Péter/A-7847-2018; Bonino, Raffaella/S-2367-2016; liu, yi/GXE-9662-2022; Müller, Ana Laura/ABB-3329-2021; Cerda-Duran, Pablo/D-7857-2015; Sorrentino, Fiodor/X-8942-2019; Wang, Chenwei/HCI-8930-2022; Stevenson, Simon/AAA-5870-2021; Bogaert, Gilles/GZA-8066-2022; cattaneo, Paolo/AAC-4200-2021; Eberl, Thomas/J-4826-2016; Salafia, Om Sharan/F-2108-2018; Williams, Michael Joshua/AAX-2117-2021; Lee, William/KHX-0414-2024; Babak, Stanislav/H-9689-2017; Coelho, Paula/B-1592-2015; Boschi, Valerio/AAP-2034-2020; Sanchez Lucas, Patricia/AAA-4509-2021; Frederiks, Dmitry D/C-7612-2014; zhang, weijie/JQX-1450-2023; Isobe, Naoki/U-4707-2017; Gromadzki, Grzegorz/AAH-1136-2019; TIWARI, VINOD K/L-9595-2019; Pumo, Maria Letizia/IAN-0050-2023; Aiello, Lorenzo/GYV-4616-2022; Domi, Alba/AAP-2811-2021; Wiseman, Philip/HTQ-8020-2023; Álvarez, Miguel Dovale/AAB-8208-2020; Leonardi, Matteo/IVV-5696-2023; Deschamps, Alexis/A-2112-2009; Moskvitin, Alexander Sergeevich/J-9901-2018; Ayala Solares, Hugo Alberto/JVD-9517-2023; Van den Broeck, Christian/E-5490-2012; Meyer, Manuel/E-2697-2016; Placco, Vinicius/AAT-7608-2021; Estevez, Dimitri/AAR-7321-2021; Schipani, Pietro/A-6345-2018; Hotan, Aidan/AAH-4901-2021; Padilla, Nelson/GYA-0710-2022; Maguire, Kate/HHN-6122-2022; Johnston-Hollitt, Melanie/B-1803-2013; Fejer, Martin/AAH-3883-2020; Pirronello, Valerio/IRZ-4779-2023; Mankiewicz, Lech/G-4171-2011; Principe, Giacomo/AHD-0733-2022; Tomé, Bernardo A/J-4410-2013; sun, huan/JEO-7152-2023; Alvarez-Muniz, Jaime/H-1857-2015; Ain, Anirban/HJA-2249-2022; Katz, Uli F/E-1925-2013; Naticchioni, Luca/AAB-7775-2019; Shidatsu, Megumi/C-5742-2017; Lorenzini, Matteo/AAC-6035-2021; Buckley, David/AAR-4345-2020; Gasparrini, Dario/X-6699-2019; Lopez-Coto, Ruben/ABG-6191-2020; Martínez-Huerta, Humberto/ABG-6684-2020; Li, Zexi/KFA-6939-2024; Sanchez, Eusebio/H-5228-2015; Rao, A. R./ABC-4958-2020; Sun, Ling/AAC-6908-2022; Smith, Nathan John/JXY-5736-2024; Kreykenbohm, Ingo/H-9659-2013; Zimmermann, Benedikt/JSK-7636-2023; liebling, steven/AAF-1068-2019; Izzo, Luca/AAH-9609-2019; Hotokezaka, Kenta/AAA-3890-2022; Bianchi, Marco Emilio/K-3417-2018; Makishima, Kazuo/A-7106-2016; CHASSANDE-MOTTIN, Eric/ABC-2478-2020; De Pasquale, Massimiliano/AAC-5695-2020; Migliozzi, Pasquale/I-6427-2015; Keitel, David/AAA-1579-2019; Pierro, Vincenzo/AHD-9078-2022; Sushch, Iurii/AAH-8354-2019; Schneider, Austin/JGC-9796-2023; Cuoco, Elena/I-8789-2012; Ju, Li/C-2623-2013; Fioretti, Valentina/GRS-4604-2022; Cazon, Lorenzo/AAA-2431-2020; Mitchell, Andrew K/B-3423-2013; Serra-Ricart, Miguel/AAB-2812-2019; Vergani, Daniela/Z-3026-2019; de la Fuente Acosta, Eduardo/B-5170-2018; Vivolo, Daniele/AAC-5805-2020; Akras, Stavros/HKW-6930-2023; Torres-Forné, Alejandro/AEC-6922-2022; Dasso, Sergio/AAY-2543-2020; fenu, francesco/AAQ-3920-2020; Bartos, Imre/AAD-6024-2019; Husa, Sascha/S-1787-2017; Shoemaker, David/JKI-5322-2023; Kuss, Michael W/H-8959-2012; Huang, Kai/JVO-5066-2024; Pinto, Innocenzo M/L-3520-2016; Takahashi, Jun/GRX-8704-2022; Zhu, Xingjiang/E-1501-2016; Wang, Weiyang/GZM-6620-2022; Danilishin, Stefan/K-7262-2012; Adya, Vaishali/V-9014-2019; Gómez Berisso, Mariano/GOJ-7746-2022; Kraus, Alex/KBA-9063-2024; wang, dan/JEF-0836-2023; James, Clancy W/G-9178-2015; Kalaczyński, Piotr/P-8189-2019; Johnson, Matthew D/B-6276-2015; Giordano, Francesco/JCO-2033-2023; Bilenko, Igor/JVZ-0655-2024; Bonifazi, Carla Brenda/GYQ-5362-2022; Walker, Marissa/HNP-2980-2023; Lyman, Joe/AEZ-4511-2022; Vos, Joris/AAL-6980-2020; Macleod, Duncan/JCP-4720-2023; Yang, Sheng/X-2211-2019; Trovato, Agata/F-4160-2016; Reimer, Anita/K-5822-2015; Zuniga, Juan/P-4385-2014; Varela, Enrique/HLX-4608-2023; Casadio, Carolina/AAH-5524-2021; Caballero-Garcia, Maria D./D-5659-2017; MAURIN, Guillaume GM/G-7435-2015; Isar, Paula Gina/B-5808-2011; Wolf, Christian/IYS-8110-2023; Michałowski, Michał/AAQ-4789-2021; Perrina, Chiara/AAD-5622-2019; Dewangan, Gulab/ABA-4585-2021; Palmese, Antonella/JWO-1861-2024; O'Shaughnessy, Richard/AAA-3625-2021; Rea, Immacolata Carmen/AAV-4830-2021; Macas, Ronaldas/N-7283-2018; Szadkowski, Zbigniew/AAD-5129-2019; Gonçalves, Denise R./L-1890-2016; Ramirez, Karla Elizabeth/KHY-1120-2024; Khangulyan, Dmitry/AAH-1940-2019; Bécsy, Bence/GQR-0924-2022; Smida, Radomir/G-6314-2014; Kusakin, Anatolij/AAW-8624-2020; Yatsu, Yoichi/AAR-4645-2021; Prokhorov, Leonid/AAE-4810-2019; Glaser, Christian/R-3021-2019; Sansom, Eleanor/AAM-5067-2020; Michal, Stanislav/ADA-9724-2022; Kerszberg, Daniel/AAB-3175-2019; Díaz Vélez, Juan Carlos/AAD-5211-2022; Fioretti, Valentina/N-5589-2015; de Varona, Omar/AAA-6282-2020; Zevin, Michael/ABG-1443-2020; Consolati, Giovanni/C-5680-2013; Beswick, Robert/AAA-2050-2022; Kasprzack, Marie F/JGM-1831-2023; Zhang, Miao/JXY-8985-2024; Shingles, Luke J/P-4660-2014; Peters, Wendy/Z-1657-2019; Boer, Michel/Q-4428-2019; Williams, David/HKN-3732-2023; Della Valle, Massimo/AAE-8884-2021; Parente, Gonzalo/G-8264-2015; Wiebusch, Christopher H.V./G-6490-2012; Vlasenko, Daniil/ABD-9670-2020; Korobkin, Oleg/AGN-3068-2022; Christov, Asen/S-4508-2018; Biagi, Simone/G-4557-2016; Jimenez-Teja, Yolanda/D-5933-2011; 兵, 李/GSN-3295-2022; Marcowith, Alexandre/ABH-1254-2020; ANTONELLI, ANTONELLA/C-6238-2011; Kemmerich, Nikolas/C-4665-2018; Palashov, Oleg V/G-3917-2017; Castellón, José Luis Nilo/AAC-9402-2020; Khazanov, Efim/GQA-7518-2022; Zhang, yuxuan/JXM-9935-2024; Ren, Zhixiang/IQS-1889-2023; Covino, Stefano/AAQ-5188-2021; greco, giuseppe/KCK-7608-2024; Ricci, Fulvio/JZD-2100-2024; Sigg, Daniel/I-4308-2015; Ciani, Giacomo/G-1036-2011; Branzas, Horea Florin/HPC-8361-2023; Torrie, Calum/HSF-6951-2023; Hernandez, Mercedes Stephania/JRY-9804-2023; guo, ppdop/KAL-9865-2024; Raino, Silvia/HTN-2441-2023; PENG, CHENG/KCL-2506-2024; Bellido, Jose/AAY-3452-2021; Lachaud, Christophe/ABC-8596-2021; Nozka, Libor/G-5550-2014; sun, he/IYJ-6174-2023; Bretz, Thomas/AAK-8726-2020; Díaz Vélez, Juan Carlos/T-2788-2018; Mukund, Nikhil/AAT-2916-2020; Simon, Joshua D/AAX-7117-2021; Mow-Lowry, Conor M/F-8843-2015; Riccobene, Giorgio/A-4502-2010; Crocce, Martin/JUV-1024-2023; Quirós, Cecilio García/R-3567-2019; Schutz, Bernard F/B-1504-2010; de Dios Álvarez Romero, Juan/Q-8156-2019; Punturo, Michele/I-3995-2012; Novotny, Vladimir/C-6495-2017; Parente, Gonzalo/AAT-2889-2020; Yushkov, Alexey/A-6958-2013; DI PACE, SIBILLA/Y-9521-2019; Morselli, Aldo/G-6769-2011; Li, Lei/JPE-6543-2023; Organokov, Mukharbek/AAD-9974-2019; Yang, Le/AAX-1849-2021; Yang, Le/GZG-6603-2022; Chincarini, Andrea/GSI-4847-2022; Bissaldi, Elisabetta/HTM-6577-2023; Roberts, Oliver/ABC-9846-2020; wang, wy/JDD-3603-2023; Fidecaro, Francesco/H-9581-2017; Freise, Andreas/F-8892-2011; Johnston, Simon/AAW-8490-2020; xin, li/JCO-3925-2023; Sanchis-Gual, Nicolas/AAX-1563-2021; de Mello Neto, Joao/AAD-8312-2021; Ferrante, Isidoro/F-1017-2012; Sauter, Olivier/AAA-1949-2022; Bastieri, Denis/AAC-5917-2020; Zhu, Li/KBA-1685-2024; Jung-Richardt, Ira/AAT-8884-2020; Smith, Rowan/GOH-1182-2022; De Bonis, Giulia/GLR-7481-2022; Larenas, Héctor Andrés Cuevas/AAP-1664-2021; LU, LU/JEZ-4760-2023; Hu, Yi-Ming/ABD-6909-2021; Abreu, Pedro T./L-2220-2014; DAI, QIZHOU/E-8502-2014; Dundović, Andrej/GNH-4870-2022; Alcaniz, Jailson/GLT-4637-2022; lu, lu/HGA-0894-2022; Selsing, Jonatan/O-3792-2019; Schnabel, Roman/V-7759-2019; Garufi, Fabio/K-3263-2015; Zadrożny, Adam/AAG-1790-2019; Vine, David J/A-4675-2009; cunha, carlos/AAA-5734-2020; Torii, Shoji/AAF-5199-2021; SIQUEIROS HERNANDEZ, MIRIAM/S-5344-2019; li, jixiang/JXN-7599-2024; Zuccarello, Francesca/HLP-5580-2023; Pittori, Carlotta/C-7710-2016; Wayth, Randall/B-2444-2013; Valenti, Stefano/M-5924-2017; Niemiec, Jacek/R-5432-2017; Berry, Christopher/N-1904-2017; Franzen, Thomas/ABF-5789-2020; Van Den Broeck, Chris/R-7871-2018; Frei, Zsolt/O-9538-2019; Castro, Jesus Alberto Martinez/G-8495-2019; Chenevez, Jerome/F-5380-2010; Zhang, Zhentao/JQV-7389-2023; Maxted, Nigel/AAA-7306-2019; Evans, Philip/JJC-1668-2023; Troja, Eleonora/AAB-3604-2020; Qi, Hong/AAC-5169-2019; Sandrock, Alexander/AAT-1285-2020; Dimitriadis, Georgios/HRD-5929-2023; De Pietri, Roberto/E-5336-2012; Torres, Diego F/ABD-7940-2020; Bazzan, Marco/AAC-7894-2019; wang, jing/GRS-7509-2022; prodi, giovanni andrea/B-4398-2010; King, Paul J/IWM-2314-2023; Farinon, Stefania/AAG-9056-2019; Pratten, Geraint/AAX-3476-2020; Favata, Marc/AAA-6755-2022; Navarrini, Alessandro/AAW-9550-2020; Giordano, Valentina/Y-5113-2018; Li, Yan/JUU-5189-2023; Moskalenko, Igor V/A-1301-2007; Armstrong, Greg/JFS-7236-2023; de Palma, Francesco/GLS-3415-2022; Valiño, Ines/O-4910-2019; Strigin, Sergey E/I-8337-2012; Howie, Robert Michael/S-1245-2019; Stubbs, Christopher W/IQS-2815-2023; Trozzo, Lucia/AFP-2366-2022; Acernese, Fausto/AAX-5705-2020; Kouprianov, Vladimir/W-4817-2019; Vocca, Helios/J-9579-2016; van den Berg, Adriaan M/C-4970-2017; Sánchez Losa, Agustín/B-6153-2019; Cattaneo, Paolo Walter/AAG-9097-2020; Zhang, Teng/Y-3281-2018; Rapagnani, Piero/T-2050-2019; Galbany, Lluís/A-8963-2017; Tanco, Gustavo Adolfo Medina/AAS-1447-2021; Blagorodnova, Nadejda/AAA-9572-2021; Stanway, Elizabeth/IYS-7788-2023; Gonzalez, Josefa Becerra/AAH-6071-2019; Pohl, Martin/P-4920-2017; Huerta, Eliu A/J-5426-2014; Hernández-Rey, Juan José/N-5955-2014; Springer, Robert Wayne/AAE-1754-2022; Verzi, Valerio/B-1149-2012; Reimer, Olaf/A-3117-2013; Svinkin, Dmitry/JKJ-2377-2023; Hu, Youdong/IAL-9625-2023; Pitkin, Matthew/I-3802-2013; Christensen, Nelson/AAH-9184-2019; Chincarini, Andrea/J-9998-2018; Clark, James/JPK-8317-2023; Torres, Diego F./AAF-7931-2019; Williams, Daniel/ABA-6070-2022; RAMIREZ, AMELIA/HJA-2242-2022; Torralba Elipe, Guillermo/A-9524-2015; Stasielak, Jaroslaw/W-1179-2018; Ferrigno, Carlo/H-4139-2012; Smirnov, Oleg/AEO-9012-2022; Capasso, Massimo/ABA-7095-2020; Castander, Francisco Javier/E-8021-2017; Oleynik, Philipp/AAH-6443-2019; Resconi, Elisa/I-3874-2016; Koschinsky, Jan Paul/AAW-1848-2021; Salamida, Francesco/GOE-5140-2022; Williams, Andrew J/K-2931-2013; Sarkar, Subir/GPT-4902-2022; zhou, xian/JYQ-9844-2024; Watson, Darach/E-4521-2015; Uemura, Makoto/AEF-1123-2022; Miller, Andrew/HGU-6434-2022; Taboada, Alvaro/HCI-8602-2022; Sturani, Riccardo/B-3899-2014; Botti, Ana Martina/JPA-4260-2023; Stebbins, Albert/AAM-3474-2020; Somala, Surendra Nadh/Y-8896-2019; Wright, Darryl/GOV-5481-2022; Szczepanczyk, Marek/GVR-7951-2022; LIU, JIALIN/JXN-8034-2024; Sgrò, Carmelo/K-3395-2016; Carretti, Ettore/AAX-6792-2021; Bernardini, Maria Grazia/ABD-6115-2020; Williams, David A/A-1180-2007; Fenu, Francesco/AAZ-9759-2021; Frey, Sándor/G-4465-2013; Lopes, Paulo A A/B-3055-2013; Tamura, Yoichi/W-1382-2019; Spera, Mario/AAF-3870-2019; Viana, Aion/S-7336-2019; Mariangela, Settimo/AAR-9683-2020; Rosswog, Stephan/G-6211-2018; Wang, Ling/AGR-4917-2022; Chambers, Kenneth/HOH-0341-2023; Frohmaier, Christopher/AAV-3768-2021; Domingo, Albert/L-9071-2014; Sanchis-Gual, Nicolas/HKW-6083-2023; Vahlbruch, Henning/HSD-4655-2023; Puppo, Paola/J-4250-2012; Funk, Stefan/B-7629-2015; Pang, Peter Tsun Ho/JCD-5182-2023; De, Soumi/AAG-2409-2021; Mapelli, Michela/ABA-4708-2020; Arai, Koji/I-7506-2017; CABRAL, JUAN BAUTISTA/ITU-4804-2023; Huang, Feifei/AAX-2156-2020; Dos Anjos, Rita C/F-4431-2014; Allen, Bruce/K-2327-2012; Fornal, Bartosz/M-8633-2016; Krause, Elisabeth/AAU-2801-2021; Luis-Raya, Gilgamesh/AAD-2295-2021; Abreu, Pedro T./IWU-6876-2023; Vícha, Jakub/G-8440-2014; Chu, Ming-chung/M-2655-2018; Reva, Inna/AAS-6009-2020; Jamrozy, Marek/AAH-2495-2020; Schoorlemmer, Harm/AAA-5604-2020; moussa, Abdelilah/JJF-2956-2023; Allocca, Annalisa/ABC-7105-2022; zas, enrique/I-5556-2015; BERTON, MARCO/AAT-4491-2020; Homola, Piotr/W-4115-2018; Backes, Michael/N-5126-2016; Price, Larry/AAE-4089-2020; zhu, yujie/KBC-4009-2024; Fernandez, Gonzalo Rodriguez/C-1432-2014; Jerkstrand, Anders/AAJ-7018-2021; Vivekananthaswamy, gayathri/GLQ-5448-2022; Wang, James/JAD-0675-2023; Lares, Marcelo/ABD-7337-2020; Volnova, Alina/JRW-9578-2023; Oslowski, Stefan/AAI-7959-2021; Margiotta, Annarita/AHB-9734-2022; Sobreira, Flavia/F-4168-2015; Presti, Domenico Lo/G-2709-2013; Harms, Jan/O-7967-2019; Shellard, Ronald Cintra C/G-4825-2012; cohen-tanugi, Johann/ABB-1481-2021; Bulla, Mattia/AAZ-8125-2021; Ulrich, Ralf/Q-3882-2019; McEnery, Julie E/D-6612-2012; liang, liang/IAO-8518-2023; Travasso, Flavio/J-9595-2016; Jones, Roger I/C-7703-2011; Cella, Giancarlo/A-9946-2012; Li, Xuan/K-6034-2017; Todero Peixoto, Carlos José/CAF-6635-2022; Yushkov, Alexey/Q-2604-2019; Zheng, Zibin/HCH-2408-2022; ZHANG, YINGFANG/JQW-2816-2023; Ardid, Miguel/H-9544-2015; Bhalerao, Varun/AAC-1467-2022; Piattelli, Paolo/AAJ-2835-2020; Chincarini, Andrea/AAB-2028-2022; Kennea, Jamie/AAF-2090-2019; van Eldik, Christopher/C-3901-2013; Sodre, Laerte/P-6045-2016; Stasielak, Jaroslaw/AAN-4903-2021; Tingay, Steven J/B-5271-2013; Sergeev, Alexander M/F-3027-2017; Rando, Riccardo/O-1302-2019; ANDRADE, MARIA/JGM-7159-2023; Ashall, Chris/AAA-9307-2020; Giroletti, Marcello/ACH-5368-2022; Oleynik, Philipp Petrovich/C-1104-2014; Gherghel-Lascu, Alexandru/AAD-1999-2019; dattilo, vincenzino/N-9732-2015; Tlatov, Andrey/AAT-9749-2020; Middleton, Hannah/HLW-6398-2023; Coma, Pol Bordas/AAA-2332-2020; Wierzcholska, Alicja/AAV-2997-2021; Li, Guo/JNR-1700-2023; Giordano, Francesco/HTM-6217-2023; Shannon, Ryan/ABD-6796-2021; Alcaniz, Jailson/W-5792-2019; Conceição, Ruben/L-2971-2014; Im, Myungshin/B-3436-2013; Drury, Luke O'C/B-1916-2017; Howell, Andy/ABE-6446-2020; Kulikovskiy, Vladimir/AGG-7476-2022; Yan, Jun/IXD-7801-2023; Rott, Carsten/ABB-1304-2021; Cerruti, Matteo/AAA-6400-2020; Kim, Ji Hoon/A-8989-2009; Zhao, Chunnong/AAE-7836-2021; Fusco, Piergiorgio/HTN-2757-2023; Barone, Fabrizio/HMD-7711-2023; Zhang, Hui/HHN-8494-2022; Brooks, Aidan/U-5988-2017; Banerji, Manda/AAC-5063-2022; Buitink, Stijn/F-2113-2016; Reimann, René/AAS-8239-2020; Parmiggiani, Nicolò/IZQ-0340-2023; Hall, Edward D/F-8930-2013; Martínez-Mora, Juan A./P-3552-2015; Ohsawa, Ryou/AAR-1510-2020; Casanova, Sabrina/AAG-5332-2021; Leonardi, Matteo/AAT-5237-2020; Lee, Shih-Chang/AAV-7016-2021; Nugent, Peter Edward/AGG-8472-2022; Nicholl, Matt/GLS-0681-2022; Vardaro, Marco/AAE-9292-2022; Steinke, Michael/AAP-9755-2020; Fontaine, Gerard/D-6420-2014; Anastasi, Gioacchino Alex/HNS-3015-2023; Greus, Francisco Salesa/P-2820-2017; Reva, Inna/HQZ-8835-2023; Wechsler, Risa H/JOZ-3146-2023; Anton, Gisela/C-4840-2013; bai, wenjia/HPE-4360-2023; Liu, Yinong/G-6637-2011; Belhorma, Bouchra/GSO-3440-2022; MALLAMACI, MANUELA/AAA-5598-2020; Giordano, Valentina/O-1571-2019; Tokmakov, Kirill/HPE-8677-2023; de Cesare, Giampiero/I-2801-2014; xin, liang/JFS-5770-2023; McClelland, David Ernest/E-6765-2010; Beatty, James/D-9310-2011; Hook, Isobel M/S-8590-2017; Gaztanaga, Enrique/AAR-2706-2021; Cui, Wei/Y-3279-2019; Schulze, Steve/JWP-7713-2024; Wilms, Joern/C-8116-2013; Cordero-Carrión, Isabel/L-6124-2015; Miramonti, Lino/AAF-7880-2019; zhang, shijie/AAA-3351-2019; Barr, Bryan/G-3348-2019; Andrade, Maria/HKN-0074-2023; Garcia, Javier/JWP-0036-2024; Husa, Sascha/AAB-6992-2019; Badescu, Alina/B-6087-2012; Bassiri, Riccardo/JPK-2189-2023; Nellen, Lukas/AAH-2388-2020; Sevilla, Ignacio/AAB-8148-2019; Cavaglià, Marco/AAW-6540-2021; Ridden-Harper, Ryan/AAN-6859-2020; Clay, Roger/AFW-4973-2022; Monzani, Maria Elena/JBS-2456-2023; Rocchi, Alessio/O-9499-2015; Raab, Frederick J/E-2222-2011; Berge, David/P-2179-2017; Lisi, Matteo/O-6824-2017; Thöne, Christina/JMP-3159-2023; Macas, Ronaldas/ABH-7327-2020; Chiummo, Antonino/HQZ-6128-2023; Munar-Adrover, Pere/G-1618-2019; Strotjohann, Nora Linn/GPX-7122-2022; Padovani, Marco/HNI-4115-2023; Cirone, Alessio/IXN-4251-2023; maldera, simone/HPH-9789-2023; Beroiz, Martin/JXL-1787-2024; patat, frederic/K-8052-2012; Wang, Gang/HNO-8717-2023; Raja, Wasim/AAV-7966-2021; Botticella, Maria Teresa/AAJ-9694-2020; Assis, Pedro/D-9062-2013; Gaensler, Bryan M/F-8655-2010; Gregoire, Timothee/AAT-7572-2021; Ulanov, Mikhail/B-3467-2015; Sanguineti, Matteo/ABI-2984-2020; Gutiérrez, Claudia P./AFT-3571-2022; Fauth, A. C./AAY-3433-2020; Birney, Imogen/S-7320-2019; Garcia, Beatriz/IUQ-8303-2023; Green, James Andrew/KCK-0213-2024; Salina, Gaetano/AAF-2021-2019; de Dios Zornoza, Juan/L-1604-2014; Reitze, David/IXD-3777-2023; Miao, Haixing/O-1300-2013; Moldon, Javier/GPP-0784-2022; Seitenzahl, Ivo R/B-7725-2019; Brown, Duncan/U-2343-2019; wen, Wen/KBB-1727-2024; Jóhannesson, Guðlaugur/ABC-7216-2020; Tagliaferri, Gianpiero/ABD-7556-2021; Bachetti, Matteo/AAC-6882-2022; Savchenko, V G/C-6191-2016; McRae, Terry/J-5986-2015; Emrich, David/B-7002-2013; giommi, paolo/L-1006-2018; Sugizaki, Mutsumi/C-5523-2017; Kupfer, Thomas/J-4401-2017; vecchio, alberto/F-8310-2015; Lynch, Christene/O-2062-2018; Marquina, Antonio/F-8755-2012; Amati, Lorenzo/N-5586-2015; Hild, Stefan/A-3864-2010; Stuver, Amber/L-9985-2018; Steeghs, Danny/C-5468-2009; Hancock, Paul/G-8756-2014; Goncalves, Thiago S/N-9447-2017; Lopes de Oliveira, Raimundo/G-6181-2012; Borodai, Nataliia/X-7640-2018; Komin, Nukri/J-6781-2015; Bland, Phil/M-9392-2018; Pech, Miroslav/G-5760-2014; Gomez Berisso, Mariano/I-2931-2017; Tacca, Matteo/J-1599-2015; DI MAURO, MATTIA/G-4155-2018; BUSCEMI, Mario/R-5071-2016; Iyer, Balasubramanian R/E-2894-2012; cotti, umberto/E-3800-2018; Mandat, Dusan/G-5580-2014; Ebr, Jan/H-8319-2012; Di Venere, Leonardo/C-7619-2017; Font Roda, Jose Antonio/K-5198-2014; Querel, Richard/D-3770-2015; Martinez Rodriguez, Manel/C-2539-2017; Goodman, Jordan/J-4188-2018; Shulevski, Aleksandar/E-5591-2015; Levan, Andrew/F-6179-2014; Losurdo, Giovanni/K-1241-2014; Cooper, Sam/T-9420-2017; Orlando, Elena/R-5594-2016; Elias-Rosa, Nancy/D-3759-2014; Schovanek, Petr/G-7117-2014; Agudo, Ivan/G-1701-2015; McMahon, Richard/G-4260-2012; Albuquerque, Ivone/H-4645-2012; Steinlechner, Sebastian/D-5781-2013; De Mitri, Ivan/C-1728-2017; Chow, Jong/A-3183-2008; Escobar Ibanez, Carlos/B-3761-2017; Pimenta, Mario/M-1741-2013; Koskinen, David/G-3236-2014; Frey, Raymond/E-2830-2016; Sokolowski, Marcin/B-5584-2013; Capone, Antonio/F-1098-2010; /N-9068-2015; Palatka, Miroslav/G-5796-2014; Tornasi, Zeno/E-2881-2015; Corral-Santana, Jesus M/A-6956-2016; Kotak, Rubina/F-3325-2011; Fujii, Yuri/N-2781-2015; Ward, Robert/I-8032-2014; Jakobsson, Pall/L-9950-2015; Guarino, Fausto/I-3166-2012; Petrera, Sergio/A-8895-2016; Ahlers, Markus/V-8757-2017; Howell, Eric/H-5072-2014; STRATTA, Maria Giuliana/L-3045-2016; Sorazu, Borja/H-6966-2018; Moulin, Emmanuel/B-5959-2017; Gorbovskoy, Evgeny/O-8845-2015; de souza, Vitor/D-1381-2012; Strain, Kenneth/D-5236-2011; Lima, Marcos/E-8378-2010; Perrodin, Delphine/L-1916-2016; Hrabovsky, Miroslav/G-6714-2014; tiwari, shubhanshu/R-8546-2016; Rowlinson, Antonia/M-7054-2018; Wilczynski, Henryk/N-7330-2018; Kowalski, Marek/G-5546-2012; lubrano, pasquale/F-7269-2012; Andringa, Sofia/J-4092-2013; Sasaki, Manami/P-3045-2016; Chinellato, Carola Dobrigkeit/F-2540-2011; Sathyaprakash, Bangalore/M-1235-2014; Fynbo, Johan/L-8496-2014; Cesarini, Elisabetta/C-4507-2017; Martinez-Castro, Jesus/G-8495-2019; Katarzynski, Krzysztof/G-4528-2014; Piro, Luigi/E-4954-2013; Kasen, Daniel/I-3443-2015; Horesh, Assaf/O-9873-2016; Willke, Benno/U-8992-2017; Passaquieti, Roberto/U-3083-2017; Distefano, Carla/G-5213-2016; Moller, Anais/C-5661-2018; Saftoiu, Alexandra/C-4476-2011; Chen, Hong-Yuan/E-4476-2019; Gendre, Bruce/O-2923-2013; Motohara, Kentaro/G-4905-2014; Schoenell, William/F-9732-2014; Canepa, Maurizio/E-3658-2012; PRADIER, Thierry/P-6052-2017; Aguilar Sanchez, Juan Antonio/H-4467-2015; Mazziotta, Mario Nicola/O-8867-2015; Garcia-Bellido, Juan/C-2920-2017; An, Tao/ADH-3041-2022; Ogando, Ricardo/A-1747-2010; Jerkstrand, Anders/K-9648-2015; Tsvetkova, Anastasia/B-3858-2015</t>
  </si>
  <si>
    <t xml:space="preserve">Giglietto, Nicola/0000-0002-9021-2888; Steinlechner, Jessica/0000-0002-6697-9026; Mastrogiovanni, Simone/0000-0003-1606-4183; Jelínek, Martin/0000-0003-3922-7416; Moura Santos, Edivaldo/0000-0002-2818-8813; Chabab, Mohamed/0000-0002-2772-4290; Bersanetti, Diego/0000-0002-7377-415X; Lysenko, Alexandra/0000-0002-3942-8341; Maruyama, Reina H/0000-0003-2794-512X; Keane, Evan/0000-0002-4553-655X; Bleve, Carla/0000-0001-6841-3280; Campana, Sergio/0000-0001-6278-1576; Wadiasingh, Zorawar/0000-0002-9249-0515; Gergely, László Árpád/0000-0003-3146-6201; Loparco, Francesco/0000-0002-1173-5673; Horváth, Pavel/0000-0002-6710-5339; Farr, Ben/0000-0002-2916-9200; Goetz, Evan/0000-0003-2666-721X; Sadler, Elaine M/0000-0002-1136-2555; Hallmann, Steffen/0000-0001-9847-7189; Gemme, Gianluca/0000-0002-1127-7406; Felis, Ivan/0000-0003-0038-5126; Lazzaro, Claudia/0000-0001-5993-3372; Buades, Antoni Ramos/0000-0002-6874-7421; Navas, Sergio/0000-0003-1688-5758; SEGLAR-ARROYO, MONICA/0000-0001-8654-409X; Poggiani, Rosa/0000-0002-9968-2464; Weller, Jochen/0000-0002-8282-2010; Arsene, Nicusor/0000-0002-0043-1914; Minaev, Pavel/0000-0002-7437-2064; Burkhonov, Otabek A/0000-0003-1169-6763; Castellina, Antonella/0000-0002-0045-2467; Arsene, Nicusor/0000-0002-0043-1914; Schüssler, Fabian/0000-0003-1500-6571; Oozeer, Nadeem/0000-0002-0155-6321; Vercellone, Stefano/0000-0003-1163-1396; Carnero, Aurelio/0000-0003-3044-5150; Farr, Will/0000-0003-1540-8562; Paxman, Jonathan/0000-0002-5671-9992; Ciolfi, Riccardo/0000-0003-3140-8933; Satalecka, Konstancja/0000-0002-7669-266X; Venter, Christo/0000-0002-2666-4812; Pękala, Jan/0000-0002-1062-5595; Fassi, Farida/0000-0002-6423-7213; Costa, César/0000-0003-4853-758X; Castro-Tirado, Alberto J./0000-0003-2999-3563; Piccinni, Ornella Juliana/0000-0001-5478-3950; Ricciarini, Sergio Bruno/0000-0001-6176-3368; Pelayo, Rodrigo/0000-0001-6973-1731; Bondu, Francois/0000-0001-6487-5197; Tápai, Márton/0000-0002-5354-5683; Soffitta, Paolo/0000-0002-7781-4104; Martin, Iain/0000-0001-7300-9151; Conti, Livia/0000-0003-2731-2656; Kauer, Matt/0000-0003-1830-9076; García González, José Andrés/0000-0002-4188-5584; Martins dos Santos, Eva Maria/0000-0002-0474-8863; Shannon, Ryan/0000-0002-7285-6348; Vercellone, Stefano/0000-0003-1163-1396; Natalucci, Lorenzo/0000-0002-6601-9543; Nosek, Dalibor/0000-0001-6219-200X; Bertolini, Alessandro/0000-0002-0456-2452; Whiting, Matthew T/0000-0003-1160-2077; Kéfélian, Fabien/0000-0001-9870-6850; Magee, Mark/0000-0002-0629-8931; Garufi, Fabio/0000-0003-1391-6168; travnicek, petr/0000-0002-1655-9584; Rumyantsev, Vasilij/0000-0003-1894-7019; Bonino, Raffaella/0000-0002-4264-1215; Pavalas, Gabriela Emilia/0000-0002-7586-6488; Moreno-Barbosa, Eduardo/0000-0002-1114-2640; La Mura, Giovanni/0000-0001-8553-499X; Schroeder, Frank G./0000-0001-8495-7210; Vicere', Andrea/0000-0003-0624-6231; Volnova, Alina/0000-0003-3554-1037; DRAGO, Marco/0000-0002-3738-2431; Grado, Aniello/0000-0002-0501-8256; Díaz, Antonio F./0000-0002-2615-6586; Balbinot, Eduardo/0000-0002-1322-3153; Bawaj, Mateusz/0000-0003-3611-3042; Green, Anna C/0000-0002-6287-8746; Sassolas, Benoit/0000-0002-3077-8951; DeYoung, Tyce/0000-0003-4873-3783; de León Acuña, Cederik León/0000-0002-8528-9573; Gonzalez Castro, Jose M/0000-0001-5522-259X; Dálya, Gergely/0000-0003-3258-5763; Moderski, Rafal/0000-0002-8663-3882; Caraveo, Patrizia/0000-0003-2478-8018; Spurio, Maurizio/0000-0002-8698-3655; Salemi, Francesco/0000-0002-9511-3846; Domi, Alba/0000-0002-9610-7296; Barbato, Felicia Carla Tiziana/0000-0003-0751-6731; Nicastro, Luciano/0000-0001-8534-6788; Slagmolen, Bram/0000-0002-2471-3828; Chiummo, Antonino/0000-0003-2165-2967; Zaborov, Dmitry/0000-0002-9335-1410; Bernardini, Elisa/0000-0003-3108-1141; Rossi, Andrea/0000-0002-8860-6538; Metzger, Brian David/0000-0002-4670-7509; del Pulgar Mancebo, Carlos Jesús Pérez/0000-0001-5819-8310; Ridnaia, Anna/0000-0001-9477-5437; Zaharijas, Gabrijela/0000-0001-8484-7791; Nunez, Luis A/0000-0003-4575-5899; Gargano, Fabio/0000-0002-5055-6395; Trott, Cathryn/0000-0001-6324-1766; Jurysek, Jakub/0000-0002-3130-4168; Sarkar, Subir/0000-0002-3542-858X; Dent, Thomas/0000-0003-1354-7809; Abramo, Luis Raul Weber/0000-0001-8295-7022; Mangano, Valentina/0000-0001-7902-8505; Nelemans, Gijs/0000-0002-0752-2974; Villar, Antonio Bueno/0000-0002-7439-4247; Pascucci, Daniela/0000-0003-1907-0175; White, Richard/0000-0002-3356-0763; Broderick, Jess/0000-0002-2239-6099; Korobko, Mikhail/0000-0002-3839-3909; Tjus, Julia/0000-0002-1748-7367; Shao, Lijing/0000-0002-1334-8853; Cerretani, Giovanni/0000-0002-2441-2144; Gress, Oleg/0000-0002-5070-0836; Horns, Dieter/0000-0003-1945-0119; Groot, Paul/0000-0002-4488-726X; Wette, Karl/0000-0002-4394-7179; Parmiggiani, Nicolò/0000-0002-4535-5329; Vyatchanin, Sergey P/0000-0002-6823-911X; Allekotte, Ingomar/0000-0002-9624-3044; Pike, Sean/0000-0002-8403-0041; Samajdar, Anuradha/0000-0002-0857-6018; Muralimohan, Pavana/0000-0002-0000-1543; D'Aì, Antonino/0000-0002-5042-1036; Bhalerao, Varun/0000-0002-6112-7609; Troja, Eleonora/0000-0002-1869-7817; Pike, Sean/0000-0002-8403-0041; VARDARO, MARCO/0000-0001-8604-3797; Celli, Silvia/0000-0002-7592-0851; Eberl, Thomas/0000-0002-5301-9106; -Fernandez, F.Javier García/0000-0002-0414-1332; Muralimohan, Pavana/0000-0002-0000-1543; Bonino, Raffaella/0000-0002-4264-1215; Müller, Ana Laura/0000-0002-8473-695X; Cerda-Duran, Pablo/0000-0003-4293-340X; Sorrentino, Fiodor/0000-0002-9605-9829; Stevenson, Simon/0000-0002-6100-537X; Bogaert, Gilles/0000-0003-2507-3866; Eberl, Thomas/0000-0002-5301-9106; Salafia, Om Sharan/0000-0003-4924-7322; Williams, Michael Joshua/0000-0003-2198-2974; Coelho, Paula/0000-0003-1846-4826; Boschi, Valerio/0000-0001-8665-2293; Sanchez Lucas, Patricia/0000-0002-4814-0788; Gromadzki, Grzegorz/0000-0002-1630-2113; TIWARI, VINOD K/0000-0001-9244-8889; Aiello, Lorenzo/0000-0003-2771-8816; Álvarez, Miguel Dovale/0000-0002-6300-5226; Leonardi, Matteo/0000-0002-7641-0060; Moskvitin, Alexander Sergeevich/0000-0003-3244-6616; Ayala Solares, Hugo Alberto/0000-0002-2084-5049; Meyer, Manuel/0000-0002-0738-7581; Placco, Vinicius/0000-0003-4479-1265; Estevez, Dimitri/0000-0002-3021-5964; Hotan, Aidan/0000-0001-7464-8801; Maguire, Kate/0000-0002-9770-3508; Pirronello, Valerio/0000-0001-5549-3672; Principe, Giacomo/0000-0003-0406-7387; Tomé, Bernardo A/0000-0002-7564-8392; Alvarez-Muniz, Jaime/0000-0002-2367-0803; Ain, Anirban/0000-0003-4534-4619; Naticchioni, Luca/0000-0003-2918-0730; Lorenzini, Matteo/0000-0002-2765-7905; Buckley, David/0000-0002-7004-9956; Gasparrini, Dario/0000-0002-5064-9495; Martínez-Huerta, Humberto/0000-0001-7714-0704; Sanchez, Eusebio/0000-0002-9646-8198; Sun, Ling/0000-0001-7959-892X; Smith, Nathan John/0009-0000-1982-8420; liebling, steven/0000-0002-5008-6119; Izzo, Luca/0000-0001-9695-8472; Bianchi, Marco Emilio/0000-0002-5329-6445; CHASSANDE-MOTTIN, Eric/0000-0003-3768-9908; Migliozzi, Pasquale/0000-0001-5497-3594; Keitel, David/0000-0002-2824-626X; Cuoco, Elena/0000-0002-6528-3449; Cazon, Lorenzo/0000-0001-6748-8395; de la Fuente Acosta, Eduardo/0000-0001-9643-4134; Vivolo, Daniele/0000-0002-4773-2116; Akras, Stavros/0000-0003-1351-7204; Torres-Forné, Alejandro/0000-0001-8709-5118; Dasso, Sergio/0000-0002-7680-4721; Shoemaker, David/0000-0002-4147-2560; Pinto, Innocenzo M/0000-0002-2679-4457; Zhu, Xingjiang/0000-0001-7049-6468; Wang, Weiyang/0000-0001-9036-8543; Danilishin, Stefan/0000-0001-7758-7493; Adya, Vaishali/0000-0003-4955-6280; James, Clancy W/0000-0002-6437-6176; Kalaczyński, Piotr/0000-0001-9278-5906; Giordano, Francesco/0000-0002-8651-2394; Bilenko, Igor/0000-0003-3726-6016; Bonifazi, Carla Brenda/0000-0002-3087-3609; Vos, Joris/0000-0001-6172-1272; Macleod, Duncan/0000-0002-1395-8694; Yang, Sheng/0000-0002-2898-6532; Trovato, Agata/0000-0002-9714-1904; Reimer, Anita/0000-0001-8604-7077; Zuniga, Juan/0000-0002-1041-6451; Varela, Enrique/0000-0003-0715-7513; Casadio, Carolina/0000-0003-1117-2863; Caballero-Garcia, Maria D./0000-0001-7920-4564; Isar, Paula Gina/0000-0002-1241-584X; Wolf, Christian/0000-0002-4569-016X; Perrina, Chiara/0000-0003-1649-8109; Palmese, Antonella/0000-0002-6011-0530; O'Shaughnessy, Richard/0000-0001-5832-8517; Rea, Immacolata Carmen/0000-0002-3954-7754; Macas, Ronaldas/0000-0002-6096-8297; Szadkowski, Zbigniew/0000-0002-2690-9912; Ramirez, Karla Elizabeth/0000-0003-2194-7669; Khangulyan, Dmitry/0000-0002-7576-7869; Kusakin, Anatolij/0000-0002-7756-546X; Yatsu, Yoichi/0000-0003-1890-3913; Glaser, Christian/0000-0001-5998-2553; Sansom, Eleanor/0000-0003-2702-673X; Michal, Stanislav/0000-0001-6563-1573; Kerszberg, Daniel/0000-0002-5289-1509; Díaz Vélez, Juan Carlos/0000-0002-0087-0693; de Varona, Omar/0000-0001-8851-2008; Consolati, Giovanni/0000-0003-3614-245X; Kasprzack, Marie F/0000-0003-4618-5939; Shingles, Luke J/0000-0002-5738-1612; Peters, Wendy/0000-0003-0746-0870; Boer, Michel/0000-0001-9157-4349; Della Valle, Massimo/0000-0003-3142-5020; Parente, Gonzalo/0000-0003-2847-0461; Wiebusch, Christopher H.V./0000-0002-6418-3008; Vlasenko, Daniil/0000-0003-3138-9648; Korobkin, Oleg/0000-0003-4156-5342; Christov, Asen/0000-0001-8121-5860; Biagi, Simone/0000-0001-8598-0017; Jimenez-Teja, Yolanda/0000-0002-6090-2853; Marcowith, Alexandre/0000-0002-3971-0910; Castellón, José Luis Nilo/0000-0002-2370-7784; Khazanov, Efim/0000-0001-5641-8025; Ren, Zhixiang/0000-0002-4104-3790; Covino, Stefano/0000-0001-9078-5507; greco, giuseppe/0000-0002-2353-6604; Ricci, Fulvio/0000-0001-5475-4447; Sigg, Daniel/0000-0003-4606-6526; Ciani, Giacomo/0000-0003-4258-9338; Branzas, Horea Florin/0000-0002-0914-5172; Raino, Silvia/0000-0002-9181-0345; Bellido, Jose/0000-0002-0833-9194; Lachaud, Christophe/0000-0003-2762-1619; Bretz, Thomas/0000-0002-3800-5531; Díaz Vélez, Juan Carlos/0000-0002-0087-0693; Mukund, Nikhil/0000-0002-8666-9156; Mow-Lowry, Conor M/0000-0002-0351-4555; Riccobene, Giorgio/0000-0002-0600-2774; Crocce, Martin/0000-0002-9745-6228; Quirós, Cecilio García/0000-0002-8059-2477; de Dios Álvarez Romero, Juan/0000-0001-6421-935X; Parente, Gonzalo/0000-0003-2847-0461; DI PACE, SIBILLA/0000-0001-6759-5676; Morselli, Aldo/0000-0002-7704-9553; Organokov, Mukharbek/0000-0002-3093-3456; Yang, Le/0000-0002-8868-5977; Chincarini, Andrea/0000-0003-4094-9942; Bissaldi, Elisabetta/0000-0001-9935-8106; Roberts, Oliver/0000-0002-7150-9061; Johnston, Simon/0000-0002-7122-4963; Sanchis-Gual, Nicolas/0000-0001-5375-7494; de Mello Neto, Joao/0000-0002-3234-6634; Ferrante, Isidoro/0000-0002-0083-7228; Sauter, Olivier/0000-0002-0099-6675; Bastieri, Denis/0000-0002-6954-8862; Smith, Rowan/0000-0002-0820-1814; De Bonis, Giulia/0000-0001-7079-5724; Larenas, Héctor Andrés Cuevas/0000-0002-1397-4045; Hu, Yi-Ming/0000-0002-7869-0174; Abreu, Pedro T./0000-0002-9973-7314; Dundović, Andrej/0000-0001-9009-8379; Selsing, Jonatan/0000-0001-9058-3892; Garufi, Fabio/0000-0003-1391-6168; Zadrożny, Adam/0000-0001-8999-3595; SIQUEIROS HERNANDEZ, MIRIAM/0000-0001-5694-8923; Zuccarello, Francesca/0000-0003-1853-2550; Pittori, Carlotta/0000-0001-6661-9779; Wayth, Randall/0000-0002-6995-4131; Niemiec, Jacek/0000-0001-6036-8569; Berry, Christopher/0000-0003-3870-7215; Castro, Jesus Alberto Martinez/0000-0002-4926-2939; Maxted, Nigel/0000-0003-2762-8378; Evans, Philip/0000-0002-8465-3353; Qi, Hong/0000-0001-6339-1537; Sandrock, Alexander/0000-0002-6779-1172; Dimitriadis, Georgios/0000-0001-9494-179X; De Pietri, Roberto/0000-0003-1556-8304; prodi, giovanni andrea/0000-0001-5256-915X; King, Paul J/0000-0001-7591-0437; Farinon, Stefania/0000-0002-6487-2137; Pratten, Geraint/0000-0003-4984-0775; Favata, Marc/0000-0001-8270-9512; Navarrini, Alessandro/0000-0002-6191-6958; Giordano, Valentina/0000-0001-8865-5930; Moskalenko, Igor V/0000-0001-6141-458X; Valiño, Ines/0000-0001-7823-0154; Howie, Robert Michael/0000-0002-5864-105X; Stubbs, Christopher W/0000-0003-0347-1724; Acernese, Fausto/0000-0003-3103-3473; Kouprianov, Vladimir/0000-0003-3642-5484; Vocca, Helios/0000-0002-1200-3917; Sánchez Losa, Agustín/0000-0001-9596-7078; Cattaneo, Paolo Walter/0000-0001-6877-6882; Zhang, Teng/0000-0001-5278-4220; Rapagnani, Piero/0000-0002-1865-6126; Galbany, Lluís/0000-0002-1296-6887; Blagorodnova, Nadejda/0000-0003-0901-1606; Gonzalez, Josefa Becerra/0000-0002-6729-9022; Hernández-Rey, Juan José/0000-0002-1527-7200; Reimer, Olaf/0000-0001-6953-1385; Svinkin, Dmitry/0000-0002-2208-2196; Hu, Youdong/0000-0002-7400-4608; Pitkin, Matthew/0000-0003-4548-526X; Christensen, Nelson/0000-0002-6870-4202; Chincarini, Andrea/0000-0003-4094-9942; Torres, Diego F./0000-0002-1522-9065; Williams, Daniel/0000-0003-3772-198X; Torralba Elipe, Guillermo/0000-0001-8738-194X; Stasielak, Jaroslaw/0000-0002-9284-7000; Capasso, Massimo/0000-0002-8136-9461; Castander, Francisco Javier/0000-0001-7316-4573; Resconi, Elisa/0000-0003-0705-2770; Koschinsky, Jan Paul/0000-0001-6325-7688; Salamida, Francesco/0000-0002-9306-8447; Williams, Andrew J/0000-0001-9080-0105; Watson, Darach/0000-0002-4465-8264; Miller, Andrew/0000-0002-4890-7627; Botti, Ana Martina/0000-0001-6396-2467; Stebbins, Albert/0000-0002-3807-7252; Somala, Surendra Nadh/0000-0003-2663-3351; Carretti, Ettore/0000-0002-3973-8403; Bernardini, Maria Grazia/0000-0001-6106-3046; Frey, Sándor/0000-0003-3079-1889; Lopes, Paulo A A/0000-0003-2540-7424; Tamura, Yoichi/0000-0003-4807-8117; Spera, Mario/0000-0003-0930-6930; Viana, Aion/0000-0001-9253-1850; Mariangela, Settimo/0000-0003-0650-5512; Wang, Ling/0000-0003-0272-2974; Chambers, Kenneth/0000-0001-6965-7789; Frohmaier, Christopher/0000-0001-9553-4723; Domingo, Albert/0000-0001-9764-6411; Sanchis-Gual, Nicolas/0000-0001-5375-7494; Vahlbruch, Henning/0000-0003-2357-2338; Funk, Stefan/0000-0002-2012-0080; Pang, Peter Tsun Ho/0000-0001-7041-3239; De, Soumi/0000-0002-3316-5149; Mapelli, Michela/0000-0001-8799-2548; Arai, Koji/0000-0001-8916-8915; CABRAL, JUAN BAUTISTA/0000-0002-7351-0680; Huang, Feifei/0000-0002-6014-5928; Dos Anjos, Rita C/0000-0002-6463-2272; Fornal, Bartosz/0000-0003-3271-2080; Krause, Elisabeth/0000-0001-8356-2014; Vícha, Jakub/0000-0002-7945-3605; Jamrozy, Marek/0000-0002-0870-7778; Schoorlemmer, Harm/0000-0002-8999-9249; BERTON, MARCO/0000-0002-1058-9109; Homola, Piotr/0000-0002-1956-9948; Backes, Michael/0000-0002-9326-6400; Vivekananthaswamy, gayathri/0000-0002-7167-9888; Oslowski, Stefan/0000-0003-0289-0732; Presti, Domenico Lo/0000-0002-4540-2885; Harms, Jan/0000-0002-7332-9806; Shellard, Ronald Cintra C/0000-0002-2983-1815; cohen-tanugi, Johann/0000-0001-9022-4232; Ulrich, Ralf/0000-0002-2535-402X; Travasso, Flavio/0000-0002-4653-6156; Cella, Giancarlo/0000-0002-0752-0338; Todero Peixoto, Carlos José/0000-0003-3669-8212; Yushkov, Alexey/0000-0001-5107-9116; Zheng, Zibin/0000-0002-7878-4330; Ardid, Miguel/0000-0002-3199-594X; Bhalerao, Varun/0000-0002-6112-7609; Piattelli, Paolo/0000-0003-4748-6485; Kennea, Jamie/0000-0002-6745-4790; van Eldik, Christopher/0000-0001-9669-645X; Stasielak, Jaroslaw/0000-0002-9284-7000; Tingay, Steven J/0000-0002-8195-7562; Rando, Riccardo/0000-0001-6992-818X; Ashall, Chris/0000-0002-5221-7557; Giroletti, Marcello/0000-0002-8657-8852; Oleynik, Philipp Petrovich/0000-0003-0794-7742; Gherghel-Lascu, Alexandru/0000-0002-8757-2081; Coma, Pol Bordas/0000-0002-0266-8536; Wierzcholska, Alicja/0000-0003-4472-7204; Giordano, Francesco/0000-0002-8651-2394; Shannon, Ryan/0000-0002-7285-6348; Conceição, Ruben/0000-0003-4945-5340; Rott, Carsten/0000-0002-6958-6033; Cerruti, Matteo/0000-0001-7891-699X; Kim, Ji Hoon/0000-0002-1418-3309; Zhao, Chunnong/0000-0001-5825-2401; Barone, Fabrizio/0000-0002-8069-8490; Banerji, Manda/0000-0002-0639-5141; Buitink, Stijn/0000-0002-6177-497X; Reimann, René/0000-0002-1983-8271; Parmiggiani, Nicolò/0000-0002-4535-5329; Martínez-Mora, Juan A./0000-0001-7956-2847; Ohsawa, Ryou/0000-0001-5797-6010; Casanova, Sabrina/0000-0002-6144-9122; Leonardi, Matteo/0000-0002-7641-0060; Lee, Shih-Chang/0000-0002-3353-2658; Nicholl, Matt/0000-0002-2555-3192; Steinke, Michael/0000-0002-0780-1543; Fontaine, Gerard/0000-0002-6443-5025; Anastasi, Gioacchino Alex/0000-0003-0824-5283; Greus, Francisco Salesa/0000-0002-8610-8703; Wechsler, Risa H/0000-0003-2229-011X; Anton, Gisela/0000-0003-2039-4724; MALLAMACI, MANUELA/0000-0003-4068-0496; Giordano, Valentina/0000-0001-8865-5930; McClelland, David Ernest/0000-0001-6210-5842; Beatty, James/0000-0003-0481-4952; Hook, Isobel M/0000-0002-2960-978X; Gaztanaga, Enrique/0000-0001-9632-0815; Cui, Wei/0000-0002-6324-5772; Schulze, Steve/0000-0001-6797-1889; Wilms, Joern/0000-0003-2065-5410; Miramonti, Lino/0000-0002-2808-5363; zhang, shijie/0000-0002-1840-6258; Barr, Bryan/0000-0002-5232-2736; Husa, Sascha/0000-0002-0445-1971; Badescu, Alina/0000-0001-6510-4124; Bassiri, Riccardo/0000-0001-8171-6833; Nellen, Lukas/0000-0003-1059-8731; Sevilla, Ignacio/0000-0002-1831-1953; Cavaglià, Marco/0000-0003-1313-9696; Ridden-Harper, Ryan/0000-0003-1724-2885; Rocchi, Alessio/0000-0002-1382-9016; Raab, Frederick J/0009-0005-5872-9819; Lisi, Matteo/0000-0003-3554-385X; Thöne, Christina/0000-0002-7978-7648; Macas, Ronaldas/0000-0002-6096-8297; Chiummo, Antonino/0000-0003-2165-2967; Munar-Adrover, Pere/0000-0002-1942-7376; Cirone, Alessio/0000-0003-4299-8609; maldera, simone/0000-0002-0698-4421; Wang, Gang/0000-0002-9668-8772; Botticella, Maria Teresa/0000-0002-3938-692X; Assis, Pedro/0000-0001-7765-3606; Gregoire, Timothee/0000-0001-8711-1456; Gutiérrez, Claudia P./0000-0003-2375-2064; Fauth, A. C./0000-0001-7239-0288; Birney, Imogen/0000-0002-4766-0757; Garcia, Beatriz/0000-0003-0919-2734; Green, James Andrew/0000-0002-2670-188X; Salina, Gaetano/0000-0003-1767-0724; de Dios Zornoza, Juan/0000-0002-1834-0690; Reitze, David/0000-0002-5756-1111; Moldon, Javier/0000-0002-8079-7608; Seitenzahl, Ivo R/0000-0002-5044-2988; Brown, Duncan/0000-0002-9180-5765; Jóhannesson, Guðlaugur/0000-0003-1458-7036; Tagliaferri, Gianpiero/0000-0003-0121-0723; Bachetti, Matteo/0000-0002-4576-9337; Muir, Jessica/0000-0002-7579-770X; McRae, Terry/0000-0002-6540-6824; Emrich, David/0000-0002-4058-1837; Key, Joey Shapiro/0000-0003-0123-7600; Huege, Tim/0000-0002-2783-4772; giommi, paolo/0000-0002-2265-5003; Zacharias, Michael/0000-0001-5801-3945; Donnarumma, Immacolata/0000-0002-4700-4549; Verzi, Valerio/0000-0003-2291-9387; Poppi, Sergio/0000-0002-4698-2607; Clark, Peter/0000-0002-6576-7400; Bitossi, Massimiliano/0000-0002-9862-4668; Karki, Sudarshan/0000-0001-9982-3661; Plazas Malagon, Andres Alejandro/0000-0002-2598-0514; Dyks, Jaroslaw/0000-0002-8383-2472; Kim, Hwihyun/0000-0003-4770-688X; Di Fiore, Luciano/0000-0001-6296-1526; Sugizaki, Mutsumi/0000-0002-1190-0720; Moore, Christopher/0000-0002-2527-0213; Rappoldi, Andrea/0000-0001-9702-7645; Quirrenbach, Andreas/0000-0002-3302-1962; Kupfer, Thomas/0000-0002-6540-1484; Morlino, Giovanni/0000-0002-5014-4817; Testa, Vincenzo/0000-0003-1033-1340; Maiorano, Elisabetta/0000-0003-2593-4355; vecchio, alberto/0000-0002-6254-1617; Patricelli, Barbara/0000-0001-6709-0969; Goncharov, Boris/0000-0003-3189-5807; Israel, GianLuca/0000-0001-5480-6438; Covault, Corbin/0000-0001-5405-5371; Khandrika, Harish/0000-0002-9011-0216; Chandra, Poonam/0000-0002-0844-6563; Lynch, Christene/0000-0002-0494-192X; Zhang, Qizhou/0000-0003-2384-6589; Covas, Pep/0000-0002-1845-9309; Hernandez, Stephania/0000-0001-5103-2713; Marquina, Antonio/0000-0001-8767-4208; Veh, Johannes/0000-0003-4736-2167; Corongiu, Alessandro/0000-0002-5924-3141; Caballero Mora, Karen Salome/0000-0002-4042-3855; Amati, Lorenzo/0000-0001-5355-7388; Ohme, Frank/0000-0003-0493-5607; Ngeow, Chow-Choong/0000-0001-8771-7554; Hild, Stefan/0000-0001-9221-6009; Ortu, Pierluigi/0000-0002-2644-2988; Cwiek, Arkadiusz/0000-0002-7922-591X; MEREGHETTI, SANDRO/0000-0003-3259-7801; Butler, Robert/0000-0003-2789-3817; Pian, Elena/0000-0001-8646-4858; Stuver, Amber/0000-0003-0324-5735; Pritchard, Tyler/0000-0001-9227-8349; Ashley, Michael/0000-0003-1412-2028; Schneiter, Matias/0000-0002-0033-8816; Steeghs, Danny/0000-0003-0771-4746; Mostafa, Miguel/0000-0002-7675-4656; Rol, Evert/0000-0001-8357-4453; Mejuto Villa, Elena/0000-0002-4243-1592; Suchyta, Eric/0000-0002-7047-9358; Maris, Ioana/0000-0002-5771-1124; Cataldi, Gabriella/0000-0001-8066-7718; Dupej, Peter/0000-0001-9215-5576; Krugov, Maxim/0000-0002-2788-2176; Hancock, Paul/0000-0002-4203-2946; van der Horst, Alexander/0000-0001-9149-6707; Rojas-Bravo, Cesar/0000-0002-7559-315X; Strotjohann, Nora Linn/0000-0002-4667-6730; Zucker, Michael/0000-0002-2544-1596; Palazzi, Eliana/0000-0002-8691-7666; Helou, George/0000-0003-3367-3415; Hammond, Giles/0000-0002-1414-3622; Goncalves, Thiago S/0000-0003-2374-366X; Taylor, Greg/0000-0001-6495-7731; Supanitsky, Alberto Daniel/0000-0002-6942-6216; Hunt, Leslie/0000-0001-9162-2371; Lopes de Oliveira, Raimundo/0000-0002-6211-7226; Blair, David/0000-0002-1501-2405; RAZZANO, MASSIMILIANO/0000-0003-4825-1629; Borodai, Nataliia/0000-0003-1864-937X; Zimmerman, Aaron/0000-0002-7453-6372; CUOCO, ALESSANDRO/0000-0003-1504-894X; Terai, Tsuyoshi/0000-0003-4143-4246; Onken, Christopher/0000-0003-0017-349X; Macri, Lucas/0000-0002-1775-4859; Kumar, Prayush/0000-0001-5523-4603; Kann, David Alexander/0000-0003-2902-3583; Komin, Nukri/0000-0003-3280-0582; Kavic, Michael/0000-0001-7386-0798; Chen, Ting-Wan/0000-0002-1066-6098; Stachurska, Juliana/0000-0002-0238-5608; Stuttard, Thomas/0000-0001-7944-279X; Sanchez, Bruno Orlando/0000-0002-8687-0669; Lien, Amy/0000-0002-7851-9756; Gorgi, Alessio/0000-0002-8085-2304; Yang, Jun/0000-0002-2322-5232; Castillo, Mario/0000-0002-8400-2497; Sim, Stuart/0000-0002-9774-1192; Prochaska, J. Xavier/0000-0002-7738-6875; Copperwheat, Christopher/0000-0001-7983-8698; Caramete, Laurentiu/0000-0002-3571-3145; Bland, Phil/0000-0002-4681-7898; Lundgren, Andrew/0000-0002-0363-4469; Clark, James/0000-0003-3243-1393; Tibolla, Omar/0000-0002-9074-0584; Dewangan, Gulab/0000-0003-1589-2075; Acero, Fabio/0000-0002-6606-2816; Padovani, Marco/0000-0003-2303-0096; Gottlieb, Ore/0000-0003-3115-2456; Lu, F.J./0000-0003-3248-6087; Massinger, Thomas/0000-0002-3429-5025; Huerta, Eliu/0000-0002-9682-3604; Melatos, Andrew/0000-0003-4642-141X; Vadawale, Santosh/0000-0002-2050-0913; Wysocki, Daniel/0000-0001-9138-4078; Veilleux, Sylvain/0000-0002-3158-6820; torres, ibrahim/0000-0002-1689-3945; Johnston-Hollitt, Melanie/0000-0003-2756-8301; Brooks, Aidan/0000-0003-4295-792X; Vitale, Salvatore/0000-0003-2700-0767; Nuttall, Laura Kate/0000-0001-7472-0201; Majorana, Ettore/0000-0002-2383-3692; Pech, Miroslav/0000-0002-8421-0456; Bulgarelli, Andrea/0000-0001-6347-0649; Gomez Berisso, Mariano/0000-0001-5530-0180; Tueros, Matias/0000-0003-1570-1419; Tacca, Matteo/0000-0003-1353-0441; DI MAURO, MATTIA/0000-0003-2759-5625; Amato, Alex/0000-0001-9557-651X; Chenevez, Jerome/0000-0002-4397-8370; Powell, Jade/0000-0002-1357-4164; Fegan, Stephen/0000-0002-9978-2510; Guo, Chengcheng/0000-0003-0857-0350; Rizi, Vincenzo/0000-0002-5277-6527; Eichholz, Johannes/0000-0002-2643-163X; Bailes, Matthew/0000-0003-3294-3081; Tarle, Gregory/0000-0003-1704-0781; Lai, Kwun-Hang/0000-0003-0446-119X; BUSCEMI, Mario/0000-0003-2123-5434; Wyrzykowski, Lukasz/0000-0002-9658-6151; Arun, K G/0000-0002-6960-8538; Figuera Jaimes, Roberto Jose/0000-0003-3425-6605; Iyer, Balasubramanian R/0000-0002-4141-5179; Paoletti, Federico/0000-0001-8898-1963; Getman, Fedor/0000-0003-1550-0182; Anderson, Warren/0000-0003-0482-5942; Bozzo, Enrico/0000-0002-8201-1525; Tuo, Youli/0000-0003-3127-0110; Andeen, Karen/0000-0001-9394-0007; Haggard, Daryl/0000-0001-6803-2138; Im, Myungshin/0000-0002-8537-6714; Turatto, Massimo/0000-0002-9719-3157; Gaudio, Sergio/0000-0002-9645-5979; Ottaway, David/0000-0001-6794-1591; Ramirez-Ruiz, Enrico/0000-0003-2558-3102; Harmanen, Jussi/0000-0001-8242-4090; Buson, Sara/0000-0002-3308-324X; /0000-0001-7909-5812; Diaz Hernandez, Raquel/0000-0001-8487-0836; garcia lambas, diego/0000-0002-2929-4685; Stasik, Alexander/0000-0003-1646-2472; Toland, Karl/0000-0001-9537-9698; Nakar, Ehud/0000-0002-4534-7089; DI LIETO, ALBERTO/0000-0002-4787-0754; Cardillo, Martina/0000-0001-8877-3996; Zweizig, John/0000-0002-1521-3397; Pacciani, Luigi/0000-0001-6897-5996; Li, Bing/0000-0002-0238-834X; Moretti, Elena/0000-0001-5477-9097; Toscano, Simona/0000-0002-1860-2240; cotti, umberto/0000-0002-7607-9582; Lasky, Paul/0000-0003-3763-1386; De Clercq, Catherine/0000-0001-5266-7059; Dadina, Mauro/0000-0002-7858-7564; Elsaesser, Dominik/0000-0001-6796-3205; Kowalska-Leszczynska, Izabela/0000-0002-6569-3800; Tanimoto, Atsushi/0000-0002-0114-5581; Ciprini, Stefano/0000-0002-0712-2479; Kromer, Markus/0000-0003-4380-7536; Palomba, Cristiano/0000-0002-4450-9883; Romoli, Carlo/0000-0003-2541-4499; Plum, Matthias/0000-0001-8691-242X; Bessell, Michael/0000-0001-7801-1410; Rosinska, Dorota/0000-0002-3681-9304; Arrieta-Lobo, Maialen/0000-0001-7033-9614; Gaensler, Bryan/0000-0002-3382-9558; Vergani, Daniela/0000-0003-0898-2216; Sarmiento-Cano, Christian/0000-0002-4977-4184; Venkatraman Krishnan, Vivek/0000-0001-9518-9819; Altin, Paul/0000-0001-8193-5825; Alexander, Kate/0000-0002-8297-2473; van der Walt, Johan/0000-0001-6666-6866; Chen, Andrew/0000-0001-6425-5692; Liu, Jian/0000-0001-6726-3268; Cheung, Chi (Teddy)/0000-0002-4377-0174; Arguelles-Delgado, Carlos/0000-0003-4186-4182; Saba, Andrea/0000-0002-1607-5010; Mohr, Joseph/0000-0002-6875-2087; Siebert, Matthew/0000-0003-2445-3891; Yoshida, Shigeru/0000-0003-2480-5105; Mandat, Dusan/0000-0001-7748-7468; Poolakkil, Suraj/0000-0002-6269-0452; BUFANO, Filomena/0000-0002-3429-2481; Cook, David/0000-0002-6877-7655; Springer, R. Wayne/0000-0002-1492-0380; Mate, Sujay/0000-0001-5536-4635; LIU, QINRUI/0000-0003-3379-6423; Santangelo, Andrea/0000-0003-4187-9560; Heidmann, Antoine/0000-0002-0784-5175; Blair, Carl/0000-0003-4566-6888; Schlegel, David/0000-0002-5042-5088; Lara, Alejandro/0000-0001-6336-5291; Marcote, Benito/0000-0001-9814-2354; Verrecchia, Francesco/0000-0003-3455-5082; Ulaczyk, Krzysztof/0000-0001-6364-408X; Mohrmann, Lars/0000-0002-9667-8654; Miao, Haixing/0000-0003-2879-5821; Stamerra, Antonio/0000-0002-9430-5264; Melandri, Andrea/0000-0002-2810-2143; Magnier, Eugene/0000-0002-7965-2815; Koehlenbeck, Sina/0000-0002-3842-9051; Heng, Ik Siong/0000-0002-1977-0019; Willis, Joshua/0000-0002-9929-0225; NOYSENA, Kanthanakorn/0000-0001-9109-8311; Allocca, Annalisa/0000-0002-5288-1351; Ebr, Jan/0000-0001-8807-6162; Mankiewicz, Lech/0000-0002-2572-9477; Di Venere, Leonardo/0000-0003-0703-824X; Brack, Jeffrey/0000-0003-4096-2063; Vazquez Lopez, Ricardo/0000-0003-4025-5262; Sanders, Jax/0000-0001-7764-8030; Montani, Matteo/0000-0003-3453-5671; Baldini, Luca/0000-0002-9785-7726; Kalaghatgi, Chinmay/0000-0002-4688-867X; Jones, Benjamin/0000-0003-3400-8986; de Vries, Krijn/0000-0002-9842-4068; Lares, Marcelo/0000-0001-8180-5780; Baker, Paul T./0000-0003-2745-753X; Font Roda, Jose Antonio/0000-0001-6650-2634; Smith, Rory/0000-0001-8516-3324; Fairhurst, Stephen/0000-0001-8480-1961; Querel, Richard/0000-0001-8792-2486; Sarkar, Sourav/0000-0002-1206-4330; Carlin, Jeffrey/0000-0002-3936-9628; Martinez Rodriguez, Manel/0000-0002-9763-9155; Lee, Kyung-Ha/0000-0003-0470-3718; Poon, Helen/0000-0002-6004-4270; Spencer, Andrew/0000-0003-4418-3366; Xu, Yanjun/0000-0003-2443-3698; Tringali, Maria Concetta/0000-0001-5087-189X; Di Renzo, Francesco/0000-0002-5447-3810; Jaranowski, Piotr/0000-0001-8085-3414; Brocato, Enzo/0000-0001-7988-8177; Mantsch, Paul/0000-0002-8382-7745; Goodman, Jordan/0000-0002-9790-1299; Kolanoski, Hermann/0000-0003-0435-2524; Blot, Summer/0000-0003-1089-3001; Shulevski, Aleksandar/0000-0002-1827-0469; Callister, Thomas/0000-0001-9892-177X; Labanti, Claudio/0000-0002-5086-3619; Nava, Lara/0000-0001-5960-0455; Wiseman, Philip/0000-0002-3073-1512; Antonelli, Lucio Angelo/0000-0002-5037-9034; LEURINI, Silvia/0000-0003-1014-3390; de Gregorio-Monsalvo, Itziar/0000-0003-4518-407X; Cannizzaro, Giacomo/0000-0003-3623-4987; Khelifi, Bruno/0000-0001-6876-5577; Fusco, Piergiorgio/0000-0002-9383-2425; Luis-Raya, Gilgamesh/0000-0003-2810-4867; Surajbali, Pooja/0000-0002-8516-6469; Sachdev, Surabhi/0000-0002-0525-2317; Bero, John/0000-0003-0815-1260; Ackermann, Markus/0000-0001-8952-588X; Rieger, Frank/0000-0003-1334-2993; Crawford, Steven/0000-0002-8969-5229; Wright, Jennifer/0000-0002-1567-8434; Gennai, Alberto/0000-0003-0149-2089; Casu, Silvia/0000-0002-0154-3571; Fara, Emmanuel/0000-0002-7991-4467; Cutter, Ry/0000-0001-8945-5551; Spandre, Gloria/0000-0003-0802-3453; Singhal, Akshat/0000-0003-1275-1904; Levan, Andrew/0000-0001-7821-9369; Glawion, Dorit/0000-0003-4865-7696; Losurdo, Giovanni/0000-0003-0452-746X; Creighton, Jolien/0000-0003-3600-2406; Pellegrino, Carmelo/0000-0003-1530-4595; Kasprowicz, Grzegorz/0000-0001-6128-0788; Rhode, Wolfgang/0000-0003-2636-5000; Aglietta, Marco/0000-0001-8354-5388; Kapadia, Shasvath/0000-0001-5318-1253; Veitch, John/0000-0002-6508-0713; Vaisanen, Petri/0000-0001-7673-4850; Fremling, Christoffer/0000-0002-4223-103X; Cooper, Sam/0000-0001-8114-3596; Cappellaro, Enrico/0000-0001-5008-8619; Oya, Igor/0000-0002-3881-9324; Inasaridze, Raguli/0000-0002-6653-0915; Orlando, Elena/0000-0001-6406-9910; Rongen, Martin/0000-0002-7057-1007; Tibaldo, Luigi/0000-0001-7523-570X; Bazzano, Angela/0000-0002-2017-4396; Longinotti, Anna Lia/0000-0001-8825-3624; Paz-Chinchon, Francisco/0000-0003-1339-2683; Benetti, Stefano/0000-0002-3256-0016; Dal Canton, Tito/0000-0001-5078-9044; Orlati, Andrea/0000-0001-8737-255X; Bernlohr, Konrad/0000-0001-8065-3252; Jin, Zhiping/0000-0003-4977-9724; Coward, David/0000-0002-7795-9354; Elias-Rosa, Nancy/0000-0002-1381-9125; Elm Heintz, Kasper/0000-0002-9389-7413; Masso Reid, Mariela/0000-0001-6177-8105; Sarazin, Frederic/0000-0001-5614-1986; Scott, Jamie/0000-0001-6701-6515; Razzaque, Soebur/0000-0002-0130-2460; Uemura, Makoto/0000-0002-7375-7405; Murata, Katsuhiro/0000-0002-9579-731X; Niechciol, Marcus/0000-0001-6823-8056; Capocasa, Eleonora/0000-0003-3762-6958; Li, Gang/0000-0001-5067-1599; Whelan, John/0000-0001-5710-6576; Schovanek, Petr/0000-0002-5344-7645; Meier, Maximilian/0000-0002-9483-9450; Agudo, Ivan/0000-0002-3777-6182; Lopes, Luis/0000-0001-8571-0033; Daumiller, Kai/0000-0002-0527-4823; riehn, felix/0000-0001-8434-7500; McMahon, Richard/0000-0001-8447-8869; Capozzi, Diego/0000-0001-6794-6296; Walker, Mia/0000-0003-4077-6244; Kunwar, Samridha/0000-0003-4735-6103; Parsons, Robert/0000-0003-3457-9308; Sieniawska, Magdalena/0000-0001-5895-5537; Talbot, Colm/0000-0003-2053-5582; Kluzniak, Wlodek/0000-0001-9043-8062; Siegel, Michael/0000-0003-1817-3009; Lazzarini, Albert/0000-0002-5993-8808; Haney, Maria/0000-0001-7554-3665; Prokhorov, Leonid/0000-0002-0869-185X; Holz, Daniel/0000-0002-0175-5064; Kosack, Karl/0000-0001-8424-3621; Garcia, Javier/0000-0003-3828-2448; Schady, Patricia/0000-0002-1214-770X; Del Monte, Ettore/0000-0002-3013-6334; Casasola, Viviana/0000-0002-3879-6038; Smida, Radomir/0000-0003-0122-1123; Feroci, Marco/0000-0002-7617-3421; Vorobiov, Serguei/0000-0001-8679-3424; Cusumano, Giancarlo/0000-0002-8151-1990; Haack, Christian/0000-0003-3932-2448; Albuquerque, Ivone/0000-0001-7328-0136; Martin Ruiz, Sergio/0000-0001-9281-2919; Allen, Bruce/0000-0003-4285-6256; Steinlechner, Sebastian/0000-0003-4710-8548; Zdziarski, Andrzej/0000-0002-0333-2452; Hernandez Cadena, Sergio/0000-0002-2565-8365; Evans, Matthew/0000-0001-8459-4499; Tlatov, Andrey/0000-0003-1545-2125; Gompertz, Benjamin/0000-0002-5826-0548; De Mitri, Ivan/0000-0002-8665-1730; Moussa, abdelilah/0000-0003-2233-9120; Kandhasamy, Shivaraj/0000-0002-4825-6764; Chow, Jong/0000-0002-2414-5402; Adams, Scott/0000-0001-5855-5939; Schumacher, Lisa Johanna/0000-0001-8945-6722; Dwyer, Sheila/0000-0002-2068-277X; Blackburn, Lindy/0000-0002-9030-642X; Dawson, Bruce/0000-0002-4271-3055; Sai, Na/0000-0001-8378-5904; Mancina, Sarah/0009-0003-9879-3896; Balasubramanian, Arvind/0000-0003-0477-7645; Escobar Ibanez, Carlos/0000-0003-4442-4537; Soares-Santos, Marcelle/0000-0001-6082-8529; Malyshev, Denys/0000-0001-9689-2194; Bellm, Eric/0000-0001-8018-5348; Desiati, Paolo/0000-0001-9768-1858; Cavazzuti, Elisabetta/0000-0001-7150-9638; Biermann, Peter/0000-0003-3948-6143; Perez, Eucario Gonzalo/0000-0001-5998-4938; Yamada, Satoshi/0000-0002-9754-3081; Lidman, Chris/0000-0003-1731-0497; Forsyth, Perry/0000-0003-4558-7266; Young, David/0000-0002-1229-2499; Gronwall, Caryl/0000-0001-6842-2371; Romano, Rocco/0000-0002-0485-6936; /0000-0003-2935-7196; Sullivan, Mark/0000-0001-9053-4820; Van Elewyck, Veronique/0000-0002-8242-5453; Pimenta, Mario/0000-0002-2590-0908; Tominaga, Nozomu/0000-0001-8537-3153; Chavushyan, Vahram/0000-0002-2558-0967; Sarmento, Raul/0000-0002-5018-5467; NAKAHIRA, Satoshi/0000-0001-9307-046X; Flors, Andreas/0000-0003-2024-2819; ; </t>
  </si>
  <si>
    <t>Kavli Foundation; Danish National Research Foundation; Niels Bohr International Academy; DARK Cosmology Centre; NSF [AST-1518052, AST-141242, AST-1411763, AST-1714498, AST-1517649, PHY-1607291, AST-1412421, AST-1313484]; Gordon AMP; Betty Moore Foundation; Heising-Simons Foundation; Alfred P. Sloan Foundation; David and Lucile Packard Foundation; DNRF; UCMEXUS-CONACYT; NASA - Space Telescope Science Institute [HST-HF-51348.001, HST-HF-51373.001]; NASA [NAS5-26555, NNX15AE50G, NNX16AC22G, NAS5-00136, NNX08AR22G, NNX12AR65G, NNX14AM74G, NNX12AR55G, NNM13AA43C, NNM11AA01A, NNX15AE60G, PF6-170148, PF7-180162]; INAF; INFN; ASI [I/028/12/2]; Centre National de la Recherche Scientifique (CNRS), France; Commissariat a l'energie atomique et aux energies alternatives (CEA), France; Commission Europeenne (FEDER), France; Commission Europeenne, France; Institut Universitaire de France (IUF), France; IdEx, France; Sorbonne Paris Cite, France [ANR-10-LABX-0023, ANR-11-IDEX-0005-02]; Labex OCEVU, France [ANR-11-LABX-0060]; A*MIDEX, France [ANR-11-IDEX-0001-02]; Region Ile-de-France (DIM-ACAV), France; Region Alsace (CPER), France; Region Provence-Alpes-Cite d'Azur, France; Departement du Var and Ville de La Seyne-sur-Mer, France; Bundesministerium fur Bildung und Forschung (BMBF), Germany; Istituto Nazionale di Fisica Nucleare (INFN), Italy; Nederlandse organisatie voor Wetenschappelijk Onderzoek (NWO), the Netherlands; Council of the President of the Russian Federation, Russia; National Authority for Scientific Research (ANCS), Romania; Ministerio de Economia y Competitividad (MINECO): Plan Estatal de Investigacion (MINECO/FEDER), Spain [FPA2015-65150-C3-1-P, FPA2015-65150-C3-2-P, FPA2015-65150-C3-3-P]; Severo Ochoa Centre of Excellence and MultiDark Consolider (MINECO), Spain; Prometeo program (Generalitat Valenciana), Spain; Grisolia program (Generalitat Valenciana), Spain; Ministry of Higher Education, Scientific Research and Professional Training, Morocco; National Basic Research Program (973 Program) of China [2013CB834901, 2013CB834900, 2013CB834903]; Chinese Polar Environment Comprehensive Investigation AMP; Assessment Program [CHINARE2016-02-03-05]; Tsinghua University; Nanjing University; Beijing Normal University; University of New South Wales; Texas AM University; Australian Antarctic Division; National Collaborative Research Infrastructure Strategy (NCRIS) of Australia; Chinese Academy of Sciences through Center for Astronomical Mega-Science; National Astronomical Observatory of China (NAOC); Argentina-Comision Nacional de Energia Atomica; Agencia Nacional de Promocion Cientifica y Tecnologica (ANPCyT); Consejo Nacional de Investigaciones Cientificas y Tecnicas (CONICET); Gobierno de la Provincia de Mendoza; Municipalidad de Malargue; NDM Holdings and Valle Las Lenas; Australia-the Australian Research Council; Brazil-Conselho Nacional de Desenvolvimento Cientifico e Tecnologico (CNPq); Financiadora de Estudos e Projetos (FINEP); Fundacao de Amparo a Pesquisa do Estado de Rio de Janeiro (FAPERJ); Sao Paulo Research Foundation (FAPESP) [2010/07359-6, 1999/05404-3]; Ministerio da Ciencia, Tecnologia, Inovacoes e Comunicacoes (MCTIC); Czech Republic [MSMT CR LG15014, LO1305, LM2015038, CZ.02.1.01/0.0/0.0/16_013/0001402]; France-Centre de Calcul IN2P3/CNRS; Centre National de la Recherche Scientifique (CNRS); Conseil Regional Ile-de-France; Departement Physique Nucleaire et Corpusculaire (PNC-IN2P3/CNRS); Departement Sciences de l'Univers (SDU-INSU/CNRS); Institut Lagrange de Paris (ILP) within Investissements d'Avenir Programme [LABEX ANR-10-LABX-63, ANR-11-IDEX-0004-02]; Germany-Bundesministerium fur Bildung und Forschung (BMBF); Deutsche Forschungsgemeinschaft (DFG); Finanzministerium Baden-Wurttemberg; Helmholtz Alliance for Astroparticle Physics (HAP); Helmholtz-Gemeinschaft Deutscher Forschungszentren (HGF); Ministerium fur Innovation, Wissenschaft und Forschung des Landes Nordrhein-Westfalen; Ministerium fur Wissenschaft, Forschung und Kunst des Landes Baden-Wurttemberg; Italy-Istituto Nazionale di Fisica Nucleare (INFN); Istituto Nazionale di Astrofisica (INAF); Ministero dell'Istruzione, dell'Universita e della Ricerca (MIUR); CETEMPS Center of Excellence; Ministero degli Affari Esteri (MAE); Mexico-Consejo Nacional de Ciencia y Tecnologia (CONACYT) [167733]; Universidad Nacional Autonoma de Mexico (UNAM); PAPIIT DGAPA-UNAM; Netherlands - Ministerie van Onderwijs, Cultuur en Wetenschap; Nederlandse Organisatie voor Wetenschappelijk Onderzoek (NWO); Stichting voor Fundamenteel Onderzoek der Materie (FOM); Poland-National Centre for Research and Development [ERA-NET-ASPERA/01/11, ERA-NET-ASPERA/02/11]; National Science Centre [2013/08/M/ST9/00322, 2013/08/M/ST9/00728, HARMONIA 5-2013/10/M/ST9/00062, UMO-2016/22/M/ST9/00198]; Portugal-Portuguese national funds; FEDER within Programa Operacional Factores de Competitividade through Fundacao para a Ciencia e a Tecnologia (COMPETE); Romania-Romanian Authority for Scientific Research ANCS; CNDI-UEFISCDI [20/2012, 194/2012, PN 16 42 01 02]; Slovenia-Slovenian Research Agency; Spain-Comunidad de Madrid; Fondo Europeo de Desarrollo Regional (FEDER); Ministerio de Economia y Competitividad; Xunta de Galicia; European Community 7th Framework Program [FP7-PEOPLE-2012-IEF-328826]; USA-Department of Energy [DE-AC02-07CH11359, DE-FR02-04ER41300, DE-FG02-99ER41107, DE-SC0011689]; National Science Foundation [0450696]; Grainger Foundation; Marie Curie-IRSES/EPLANET; European Particle Physics Latin American Network; European Union 7th Framework Program [PIRSES-2009-GA-246806]; European Union's Horizon research and innovation programme [646623]; UNESCO; Australian Research Council [FT150100099, FL15010014]; Australian Research Council; Australian Government; Australian Government (NCRIS); Western Australian and Australian Governments; National Collaborative Research Infrastructure Strategy; Australian Research Council Centre of Excellence for All-sky Astrophysics in 3D (ASTRO 3D) [CE170100013]; Spanish Ministry [AYA 2015-71718-R]; Junta de Andalucia Proyecto de Excelencia [TIC-2839]; National Research Foundation [NRF-2015R1A2A1A01006870, DGE-1144469]; Korea Basic Science Research Program [NRF2014R1A6A3A03057484, NRF-2015R1D1A4A01020961]; Consejo Nacional de Ciencia y Tecnologia (Mexico) through Laboratorios Nacionales Program (Mexico); Instituto de Astrofisica de Andalucia (IAA-CSIC, Spain); Sungkyunkwan University (SKKU, South Korea); Australian Research Council Centre of Excellence for All-sky Astrophysics (CAASTRO) [CE110001020]; ARC LIEF from Australian Research Council [LE130100104]; NASA; ASI; JAXA; MEXT KAKENHI [JP 17H06362, JP26220708, JP17H02901, JP17H06363, JP15H00788, JP24103003, JP10147214, JP10147207]; Chandra X-ray Observatory Center [GO7-18033X]; National Aeronautics Space Administration (NASA) [NAS8-03060]; Natural Sciences and Engineering Research Council of Canada (NSERC); Fonds de recherche du Quebec-Nature et Technologies (FRQNT); UKSA; Canadian Institute for Advanced Research (CIFAR); Indian Space Research Organisation; European Unions Horizon research and innovation programme [653477]; ESO [199.D-0143, 099.D-0376]; DFG [HA 1850/28-1, Kl 766/16-3]; EU/FP7-ERC [291222, 615929, 647208, 725161]; STFC [ST/P000312/1]; ERF [ST/M005348/1, ST/P000495/1]; Marie Sklodowska-Curie [702538]; Polish NCN [OPUS 2015/17/B/ST9/03167]; Knut and Alice Wallenberg Foundation; California Institute of Technology; Alexander von Humboldt Sofja Kovalevskaja Award; FONDECYT [3160504]; US NSF [AST-1311862]; Quantum Universe I-Core program; Kimmel award; IRC [GOIPG/2017/1525]; Australian Research Council CAASTRO [CE110001020, FT160100028]; Millennium Science Initiative [IC120009]; NASA through Fermi-GBM; Bundesministerium fur Bildung und Forschung (BMBF) via Deutsches Zentrum fur Luft und Raumfahrt (DLR) [50 QV 0301]; Bundesministeriums fur Wirtschaft und Technologie (BMWi) through DLR [50 OG 1101]; Science Foundation Ireland [12/IP/1288]; NASA (United States); DOE (United States); CEA/Irfu (France); IN2P3/CNRS (France); ASI (Italy); INFN (Italy); MEXT (Japan); KEK (Japan); JAXA (Japan); K.A. Wallenberg Foundation; Swedish Research Council; National Space Board (Sweden); INAF (Italy); CNES (France); DOE [DE-AC02-76SF00515]; Office of Naval Research [N00014-07-C0147]; National Science Foundation under University Radio Observatory [AST-1139963, AST-1139974]; ESO Telescopes at the Paranal Observatory [099.D-0382, 099.D-0622, 099.D-0191, 099.D-0116]; REM telescope at the ESO La Silla Observatory [35020]; Department of University and Research (MIUR); Italian Space Agency (ASI); Autonomous Region of Sardinia (RAS); National Institute for Astrophysics (INAF); BIC [114332KYSB20160007]; Hundred Talent Program; Chinese Academy of Sciences [KJZD-EW-M06]; National Natural Science Foundation of China [11673062]; Oversea Talent Program of Yunnan Province; STFC (Science and Technology Facilities Council); Slovenian Research Agency [P1-0188]; Sorbonne Paris Cite [ANR-10-LABX-0023, ANR-11-IDEX-0005-02]; JSPS [15H05437]; JST Consortia; GROWTH (Global Relay of Observatories Watching Transients Happen) - National Science Foundation under PIRE [1545949]; California Institute of Technology (USA); University of Maryland College Park (USA); University of Wisconsin-Milwaukee (USA); Texas Tech University (USA); San Diego State University (USA); Los Alamos National Laboratory (USA); Tokyo Institute of Technology (Japan); National Central University (Taiwan); Indian Institute of Astrophysics (India); Inter-University Center for Astronomy and Astrophysics (India); Weizmann Institute of Science (Israel); Oskar Klein Centre at Stockholm University (Sweden); Humboldt University (Germany); Liverpool John Moores University (UK); Planning and Budgeting Committee; Israel Science Foundation; Large Synoptic Survey Telescope Corporation; National Science Foundation CAREER [1455090]; ERC grant TReX; Naval Research Laboratory (NRL); NRL; Oxford Centre for Astrophysical Surveys; Hintze Family Charitable Foundation; Swedish Research Council (V.R.); Israel Science Foundation, Minerva, Israeli ministry of Science; US-Israel Binational Science Foundation; I-CORE of the Planning and Budgeting Committee; Swedish Research Council (VR) [2016 03657 3]; Swedish National Space Board [Dnr. 107/16]; Gravitational Radiation and Electromagnetic Astrophysical Transients (GREAT) - Swedish Research council (V.R.) [Dnr. 2016-06012]; Science and Engineering Research Board, Department of Science and Technology, India; Indo-US Science and Technology Foundation; US National Science Foundation (NSF); US Department of Energy Office of High-Energy Physics; Laboratory Directed Research and Development (LDRD) program of Los Alamos National Laboratory; Consejo Nacional de Ciencia y Tecnologia (CONACyT), Mexico [271051, 232656, 167281, 260378, 179588, 239762, 254964, 271737, 258865, 243290]; Red HAWC, Mexico; DGAPA-UNAM [RG100414, IN111315, IN111716-3, IA102715, 109916]; VIEP-BUAP; University of Wisconsin Alumni Research Foundation; Institute of Geophysics, Planetary Physics, and Signatures at Los Alamos National Laboratory; Polish Science Centre [DEC-2014/13/B/ST9/945]; German Ministry for Education and Research (BMBF); Max Planck Society; German Research Foundation (DFG); Alexander von Humboldt Foundation; Deutsche Forschungsgemeinschaft; French Ministry for Research; CNRS-IN2P3; Astroparticle Interdisciplinary Programme of the CNRS; U.K. Science and Technology Facilities Council (STFC); IPNP of the Charles University; Czech Science Foundation; Polish National Science Centre; South African Department of Science and Technology; National Research Foundation; University of Namibia; National Commission on Research, Science and Technology of Namibia (NCRST); Innsbruck University; Austrian Science Fund (FWF); Austrian Federal Ministry for Science, Research and Economy; University of Adelaide; Japan Society for the Promotion of Science; University of Amsterdam; EGI Federation; China National Space Administration (CNSA); Chinese Academy of Sciences (CAS) [XDB23040400]; Ministry of Science and Technology of China (MOST) [2016YFA0400800]; U.S. National Science Foundation-Office of Polar Programs; U.S. National Science Foundation-Physics Division; Grid Laboratory of Wisconsin (GLOW) grid infrastructure at the University of Wisconsin-Madison; Open Science Grid (OSG) grid infrastructure; U.S. Department of Energy; National Energy Research Scientific Computing Center; Louisiana Optical Network Initiative (LONI) grid computing resources; Natural Sciences and Engineering Research Council of Canada; WestGrid and Compute/Calcul Canada; Swedish Research Council, Sweden; Swedish Polar Research Secretariat, Sweden; Swedish National Infrastructure for Computing (SNIC), Sweden; Knut and Alice Wallenberg Foundation, Sweden; German Ministry for Education and Research (BMBF), Germany; Deutsche Forschungsgemeinschaft (DFG), Germany; Helmholtz Alliance for Astroparticle Physics (HAP), Germany; Initiative and Networking Fund of the Helmholtz Association, Germany; Fund for Scientific Research (FNRS-FWO); FWO Odysseus programme; Flanders Institute; Belgian Federal Science Policy Office (Belspo); Marsden Fund, New Zealand; Japan Society for Promotion of Science (JSPS); Swiss National Science Foundation (SNSF), Switzerland; National Research Foundation of Korea (NRF); Villum Fonden, Denmark; Danish National Research Foundation (DNRF), Denmark; Russian Science Foundation [15-1230015, 14-22-00271]; Science and Education Ministry of Kazakhstan [0075/GF4]; RUSTAVELI [FR/379/6-300/14]; ESA Denmark; ESA France; ESA Germany; ESA Italy; ESA Switzerland; ESA Spain; ESA Russia; ESA USA; CEA; CNES; DLR; ESA; INTA; OSTC; ASI/INAF [2013-025-R.1]; German INTEGRAL through DLR [50 OG 1101]; Spanish MINECO/FEDER [ESP2015-65712-C5-1-R]; RFBR [16-29-13009-ofi-m]; JSPS KAKENHI [JP16H02183, JP15H02075, JP15H02069, JP26800103, JP25800103]; Inter-University Cooperation Program of the MEXT; NINS program; Toyota Foundation [D11-R-0830]; Mitsubishi Foundation; Yamada Science Foundation; Inoue Foundation for Science; National Research Foundation of South Africa; NRF [2017R1A3A3001362]; KASI [2017-1-830-03]; Israel Science Foundation [541/17]; Council of Scientific and Industrial Research of India; Department of Science and Technology, India; Science AMP; Engineering Research Board (SERB), India; Ministry of Human Resource Development, India; Spanish Agencia Estatal de Investigacion; Vicepresidencia i Conselleria d'Innovacio Recerca i Turisme; Conselleria d'Educacio i Universitat del Govern de les Illes Balears; Conselleria d'Educacio Investigacio Cultura i Esport de la Generalitat Valenciana; National Science Centre of Poland; Swiss National Science Foundation (SNSF); Russian Foundation for Basic Research; Russian Science Foundation; European Commission; European Regional Development Funds (ERDF); Royal Society; Scottish Funding Council; Scottish Universities Physics Alliance; Hungarian Scientific Research Fund (OTKA); Lyon Institute of Origins (LIO); National Research, Development and Innovation Office Hungary (NKFI); National Research Foundation of Korea; Industry Canada and Province of Ontario through Ministry of Economic Development and Innovation; Natural Science and Engineering Research Council Canada; Canadian Institute for Advanced Research; Brazilian Ministry of Science, Technology, Innovations, and Communications; International Center for Theoretical Physics South American Institute for Fundamental Research (ICTP-SAIFR); Council of Hong Kong; National Natural Science Foundation of China (NSFC); Chinese Academy of Sciences (CAS); Ministry of Science and Technology of China (MOST); Leverhulme Trust; Research Corporation; Ministry of Science and Technology (MOST), Taiwan; RIKEN; MEXT; KAKENHI [JP 17H06362]; EVN [RP029]; European Union's Horizon 2020 research and innovation programme [653477]; ERC [647208]; Netherlands Organization for Scientific Research through NWO VIDI [639.042.612-Nissanke]; NWO TOP [62002444-Nissanke]; VISIR [60.A-9392]; [MOST104-2923-M-008-004-MY5]; [MOST106-2112-M-008-007]; ESRC [ES/N013956/1] Funding Source: UKRI; STFC [ST/H002006/1, ST/P000649/1, 2142081, ST/N005422/1, ST/J001465/1, ST/K000845/1, ST/N005430/1, ST/L000652/1, ST/J000361/1, 1654298, ST/F500972/1, 1653089, ST/P000584/1, ST/P000770/1, ST/I006269/1, ST/I000887/1, ST/N000633/1, ST/I006285/1, 1802888, ST/P000525/1, ST/N005406/2, ST/M005348/1, ST/N005406/1, ST/G504284/1, ST/L006529/1, ST/K005014/2, ST/N001087/1, ST/N000757/1, ST/L00061X/1, ST/L000946/1, ST/M001334/1, ST/P000312/1, ST/N000668/1, ST/L000962/1, 1802894, ST/P000495/1, ST/M000931/1, ST/M005844/1, ST/L000733/1, ST/N00003X/1, ST/M004090/2, Gravitational Waves, ST/K005014/1, ST/F007159/1, ST/J000507/1, ST/L003465/1, ST/M006735/1, ST/N000064/1, 1653071, ST/P000258/1, ST/N000072/1, ST/N000811/1, ST/P00038X/1, ST/N005716/1, ST/R001170/1, ST/J00166X/1, ST/J000345/1, ST/J000019/1, ST/L000954/1, PP/F001096/1, ST/I000976/1, ST/I006242/1, ST/M003574/1, ST/I001085/1, 1785610, ST/M004090/1, ST/H001581/1, ST/H008438/1, ST/L000474/1, 1579029, 1763026, PPA/G/S/2002/00652, ST/N000080/1] Funding Source: UKRI; Swedish Research Council [2016-03657] Funding Source: Swedish Research Council; Russian Science Foundation [15-12-30016] Funding Source: Russian Science Foundation; Science and Technology Facilities Council [ST/M005844/1, ST/N000633/1, ST/L000342/1 Gravitational Waves, ST/I006285/1 Gravitational Waves, ST/L000962/1 Gravitational Waves, ST/I001085/1, ST/L000962/1, ST/L003465/1, ST/N005422/1, ST/M006735/1, ST/J000361/1, ST/K005014/1, ST/L00061X/1, ST/J000019/1 Gravitational Waves, ST/I006269/1 Gravitational Waves, ST/J000507/1, ST/J000019/1, ST/J000345/1, ST/J001465/1, ST/F500972/1, ST/N005716/1, ST/H002006/1, ST/N005406/2, ST/N00003X/1, ST/I006269/1, ST/L000954/1, ST/N000811/1, PP/F001096/1, 1507817, ST/P000258/1, Gravitational Waves, ST/N000064/1, PPA/G/S/2002/00652, ST/H008438/1, ST/F007159/1, ST/L000474/1, ST/N000927/1, ST/L000946/1, ST/J00166X/1, ST/N000080/1, ST/M000966/1, ST/N005406/1, ST/P000649/1, 1653071, ST/N000668/1, ST/M004090/1, ST/G504284/1, ST/M004090/2, ST/L000733/1, ST/K000845/1, ST/J000345/1 Gravitational Waves, 1785610, ST/I006242/1, ST/N000072/1, ST/I006285/1, ST/I000887/1, ST/N005430/1, 1802894, ST/P000770/1, ST/P000584/1, ST/K005014/2, 1096295, ST/P000312/1, ST/P000495/1, 1654298] Funding Source: researchfish; UK Space Agency [ST/P002196/1, ST/P002323/1] Funding Source: researchfish; Villum Fonden [00013161] Funding Source: researchfish; Direct For Computer &amp; Info Scie &amp; Enginr; Office of Advanced Cyberinfrastructure (OAC) [1626251, 1541396] Funding Source: National Science Foundation; Direct For Education and Human Resources; Division Of Human Resource Development [1242090] Funding Source: National Science Foundation; Direct For Mathematical &amp; Physical Scien [1720756, 1607199] Funding Source: National Science Foundation; Direct For Mathematical &amp; Physical Scien; Division Of Astronomical Sciences [1517030, 1153335, 1238877] Funding Source: National Science Foundation; Direct For Mathematical &amp; Physical Scien; Division Of Physics [1607673, 1607291, 1506232, 1606654, 1403586, 1505230, 1404139, 1104371, 1607336, 1430152] Funding Source: National Science Foundation; Division Of Astronomical Sciences [1720756] Funding Source: National Science Foundation; Division Of Astronomical Sciences; Direct For Mathematical &amp; Physical Scien [1455090, 1412421] Funding Source: National Science Foundation; Division Of Physics [1607199] Funding Source: National Science Foundation; Division Of Physics; Direct For Mathematical &amp; Physical Scien [1506145, 1606566, 1506254, 1308127, 1506486, 1505296, 1607520, 1212538, 1607709, 1607585, 1125897] Funding Source: National Science Foundation; Office Of The Director; Office of Integrative Activities [1458952] Funding Source: National Science Foundation; Office Of The Director; Office Of Internatl Science &amp;Engineering [1545949] Funding Source: National Science Foundation; Marie Curie Actions (MSCA) [702538] Funding Source: Marie Curie Actions (MSCA); Grants-in-Aid for Scientific Research [17J09016, 15H02082, 17H06363, 16K17667, 15H05437, 16K05301, 15H02075, 16K17672, 17J06407, 16H05732, 16H02174, 17H06357, 15H05440, 15H02062, 15H02069, 26220708, 17K05384, 17H02901] Funding Source: KAKEN; Irish Research Council (IRC) [GOIPG/2017/1525] Funding Source: Irish Research Council (IRC); European Research Council (ERC) [647208] Funding Source: European Research Council (ERC)</t>
  </si>
  <si>
    <t>Kavli Foundation; Danish National Research Foundation(Danmarks Grundforskningsfond); Niels Bohr International Academy; DARK Cosmology Centre; NSF(National Science Foundation (NSF)); Gordon AMP; Betty Moore Foundation; Heising-Simons Foundation; Alfred P. Sloan Foundation(Alfred P. Sloan Foundation); David and Lucile Packard Foundation(The David &amp; Lucile Packard Foundation); DNRF; UCMEXUS-CONACYT(Consejo Nacional de Ciencia y Tecnologia (CONACyT)); NASA - Space Telescope Science Institute(Space Telescope Science InstituteNational Aeronautics &amp; Space Administration (NASA)); NASA(National Aeronautics &amp; Space Administration (NASA)); INAF(Istituto Nazionale Astrofisica (INAF)); INFN(Istituto Nazionale di Fisica Nucleare (INFN)); ASI(Agenzia Spaziale Italiana (ASI)); Centre National de la Recherche Scientifique (CNRS), France(Centre National de la Recherche Scientifique (CNRS)); Commissariat a l'energie atomique et aux energies alternatives (CEA), France(French Atomic Energy Commission); Commission Europeenne (FEDER), France(Marie Curie Actions); Commission Europeenne, France; Institut Universitaire de France (IUF), France; IdEx, France; Sorbonne Paris Cite, France; Labex OCEVU, France; A*MIDEX, France; Region Ile-de-France (DIM-ACAV), France(Region Ile-de-France); Region Alsace (CPER), France; Region Provence-Alpes-Cite d'Azur, France; Departement du Var and Ville de La Seyne-sur-Mer, France(Region Provence-Alpes-Cote d'Azur); Bundesministerium fur Bildung und Forschung (BMBF), Germany(Federal Ministry of Education &amp; Research (BMBF)); Istituto Nazionale di Fisica Nucleare (INFN), Italy(Istituto Nazionale di Fisica Nucleare (INFN)); Nederlandse organisatie voor Wetenschappelijk Onderzoek (NWO), the Netherlands(Netherlands Organization for Scientific Research (NWO)Netherlands Government); Council of the President of the Russian Federation, Russia; National Authority for Scientific Research (ANCS), Romania; Ministerio de Economia y Competitividad (MINECO): Plan Estatal de Investigacion (MINECO/FEDER), Spain; Severo Ochoa Centre of Excellence and MultiDark Consolider (MINECO), Spain; Prometeo program (Generalitat Valenciana), Spain; Grisolia program (Generalitat Valenciana), Spain; Ministry of Higher Education, Scientific Research and Professional Training, Morocco; National Basic Research Program (973 Program) of China(National Basic Research Program of China); Chinese Polar Environment Comprehensive Investigation AMP; Assessment Program; Tsinghua University; Nanjing University(Nanjing University); Beijing Normal University; University of New South Wales; Texas AM University; Australian Antarctic Division; National Collaborative Research Infrastructure Strategy (NCRIS) of Australia; Chinese Academy of Sciences through Center for Astronomical Mega-Science; National Astronomical Observatory of China (NAOC); Argentina-Comision Nacional de Energia Atomica; Agencia Nacional de Promocion Cientifica y Tecnologica (ANPCyT)(ANPCyTSpanish Government); Consejo Nacional de Investigaciones Cientificas y Tecnicas (CONICET)(Consejo Nacional de Investigaciones Cientificas y Tecnicas (CONICET)); Gobierno de la Provincia de Mendoza; Municipalidad de Malargue; NDM Holdings and Valle Las Lenas; Australia-the Australian Research Council(Australian Research Council); Brazil-Conselho Nacional de Desenvolvimento Cientifico e Tecnologico (CNPq)(Conselho Nacional de Desenvolvimento Cientifico e Tecnologico (CNPQ)Fundacao de Apoio a Pesquisa do Distrito Federal (FAPDF)); Financiadora de Estudos e Projetos (FINEP)(Financiadora de Inovacao e Pesquisa (Finep)); Fundacao de Amparo a Pesquisa do Estado de Rio de Janeiro (FAPERJ)(Fundacao Carlos Chagas Filho de Amparo a Pesquisa do Estado do Rio De Janeiro (FAPERJ)); Sao Paulo Research Foundation (FAPESP)(Fundacao de Amparo a Pesquisa do Estado de Sao Paulo (FAPESP)); Ministerio da Ciencia, Tecnologia, Inovacoes e Comunicacoes (MCTIC); Czech Republic(Czech Republic Government); France-Centre de Calcul IN2P3/CNRS; Centre National de la Recherche Scientifique (CNRS)(Centre National de la Recherche Scientifique (CNRS)); Conseil Regional Ile-de-France(Region Ile-de-France); Departement Physique Nucleaire et Corpusculaire (PNC-IN2P3/CNRS)(Centre National de la Recherche Scientifique (CNRS)); Departement Sciences de l'Univers (SDU-INSU/CNRS); Institut Lagrange de Paris (ILP) within Investissements d'Avenir Programme(Agence Nationale de la Recherche (ANR)); Germany-Bundesministerium fur Bildung und Forschung (BMBF)(Federal Ministry of Education &amp; Research (BMBF)); Deutsche Forschungsgemeinschaft (DFG)(German Research Foundation (DFG)); Finanzministerium Baden-Wurttemberg; Helmholtz Alliance for Astroparticle Physics (HAP); Helmholtz-Gemeinschaft Deutscher Forschungszentren (HGF)(Helmholtz Association); Ministerium fur Innovation, Wissenschaft und Forschung des Landes Nordrhein-Westfalen; Ministerium fur Wissenschaft, Forschung und Kunst des Landes Baden-Wurttemberg; Italy-Istituto Nazionale di Fisica Nucleare (INFN); Istituto Nazionale di Astrofisica (INAF)(Istituto Nazionale Astrofisica (INAF)); Ministero dell'Istruzione, dell'Universita e della Ricerca (MIUR)(Ministry of Education, Universities and Research (MIUR)); CETEMPS Center of Excellence; Ministero degli Affari Esteri (MAE)(Ministry of Foreign Affairs and International Cooperation (Italy)); Mexico-Consejo Nacional de Ciencia y Tecnologia (CONACYT)(Consejo Nacional de Ciencia y Tecnologia (CONACyT)); Universidad Nacional Autonoma de Mexico (UNAM)(Universidad Nacional Autonoma de Mexico); PAPIIT DGAPA-UNAM(Programa de Apoyo a Proyectos de Investigacion e Innovacion Tecnologica (PAPIIT)Universidad Nacional Autonoma de Mexico); Netherlands - Ministerie van Onderwijs, Cultuur en Wetenschap; Nederlandse Organisatie voor Wetenschappelijk Onderzoek (NWO)(Netherlands Organization for Scientific Research (NWO)); Stichting voor Fundamenteel Onderzoek der Materie (FOM)(FOM (The Netherlands)); Poland-National Centre for Research and Development; National Science Centre(National Science Centre, Poland); Portugal-Portuguese national funds(Fundacao para a Ciencia e a Tecnologia (FCT)); FEDER within Programa Operacional Factores de Competitividade through Fundacao para a Ciencia e a Tecnologia (COMPETE); Romania-Romanian Authority for Scientific Research ANCS; CNDI-UEFISCDI(Consiliul National al Cercetarii Stiintifice (CNCS)Unitatea Executiva pentru Finantarea Invatamantului Superior, a Cercetarii, Dezvoltarii si Inovarii (UEFISCDI)); Slovenia-Slovenian Research Agency(Slovenian Research Agency - Slovenia); Spain-Comunidad de Madrid; Fondo Europeo de Desarrollo Regional (FEDER)(European Union (EU)Spanish Government); Ministerio de Economia y Competitividad(Spanish Government); Xunta de Galicia(Xunta de Galicia); European Community 7th Framework Program(European Union (EU)); USA-Department of Energy(United States Department of Energy (DOE)); National Science Foundation(National Science Foundation (NSF)); Grainger Foundation; Marie Curie-IRSES/EPLANET; European Particle Physics Latin American Network; European Union 7th Framework Program(European Union (EU)); European Union's Horizon research and innovation programme(Horizon 2020European Union (EU)Horizon Europe Research Infrastructures); UNESCO(Spanish Government); Australian Research Council(Australian Research Council); Australian Research Council(Australian Research Council); Australian Government(Australian Government); Australian Government (NCRIS)(Australian GovernmentDepartment of Industry, Innovation and Science); Western Australian and Australian Governments; National Collaborative Research Infrastructure Strategy(Australian GovernmentDepartment of Industry, Innovation and Science); Australian Research Council Centre of Excellence for All-sky Astrophysics in 3D (ASTRO 3D)(Australian Research Council); Spanish Ministry(Spanish Government); Junta de Andalucia Proyecto de Excelencia(Junta de Andalucia); National Research Foundation; Korea Basic Science Research Program; Consejo Nacional de Ciencia y Tecnologia (Mexico) through Laboratorios Nacionales Program (Mexico); Instituto de Astrofisica de Andalucia (IAA-CSIC, Spain); Sungkyunkwan University (SKKU, South Korea); Australian Research Council Centre of Excellence for All-sky Astrophysics (CAASTRO)(Australian Research Council); ARC LIEF from Australian Research Council(Australian Research Council); NASA(National Aeronautics &amp; Space Administration (NASA)); ASI(Agenzia Spaziale Italiana (ASI)); JAXA; MEXT KAKENHI(Ministry of Education, Culture, Sports, Science and Technology, Japan (MEXT)Japan Society for the Promotion of ScienceGrants-in-Aid for Scientific Research (KAKENHI)); Chandra X-ray Observatory Center; National Aeronautics Space Administration (NASA)(National Aeronautics &amp; Space Administration (NASA)); Natural Sciences and Engineering Research Council of Canada (NSERC)(Natural Sciences and Engineering Research Council of Canada (NSERC)); Fonds de recherche du Quebec-Nature et Technologies (FRQNT)(Fonds de recherche du Quebec (FRQ)Fonds de recherche du Quebec - Nature et technologies (FRQNT)); UKSA; Canadian Institute for Advanced Research (CIFAR)(Canadian Institute for Advanced Research (CIFAR)); Indian Space Research Organisation(Department of Space (DoS), Government of India); European Unions Horizon research and innovation programme(Horizon 2020European Union (EU)Horizon Europe Research Infrastructures); ESO; DFG(German Research Foundation (DFG)); EU/FP7-ERC(European Union (EU)); STFC(UK Research &amp; Innovation (UKRI)Science &amp; Technology Facilities Council (STFC)); ERF; Marie Sklodowska-Curie(Marie Curie Actions); Polish NCN; Knut and Alice Wallenberg Foundation(Knut &amp; Alice Wallenberg Foundation); California Institute of Technology; Alexander von Humboldt Sofja Kovalevskaja Award(Alexander von Humboldt Foundation); FONDECYT(Comision Nacional de Investigacion Cientifica y Tecnologica (CONICYT)CONICYT FONDECYT); US NSF(National Science Foundation (NSF)); Quantum Universe I-Core program; Kimmel award; IRC(Irish Research Council for Science, Engineering and Technology); Australian Research Council CAASTRO(Australian Research Council); Millennium Science Initiative; NASA through Fermi-GBM; Bundesministerium fur Bildung und Forschung (BMBF) via Deutsches Zentrum fur Luft und Raumfahrt (DLR); Bundesministeriums fur Wirtschaft und Technologie (BMWi) through DLR(Federal Ministry for Economic Affairs and Energy (BMWi)); Science Foundation Ireland(Science Foundation Ireland); NASA (United States)(National Aeronautics &amp; Space Administration (NASA)); DOE (United States)(United States Department of Energy (DOE)); CEA/Irfu (France)(French Atomic Energy Commission); IN2P3/CNRS (France)(Centre National de la Recherche Scientifique (CNRS)); ASI (Italy)(Agenzia Spaziale Italiana (ASI)); INFN (Italy)(Istituto Nazionale di Fisica Nucleare (INFN)); MEXT (Japan)(Ministry of Education, Culture, Sports, Science and Technology, Japan (MEXT)); KEK (Japan)(High Energy Accelerator Research Organization (KEK)); JAXA (Japan); K.A. Wallenberg Foundation(Knut &amp; Alice Wallenberg Foundation); Swedish Research Council(Swedish Research Council); National Space Board (Sweden); INAF (Italy)(Istituto Nazionale Astrofisica (INAF)); CNES (France)(Centre National D'etudes Spatiales); DOE(United States Department of Energy (DOE)); Office of Naval Research(Office of Naval Research); National Science Foundation under University Radio Observatory; ESO Telescopes at the Paranal Observatory; REM telescope at the ESO La Silla Observatory; Department of University and Research (MIUR); Italian Space Agency (ASI)(Agenzia Spaziale Italiana (ASI)); Autonomous Region of Sardinia (RAS)(Russian Academy of Sciences); National Institute for Astrophysics (INAF)(Istituto Nazionale Astrofisica (INAF)); BIC; Hundred Talent Program(Chinese Academy of Sciences); Chinese Academy of Sciences(Chinese Academy of Sciences); National Natural Science Foundation of China(National Natural Science Foundation of China (NSFC)); Oversea Talent Program of Yunnan Province; STFC (Science and Technology Facilities Council)(UK Research &amp; Innovation (UKRI)Science &amp; Technology Facilities Council (STFC)); Slovenian Research Agency(Slovenian Research Agency - Slovenia); Sorbonne Paris Cite; JSPS(Ministry of Education, Culture, Sports, Science and Technology, Japan (MEXT)Japan Society for the Promotion of Science); JST Consortia; GROWTH (Global Relay of Observatories Watching Transients Happen) - National Science Foundation under PIRE; California Institute of Technology (USA); University of Maryland College Park (USA); University of Wisconsin-Milwaukee (USA); Texas Tech University (USA); San Diego State University (USA); Los Alamos National Laboratory (USA)(United States Department of Energy (DOE)Los Alamos National Laboratory); Tokyo Institute of Technology (Japan); National Central University (Taiwan); Indian Institute of Astrophysics (India); Inter-University Center for Astronomy and Astrophysics (India); Weizmann Institute of Science (Israel); Oskar Klein Centre at Stockholm University (Sweden); Humboldt University (Germany); Liverpool John Moores University (UK); Planning and Budgeting Committee; Israel Science Foundation(Israel Science Foundation); Large Synoptic Survey Telescope Corporation; National Science Foundation CAREER(National Science Foundation (NSF)); ERC grant TReX(European Research Council (ERC)); Naval Research Laboratory (NRL); NRL; Oxford Centre for Astrophysical Surveys; Hintze Family Charitable Foundation; Swedish Research Council (V.R.)(Swedish Research Council); Israel Science Foundation, Minerva, Israeli ministry of Science; US-Israel Binational Science Foundation(US-Israel Binational Science Foundation); I-CORE of the Planning and Budgeting Committee; Swedish Research Council (VR)(Swedish Research Council); Swedish National Space Board(Swedish National Space Agency (SNSA)); Gravitational Radiation and Electromagnetic Astrophysical Transients (GREAT) - Swedish Research council (V.R.)(Swedish Research Council); Science and Engineering Research Board, Department of Science and Technology, India; Indo-US Science and Technology Foundation; US National Science Foundation (NSF)(National Science Foundation (NSF)); US Department of Energy Office of High-Energy Physics(United States Department of Energy (DOE)); Laboratory Directed Research and Development (LDRD) program of Los Alamos National Laboratory; Consejo Nacional de Ciencia y Tecnologia (CONACyT), Mexico(Consejo Nacional de Ciencia y Tecnologia (CONACyT)); Red HAWC, Mexico; DGAPA-UNAM(Universidad Nacional Autonoma de Mexico); VIEP-BUAP; University of Wisconsin Alumni Research Foundation; Institute of Geophysics, Planetary Physics, and Signatures at Los Alamos National Laboratory; Polish Science Centre; German Ministry for Education and Research (BMBF)(Federal Ministry of Education &amp; Research (BMBF)); Max Planck Society(Max Planck Society); German Research Foundation (DFG)(German Research Foundation (DFG)); Alexander von Humboldt Foundation(Alexander von Humboldt Foundation); Deutsche Forschungsgemeinschaft(German Research Foundation (DFG)); French Ministry for Research(Ministry of Research, France); CNRS-IN2P3(Centre National de la Recherche Scientifique (CNRS)); Astroparticle Interdisciplinary Programme of the CNRS; U.K. Science and Technology Facilities Council (STFC)(UK Research &amp; Innovation (UKRI)Science &amp; Technology Facilities Council (STFC)); IPNP of the Charles University; Czech Science Foundation(Grant Agency of the Czech Republic); Polish National Science Centre; South African Department of Science and Technology; National Research Foundation; University of Namibia; National Commission on Research, Science and Technology of Namibia (NCRST); Innsbruck University; Austrian Science Fund (FWF)(Austrian Science Fund (FWF)); Austrian Federal Ministry for Science, Research and Economy; University of Adelaide; Japan Society for the Promotion of Science(Ministry of Education, Culture, Sports, Science and Technology, Japan (MEXT)Japan Society for the Promotion of Science); University of Amsterdam; EGI Federation; China National Space Administration (CNSA); Chinese Academy of Sciences (CAS)(Chinese Academy of Sciences); Ministry of Science and Technology of China (MOST)(Ministry of Science and Technology, China); U.S. National Science Foundation-Office of Polar Programs(National Science Foundation (NSF)); U.S. National Science Foundation-Physics Division(National Science Foundation (NSF)); Grid Laboratory of Wisconsin (GLOW) grid infrastructure at the University of Wisconsin-Madison; Open Science Grid (OSG) grid infrastructure; U.S. Department of Energy(United States Department of Energy (DOE)); National Energy Research Scientific Computing Center; Louisiana Optical Network Initiative (LONI) grid computing resources; Natural Sciences and Engineering Research Council of Canada(Natural Sciences and Engineering Research Council of Canada (NSERC)CGIAR); WestGrid and Compute/Calcul Canada; Swedish Research Council, Sweden(Swedish Research Council); Swedish Polar Research Secretariat, Sweden; Swedish National Infrastructure for Computing (SNIC), Sweden; Knut and Alice Wallenberg Foundation, Sweden(Knut &amp; Alice Wallenberg Foundation); German Ministry for Education and Research (BMBF), Germany(Federal Ministry of Education &amp; Research (BMBF)); Deutsche Forschungsgemeinschaft (DFG), Germany(German Research Foundation (DFG)); Helmholtz Alliance for Astroparticle Physics (HAP), Germany; Initiative and Networking Fund of the Helmholtz Association, Germany; Fund for Scientific Research (FNRS-FWO)(FWOFonds de la Recherche Scientifique - FNRS); FWO Odysseus programme; Flanders Institute; Belgian Federal Science Policy Office (Belspo)(Belgian Federal Science Policy Office); Marsden Fund, New Zealand(Royal Society of New ZealandMarsden Fund (NZ)); Japan Society for Promotion of Science (JSPS)(Ministry of Education, Culture, Sports, Science and Technology, Japan (MEXT)Japan Society for the Promotion of Science); Swiss National Science Foundation (SNSF), Switzerland(Swiss National Science Foundation (SNSF)); National Research Foundation of Korea (NRF)(National Research Foundation of Korea); Villum Fonden, Denmark(Villum Fonden); Danish National Research Foundation (DNRF), Denmark; Russian Science Foundation(Russian Science Foundation (RSF)); Science and Education Ministry of Kazakhstan(Government of the Republic of KazakhstanMinistry of Education and Science of the Republic of Kazakhstan); RUSTAVELI; ESA Denmark(European Space Agency); ESA France(European Space Agency); ESA Germany(European Space Agency); ESA Italy(European Space Agency); ESA Switzerland(European Space Agency); ESA Spain(European Space Agency); ESA Russia; ESA USA; CEA(French Atomic Energy Commission); CNES(Centre National D'etudes Spatiales); DLR(Helmholtz AssociationGerman Aerospace Centre (DLR)); ESA(European Space Agency); INTA; OSTC; ASI/INAF(Istituto Nazionale Astrofisica (INAF)Agenzia Spaziale Italiana (ASI)); German INTEGRAL through DLR; Spanish MINECO/FEDER(Spanish Government); RFBR(Russian Foundation for Basic Research (RFBR)); JSPS KAKENHI(Ministry of Education, Culture, Sports, Science and Technology, Japan (MEXT)Japan Society for the Promotion of ScienceGrants-in-Aid for Scientific Research (KAKENHI)); Inter-University Cooperation Program of the MEXT; NINS program; Toyota Foundation; Mitsubishi Foundation; Yamada Science Foundation; Inoue Foundation for Science(Inoue Foundation for Science); National Research Foundation of South Africa(National Research Foundation - South Africa); NRF; KASI; Israel Science Foundation(Israel Science Foundation); Council of Scientific and Industrial Research of India(Council of Scientific &amp; Industrial Research (CSIR) - India); Department of Science and Technology, India(Department of Science &amp; Technology (India)); Science AMP; Engineering Research Board (SERB), India; Ministry of Human Resource Development, India(Ministry of Higher Education &amp; Scientific Research (MHESR)); Spanish Agencia Estatal de Investigacion(Spanish Government); Vicepresidencia i Conselleria d'Innovacio Recerca i Turisme; Conselleria d'Educacio i Universitat del Govern de les Illes Balears; Conselleria d'Educacio Investigacio Cultura i Esport de la Generalitat Valenciana; National Science Centre of Poland(National Science Centre, Poland); Swiss National Science Foundation (SNSF)(Swiss National Science Foundation (SNSF)); Russian Foundation for Basic Research(Russian Foundation for Basic Research (RFBR)Spanish Government); Russian Science Foundation(Russian Science Foundation (RSF)); European Commission(European Union (EU)European Commission Joint Research Centre); European Regional Development Funds (ERDF)(European Union (EU)); Royal Society(Royal Society); Scottish Funding Council; Scottish Universities Physics Alliance(Spanish Government); Hungarian Scientific Research Fund (OTKA)(Orszagos Tudomanyos Kutatasi Alapprogramok (OTKA)); Lyon Institute of Origins (LIO); National Research, Development and Innovation Office Hungary (NKFI)(National Research, Development &amp; Innovation Office (NRDIO) - Hungary); National Research Foundation of Korea(National Research Foundation of Korea); Industry Canada and Province of Ontario through Ministry of Economic Development and Innovation; Natural Science and Engineering Research Council Canada(Natural Sciences and Engineering Research Council of Canada (NSERC)); Canadian Institute for Advanced Research(Canadian Institute for Advanced Research (CIFAR)); Brazilian Ministry of Science, Technology, Innovations, and Communications; International Center for Theoretical Physics South American Institute for Fundamental Research (ICTP-SAIFR); Council of Hong Kong(Hong Kong Research Grants Council); National Natural Science Foundation of China (NSFC)(National Natural Science Foundation of China (NSFC)); Chinese Academy of Sciences (CAS)(Chinese Academy of Sciences); Ministry of Science and Technology of China (MOST)(Ministry of Science and Technology, China); Leverhulme Trust(Leverhulme Trust); Research Corporation(Research Corporation for Science Advancement); Ministry of Science and Technology (MOST), Taiwan(Ministry of Science and Technology, Taiwan); RIKEN; MEXT(Ministry of Education, Culture, Sports, Science and Technology, Japan (MEXT)); KAKENHI(Ministry of Education, Culture, Sports, Science and Technology, Japan (MEXT)Japan Society for the Promotion of ScienceGrants-in-Aid for Scientific Research (KAKENHI)); EVN; European Union's Horizon 2020 research and innovation programme(Horizon 2020); ERC(European Research Council (ERC)); Netherlands Organization for Scientific Research through NWO VIDI; NWO TOP(Netherlands Organization for Scientific Research (NWO)); VISIR; ; ; ESRC(UK Research &amp; Innovation (UKRI)Economic &amp; Social Research Council (ESRC)); STFC(UK Research &amp; Innovation (UKRI)Science &amp; Technology Facilities Council (STFC)); Swedish Research Council(Swedish Research Council); Russian Science Foundation(Russian Science Foundation (RSF)); Science and Technology Facilities Council(UK Research &amp; Innovation (UKRI)Science &amp; Technology Facilities Council (STFC)); UK Space Agency; Villum Fonden(Villum Fonden); Direct For Computer &amp; Info Scie &amp; Enginr; Office of Advanced Cyberinfrastructure (OAC)(National Science Foundation (NSF)NSF - Directorate for Computer &amp; Information Science &amp; Engineering (CISE)); Direct For Education and Human Resources; Division Of Human Resource Development(National Science Foundation (NSF)NSF - Directorate for STEM Education (EDU)); Direct For Mathematical &amp; Physical Scien(National Science Foundation (NSF)NSF - Directorate for Mathematical &amp; Physical Sciences (MPS)); Direct For Mathematical &amp; Physical Scien; Division Of Astronomical Sciences(National Science Foundation (NSF)NSF - Directorate for Mathematical &amp; Physical Sciences (MPS)); Direct For Mathematical &amp; Physical Scien; Division Of Physics(National Science Foundation (NSF)NSF - Directorate for Mathematical &amp; Physical Sciences (MPS)); Division Of Astronomical Sciences(National Science Foundation (NSF)NSF - Directorate for Mathematical &amp; Physical Sciences (MPS)); Division Of Astronomical Sciences; Direct For Mathematical &amp; Physical Scien(National Science Foundation (NSF)NSF - Directorate for Mathematical &amp; Physical Sciences (MPS)); Division Of Physics(National Science Foundation (NSF)NSF - Directorate for Mathematical &amp; Physical Sciences (MPS)); Division Of Physics; Direct For Mathematical &amp; Physical Scien(National Science Foundation (NSF)NSF - Directorate for Mathematical &amp; Physical Sciences (MPS)); Office Of The Director; Office of Integrative Activities(National Science Foundation (NSF)NSF - Office of the Director (OD)NSF - Office of Integrative Activities (OIA)); Office Of The Director; Office Of Internatl Science &amp;Engineering(National Science Foundation (NSF)NSF - Office of the Director (OD)); Marie Curie Actions (MSCA)(Marie Curie Actions); Grants-in-Aid for Scientific Research(Ministry of Education, Culture, Sports, Science and Technology, Japan (MEXT)Japan Society for the Promotion of ScienceGrants-in-Aid for Scientific Research (KAKENHI)); Irish Research Council (IRC)(Irish Research Council for Science, Engineering and Technology); European Research Council (ERC)(European Research Council (ERC)Spanish Government)</t>
  </si>
  <si>
    <t xml:space="preserve">(1M2H) We thank J. McIver for alerting us to the LVC circular. We thank J. Mulchaey (Carnegie Observatories director), L. Infante (Las Campanas Observatory director), and the entire Las Campanas staff for their extreme dedication, professionalism, and excitement, all of which were critical in the discovery of the first gravitational-wave optical counterpart and its host galaxy as well as the observations used in this study. We thank I. Thompson and the Carnegie Observatory Time Allocation Committee for approving the Swope Supernova Survey and scheduling our program. We thank the University of Copenhagen, DARK Cosmology Centre, and the Niels Bohr International Academy for hosting D.A.C., R.J.F., A.M.B., E.R., and M.R.S. during the discovery of GW170817/SSS17a. R.J.F., A.M.B., and E.R. were participating in the Kavli Summer Program in Astrophysics, Astrophysics with gravitational wave detections. This program was supported by the the Kavli Foundation, Danish National Research Foundation, the Niels Bohr International Academy, and the DARK Cosmology Centre. The UCSC group is supported in part by NSF grant AST-1518052, the Gordon &amp; Betty Moore Foundation, the Heising-Simons Foundation, generous donations from many individuals through a UCSC Giving Day grant, and from fellowships from the Alfred P. Sloan Foundation (R.J.F.), the David and Lucile Packard Foundation (R.J.F. and E.R.) and the Niels Bohr Professorship from the DNRF (E.R.). AMB acknowledges support from a UCMEXUS-CONACYT Doctoral Fellowship. Support for this work was provided by NASA through Hubble Fellowship grants HST-HF-51348.001 (B.J.S.) and HST-HF-51373.001 (M.R.D.) awarded by the Space Telescope Science Institute, which is operated by the Association of Universities for Research in Astronomy, Inc., for NASA, under contract NAS5-26555. This paper includes data gathered with the 1 meter Swope and 6.5 meter Magellan Telescopes located at Las Campanas Observatory, Chile.r (AGILE) The AGILE Team thanks the ASI management, the technical staff at the ASI Malindi ground station, the technical support team at the ASI Space Science Data Center, and the Fucino AGILE Mission Operation Center. AGILE is an ASI space mission developed with programmatic support by INAF and INFN. We acknowledge partial support through the ASI grant No. I/028/12/2. We also thank INAF, Italian Institute of Astrophysics, and ASI, Italian Space Agency.r (ANTARES) The ANTARES Collaboration acknowledges the financial support of: Centre National de la Recherche Scientifique (CNRS), Commissariat a l'energie atomique et aux energies alternatives (CEA), Commission Europeenne (FEDER fund and Marie Curie Program), Institut Universitaire de France (IUF), IdEx program and UnivEarthS Labex program at Sorbonne Paris Cite (ANR-10-LABX-0023 and ANR-11-IDEX-0005-02), Labex OCEVU (ANR-11-LABX-0060) and the A*MIDEX project (ANR-11-IDEX-0001-02), Region Ile-de-France (DIM-ACAV), Region Alsace (contrat CPER), Region Provence-Alpes-Cite d'Azur, Departement du Var and Ville de La Seyne-sur-Mer, France; Bundesministerium fur Bildung und Forschung (BMBF), Germany; Istituto Nazionale di Fisica Nucleare (INFN), Italy; Nederlandse organisatie voor Wetenschappelijk Onderzoek (NWO), the Netherlands; Council of the President of the Russian Federation for young scientists and leading scientific schools supporting grants, Russia; National Authority for Scientific Research (ANCS), Romania; Ministerio de Economia y Competitividad (MINECO): Plan Estatal de Investigacion (refs.; r r r r r FPA2015-65150-C3-1-P, -2-P and -3-P; MINECO/FEDER), Severo Ochoa Centre of Excellence and MultiDark Consolider (MINECO), and Prometeo and Grisolia programs (Generalitat Valenciana), Spain; Ministry of Higher Education, Scientific Research and Professional Training, Morocco. We also acknowledge the technical support of Ifremer, AIM and Foselev Marine for the sea operation and the CC-IN2P3 for the computing facilities.r (AST3) The AST3 project is supported by the National Basic Research Program (973 Program) of China (Grant Nos. 2013CB834901, 2013CB834900, 2013CB834903), and the Chinese Polar Environment Comprehensive Investigation &amp; Assessment Program (grant No. CHINARE2016-02-03-05). The construction of the AST3 telescopes has received fundings from Tsinghua University, Nanjing University, Beijing Normal University, University of New South Wales, and Texas A&amp;M University, the Australian Antarctic Division, and the National Collaborative Research Infrastructure Strategy (NCRIS) of Australia. It has also received funding from Chinese Academy of Sciences through the Center for Astronomical Mega-Science and National Astronomical Observatory of China (NAOC).r (Auger) The successful installation, commissioning, and operation of the Pierre Auger Observatory would not have been possible without the strong commitment and effort from the technical and administrative staff in Malargue. We are very grateful to the following agencies and organizations for financial support: Argentina-Comision Nacional de Energia Atomica; Agencia Nacional de Promocion Cientifica y Tecnologica (ANPCyT); Consejo Nacional de Investigaciones Cientificas y Tecnicas (CONICET); Gobierno de la Provincia de Mendoza; Municipalidad de Malargue; NDM Holdings and Valle Las Lenas; in gratitude for their continuing cooperation over land access; Australia-the Australian Research Council; Brazil-Conselho Nacional de Desenvolvimento Cientifico e Tecnologico (CNPq); Financiadora de Estudos e Projetos (FINEP); Fundacao de Amparo a Pesquisa do Estado de Rio de Janeiro (FAPERJ); Sao Paulo Research Foundation (FAPESP) grant Nos. 2010/07359-6 and 1999/05404-3; Ministerio da Ciencia, Tecnologia, Inovacoes e Comunicacoes (MCTIC); Czech Republic-grant Nos. MSMT CR LG15014, LO1305, LM2015038 and CZ.02.1.01/0.0/0.0/16_013/0001402; France-Centre de Calcul IN2P3/CNRS; Centre National de la Recherche Scientifique (CNRS); Conseil Regional Ile-de-France; Departement Physique Nucleaire et Corpusculaire (PNC-IN2P3/CNRS); Departement Sciences de l'Univers (SDU-INSU/CNRS); Institut Lagrange de Paris (ILP) grant No. LABEX ANR-10-LABX-63 within the Investissements d'Avenir Programme Grant No. ANR-11-IDEX-0004-02; Germany-Bundesministerium fur Bildung und Forschung (BMBF); Deutsche Forschungsgemeinschaft (DFG); Finanzministerium Baden-Wurttemberg; Helmholtz Alliance for Astroparticle Physics (HAP); Helmholtz-Gemeinschaft Deutscher Forschungszentren (HGF); Ministerium fur Innovation, Wissenschaft und Forschung des Landes Nordrhein-Westfalen; Ministerium fur Wissenschaft, Forschung und Kunst des Landes Baden-Wurttemberg; Italy-Istituto Nazionale di Fisica Nucleare (INFN); Istituto Nazionale di Astrofisica (INAF); Ministero dell'Istruzione, dell'Universita e della Ricerca (MIUR); CETEMPS Center of Excellence; Ministero degli Affari Esteri (MAE); Mexico-Consejo Nacional de Ciencia y Tecnologia (CONACYT) No.; r r r r r 167733; Universidad Nacional Autonoma de Mexico (UNAM); PAPIIT DGAPA-UNAM; The Netherlands - Ministerie van Onderwijs, Cultuur en Wetenschap; Nederlandse Organisatie voor Wetenschappelijk Onderzoek (NWO); Stichting voor Fundamenteel Onderzoek der Materie (FOM); Poland-National Centre for Research and Development, grant Nos. ERA-NET-ASPERA/01/11 and ERA-NET-ASPERA/02/11; National Science Centre, grant Nos. 2013/08/M/ST9/00322, 2013/08/M/ST9/00728, and HARMONIA 5-2013/10/M/ST9/00062, UMO-2016/22/M/ST9/00198; Portugal-Portuguese national funds and FEDER funds within Programa Operacional Factores de Competitividade through Fundacao para a Ciencia e a Tecnologia (COMPETE); Romania-Romanian Authority for Scientific Research ANCS; CNDI-UEFISCDI partnership projects grant Nos. 20/2012 and 194/2012 and PN 16 42 01 02; Slovenia-Slovenian Research Agency; Spain-Comunidad de Madrid; Fondo Europeo de Desarrollo Regional (FEDER) funds; Ministerio de Economia y Competitividad; Xunta de Galicia; European Community 7th Framework Program grant No. FP7-PEOPLE-2012-IEF-328826; USA-Department of Energy, Contract Nos. DE-AC02-07CH11359, DE-FR02-04ER41300, DE-FG02-99ER41107, and DE-SC0011689; National Science Foundation, grant No.r 0450696; The Grainger Foundation; Marie Curie-IRSES/EPLANET; European Particle Physics Latin American Network; European Union 7th Framework Program, grant No. PIRSES-2009-GA-246806; European Union's Horizon 2020 research and innovation programme (grant No. 646623); and UNESCO.r (Australian Radio) T.M. acknowledges the support of the Australian Research Council through grant FT150100099. S.O. acknowledges the Australian Research Council grant Laureate Fellowship FL15010014. D.L.K. and I.S.B. are additionally supported by NSF grant AST-141242. P.A.B. and the DFN team acknowledge the Australian Research Council for support under their Australian Laureate Fellowship scheme. The Australia Telescope Compact Array is part of the Australia Telescope National Facility, which is funded by the Australian Government for operation as a National Facility managed by CSIRO. This scientific work makes use of the Murchison Radio-astronomy Observatory, operated by CSIRO. We acknowledge the Wajarri Yamatji people as the traditional owners of the Observatory site. Support for the operation of the MWA is provided by the Australian Government (NCRIS), under a contract to Curtin University administered by Astronomy Australia Limited. We acknowledge the Pawsey Supercomputing Centre, which is supported by the Western Australian and Australian Governments. The Australian SKA Pathfinder is part of the Australia Telescope National Facility, which is managed by CSIRO. Operation of ASKAP is funded by the Australian Government with support from the National Collaborative Research Infrastructure Strategy. ASKAP uses the resources of the Pawsey Supercomputing Centre. Establishment of ASKAP, the Murchison Radio-astronomy Observatory and the Pawsey Supercomputing Centre are initiatives of the Australian Government, with support from the Government of Western Australia and the Science and Industry Endowment Fund. Parts of this research were conducted by the Australian Research Council Centre of Excellence for All-sky Astrophysics in 3D (ASTRO 3D) through project number CE170100013.r (Berger Time-Domain Group) The Berger Time-Domain Group at Harvard is supported in part by the NSF through grants AST-1411763 and AST-1714498, and by NASA through grants NNX15AE50G and NNX16AC22G.r (Bootes) A.J.C.T.; r r r r r acknowledges support from the Spanish Ministry Project AYA 2015-71718-R (including FEDER funds) and Junta de Andalucia Proyecto de Excelencia TIC-2839. I.H.P. acknowledges the support of the National Research Foundation (NRF-2015R1A2A1A01006870). S.J. acknowledges the support of Korea Basic Science Research Program (NRF2014R1A6A3A03057484 and NRF-2015R1D1A4A01020961). The BOOTES-5/JGT observations were carried out at Observatorio Astronomico Nacional in San Pedro Martir (OAN-SPM, Mexico), operated by Instituto de Astronomia, UNAM and with support from Consejo Nacional de Ciencia y Tecnologia (Mexico) through the Laboratorios Nacionales Program (Mexico), Instituto de Astrofisica de Andalucia (IAA-CSIC, Spain) and Sungkyunkwan University (SKKU, South Korea). We also thank the staff of OAN-SPM for their support in carrying out the observations.r (CAASTRO) Parts of this research were conducted by the Australian Research Council Centre of Excellence for All-sky Astrophysics (CAASTRO), through project number CE110001020. The national facility capability for SkyMapper has been funded through ARC LIEF grant LE130100104 from the Australian Research Council, awarded to the University of Sydney, the Australian National University, Swinburne University of Technology, the University of Queensland, the University of Western Australia, the University of Melbourne, Curtin University of Technology, Monash University, and the Australian Astronomical Observatory. SkyMapper is owned and operated by The Australian National University's Research School of Astronomy and Astrophysics.r (CALET) The CALET team gratefully acknowledges support from NASA, ASI, JAXA, and MEXT KAKENHI grant numbers JP 17H06362, JP26220708, and JP17H02901.r (Chandra/McGill) This work was supported in part by Chandra Award Number GO7-18033X, issued by the Chandra X-ray Observatory Center, which is operated by the Smithsonian Astrophysical Observatory for and on behalf of the National Aeronautics Space Administration (NASA) under contract NAS8-03060. D.H., M.N., and J.J.R. acknowledge support from a Natural Sciences and Engineering Research Council of Canada (NSERC) Discovery Grant and a Fonds de recherche du Quebec-Nature et Technologies (FRQNT) Nouveaux Chercheurs Grant. P.A.E. acknowledges UKSA support. J.A.K. acknowledges the support of NASA grant NAS5-00136. D.H. also acknowledges support from the Canadian Institute for Advanced Research (CIFAR).r (CZTI/AstroSat) CZTI is built by a TIFR-led consortium of institutes across India, including VSSC, ISAC, IUCAA, SAC, and PRL. The Indian Space Research Organisation funded, managed, and facilitated the project.r (DLT40) D.J.S. acknowledges support for the DLT40 program from NSF grant AST-1517649.r (EuroVLBI) The European VLBI Network is a joint facility of independent European, African, Asian, and North American radio astronomy institutes. Scientific results from data presented in this publication are derived from the following EVN project code: RP029. e-MERLIN is a National Facility operated by the University of Manchester at Jodrell Bank Observatory on behalf of STFC. The collaboration between LIGO/Virgo and EVN/e-MERLIN is part of a project that has received funding from the European Unions Horizon 2020 research and innovation programme under grant agreement No. 653477.r (ePESSTO) We acknowledge ESO programs 199.D-0143 and 099.D-0376. PS1 and ATLAS are supported by NASA grants NNX08AR22G, NNX12AR65G, NNX14AM74G, and NNX12AR55G. We acknowledge the Leibniz-Prize to Prof. G.; r r r r r Hasinger (DFG grant HA 1850/28-1), EU/FP7-ERC grants 291222, 615929, 647208, 725161, STFC grants ST/P000312/1 and ERF ST/M005348/1, ST/P000495/1. Marie Sklodowska-Curie grant No 702538. Polish NCN grant OPUS 2015/17/B/ST9/03167, Knut and Alice Wallenberg Foundation. PRIN-INAF 2014. David and Ellen Lee Prize Postdoctoral Fellowship at the California Institute of Technology. Alexander von Humboldt Sofja Kovalevskaja Award. Royal Society-Science Foundation Ireland Vilho, Yrjo and Kalle Vaisala Foundation. FONDECYT grant number 3160504. US NSF grant AST-1311862. Swedish Research Council and the Swedish Space Board. The Quantum Universe I-Core program, the ISF, BSF, and Kimmel award. IRC grant GOIPG/2017/1525. Australian Research Council CAASTRO CE110001020 and grant FT160100028. We acknowledge Millennium Science Initiative grant IC120009.r (Fermi-GBM) B.C., V.C., A.G., and W.S.P. gratefully acknowledge NASA funding through contract NNM13AA43C. M.S.B., R.H., P.J., C.A.M., S.P., R.D.P., M.S., and P.V. gratefully acknowledge NASA funding from cooperative agreement NNM11AA01A. E.B. is supported by an appointment to the NASA Postdoctoral Program at the Goddard Space Flight Center, administered by Universities Space Research Association under contract with NASA. D.K., C.A.W.H., C.M.H., and J.R. gratefully acknowledge NASA funding through the Fermi-GBM project. Support for the German contribution to GBM was provided by the Bundesministerium fur Bildung und Forschung (BMBF) via the Deutsches Zentrum fur Luft und Raumfahrt (DLR) under contract number 50 QV 0301. A.v.K. was supported by the Bundesministeriums fur Wirtschaft und Technologie (BMWi) through DLR grant 50 OG 1101. S.M.B. acknowledges support from Science Foundation Ireland under grant 12/IP/1288.r (Fermi-LAT) The Fermi-LAT Collaboration acknowledges support for LAT development, operation, and data analysis from NASA and DOE (United States), CEA/Irfu and IN2P3/CNRS (France), ASI and INFN (Italy), MEXT, KEK, and JAXA (Japan), and the K. A. Wallenberg Foundation, the Swedish Research Council and the National Space Board (Sweden). Science analysis support in the operations phase from INAF (Italy) and CNES (France) is also gratefully acknowledged. This work performed in part under DOE Contract DE-AC02-76SF00515.r (FRBSG) S.L.L. is supported by NSF grant PHY-1607291 (LIU). Construction of the LWA has been supported by the Office of Naval Research under Contract N00014-07-C0147. Support for operations and continuing development of the LWA1 is provided by the National Science Foundation under grants AST-1139963 and AST-1139974 of the University Radio Observatory program.r (GRAWITA) We acknowledge INAF for supporting the project Gravitational Wave Astronomy with the first detections of adLIGO and adVIRGO experiments-GRAWITA PI: E. Brocato. Observations are made with ESO Telescopes at the Paranal Observatory under programmes ID 099.D-0382 (PI: E. Pian), 099.D-0622 (PI: P. D'Avanzo), 099.D-0191 (PI: A. Grado), 099.D-0116 (PI: S. Covino) and with the REM telescope at the ESO La Silla Observatory under program ID 35020 (PI: S. Campana). We thank the ESO operation staff for excellent support of this program. The Sardinia Radio Telescope (SRT) is funded by the Department of University and Research (MIUR), the Italian Space Agency (ASI), and the Autonomous Region of Sardinia (RAS) and is operated as National Facility by the National Institute for Astrophysics (INAF). Z.J. is supported by the External Cooperation Program of BIC (number 114332KYSB20160007). J.M.; r r r r r is supported by the Hundred Talent Program, the Major Program of the Chinese Academy of Sciences (KJZD-EW-M06), the National Natural Science Foundation of China 11673062, and the Oversea Talent Program of Yunnan Province. R.L.C. Starling, K.W., A.B.H., N.R.T., and C.G.M. are supported by the STFC (Science and Technology Facilities Council). D.K., acknowledges the financial support from the Slovenian Research Agency (P1-0188). S.K. and A.N.G. acknowledge support by grant DFG Kl 766/16-3. D.G. acknowledges the financial support of the UnivEarthS Labex program at Sorbonne Paris Cite (ANR-10-LABX-0023 and ANR-11-IDEX-0005-02). K.T. was supported by JSPS grant 15H05437 and by a JST Consortia grant.r (GROND) Part of the funding for GROND was generously granted from the Leibniz-Prize to Prof. G. Hasinger (DFG grant HA 1850/28-1). We acknowledge the excellent help in obtaining GROND data from Angela Hempel, Markus Rabus and Regis Lachaume on La Silla.r (GROWTH, JAGWAR, Caltech-NRAO, TTU-NRAO, and NuSTAR) This work was supported by the GROWTH (Global Relay of Observatories Watching Transients Happen) project funded by the National Science Foundation under PIRE grant No. 1545949. GROWTH is a collaborative project among California Institute of Technology (USA), University of Maryland College Park (USA), University of Wisconsin-Milwaukee (USA), Texas Tech University (USA), San Diego State University (USA), Los Alamos National Laboratory (USA), Tokyo Institute of Technology (Japan), National Central University (Taiwan), Indian Institute of Astrophysics (India), Inter-University Center for Astronomy and Astrophysics (India), Weizmann Institute of Science (Israel), The Oskar Klein Centre at Stockholm University (Sweden), Humboldt University (Germany), Liverpool John Moores University (UK). A.H. acknowledges support by the I-Core Program of the Planning and Budgeting Committee and the Israel Science Foundation. T.M. acknowledges the support of the Australian Research Council through grant FT150100099. Parts of this research were conducted by the Australian Research Council Centre of Excellence for All-sky Astrophysics (CAASTRO), through project number CE110001020. The Australia Telescope Compact Array is part of the Australia Telescope National Facility which is funded by the Australian Government for operation as a National Facility managed by CSIRO. D.L.K. is additionally supported by NSF grant AST-1412421. A.A.M. is funded by the Large Synoptic Survey Telescope Corporation in support of the Data Science Fellowship Program. P.C.Y., C.C.N., and W.H.I. thank the support from grants MOST104-2923-M-008-004-MY5 and MOST106-2112-M-008-007. A.C. acknowledges support from the National Science Foundation CAREER award 1455090, CAREER: Radio and gravitational-wave emission from the largest explosions since the Big Bang. T.P. acknowledges the support of Advanced ERC grant TReX. B.E.C. thanks SMARTS 1.3 m Queue Manager Bryndis Cruz for prompt scheduling of the SMARTS observations. Basic research in radio astronomy at the Naval Research Laboratory (NRL) is funded by 6.1 Base funding. Construction and installation of VLITE was supported by NRL Sustainment Restoration and Maintenance funding. K.P.M.'s research is supported by the Oxford Centre for Astrophysical Surveys, which is funded through the Hintze Family Charitable Foundation. J.S. and A.G. are grateful for support from the Knut and Alice Wallenberg Foundation. GREAT is funded by the Swedish Research Council (V.R.). E.O.O.; r r r r r is grateful for the support by grants from the Israel Science Foundation, Minerva, Israeli ministry of Science, the US-Israel Binational Science Foundation, and the I-CORE Program of the Planning and Budgeting Committee and The Israel Science Foundation. We thank the staff of the GMRT that made these observations possible. The GMRT is run by the National Centre for Radio Astrophysics of the Tata Institute of Fundamental Research. AYQH was supported by a National Science Foundation Graduate Research Fellowship under grant No. DGE-1144469. S.R. has been supported by the Swedish Research Council (VR) under grant number 2016 03657 3, by the Swedish National Space Board under grant number Dnr. 107/16 and by the research environment grant Gravitational Radiation and Electromagnetic Astrophysical Transients (GREAT) funded by the Swedish Research council (V.R.) under Dnr. 2016-06012.r We acknowledge the support of the Science and Engineering Research Board, Department of Science and Technology, India and the Indo-US Science and Technology Foundation for the GROWTH-India project.r (HAWC) We acknowledge the support from: the US National Science Foundation (NSF); the US Department of Energy Office of High-Energy Physics; the Laboratory Directed Research and Development (LDRD) program of Los Alamos National Laboratory; Consejo Nacional de Ciencia y Tecnologia (CONACyT), Mexico (grants 271051, 232656, 167281, 260378, 179588, 239762, 254964, 271737, 258865, 243290); Red HAWC, Mexico; DGAPA-UNAM (grants RG100414, IN111315, IN111716-3, IA102715, 109916); VIEP-BUAP; the University of Wisconsin Alumni Research Foundation; the Institute of Geophysics, Planetary Physics, and Signatures at Los Alamos National Laboratory; Polish Science Centre grant DEC-2014/13/B/ST9/945. We acknowledge the support of the Science and Engineering Research Board, Department of Science and Technology, India and the Indo-US Science and Technology Foundation for the GROWTH-India project.r (H.E.S.S.) The support of the Namibian authorities and of the University of Namibia in facilitating the construction and operation of H.E.S.S. is gratefully acknowledged, as is the support by the German Ministry for Education and Research (BMBF), the Max Planck Society, the German Research Foundation (DFG), the Alexander von Humboldt Foundation, the Deutsche Forschungsgemeinschaft, the French Ministry for Research, the CNRS-IN2P3 and the Astroparticle Interdisciplinary Programme of the CNRS, the U.K. Science and Technology Facilities Council (STFC), the IPNP of the Charles University, the Czech Science Foundation, the Polish National Science Centre, the South African Department of Science and Technology and National Research Foundation, the University of Namibia, the National Commission on Research, Science and Technology of Namibia (NCRST), the Innsbruck University, the Austrian Science Fund (FWF), and the Austrian Federal Ministry for Science, Research and Economy, the University of Adelaide and the Australian Research Council, the Japan Society for the Promotion of Science and by the University of Amsterdam. We appreciate the excellent work of the technical support staff in Berlin, Durham, Hamburg, Heidelberg, Palaiseau, Paris, Saclay, and in Namibia in the construction and operation of the equipment. This work benefited from services provided by the H.E.S.S. Virtual Organisation, supported by the national resource providers of the EGI Federation.; r r r r r r (Insight-HXMT) The Insight-HXMT team acknowledges the support from the China National Space Administration (CNSA), the Chinese Academy of Sciences (CAS; grant No. XDB23040400), and the Ministry of Science and Technology of China (MOST; grant No. 2016YFA0400800).r (IceCube) We acknowledge the support from the following agencies: U.S. National Science Foundation-Office of Polar Programs, U.S. National Science Foundation-Physics Division, University of Wisconsin Alumni Research Foundation, the Grid Laboratory of Wisconsin (GLOW) grid infrastructure at the University of Wisconsin-Madison, the Open Science Grid (OSG) grid infrastructure; U.S. Department of Energy, and National Energy Research Scientific Computing Center, the Louisiana Optical Network Initiative (LONI) grid computing resources; Natural Sciences and Engineering Research Council of Canada, WestGrid and Compute/Calcul Canada; Swedish Research Council, Swedish Polar Research Secretariat, Swedish National Infrastructure for Computing (SNIC), and Knut and Alice Wallenberg Foundation, Sweden; German Ministry for Education and Research (BMBF), Deutsche Forschungsgemeinschaft (DFG), Helmholtz Alliance for Astroparticle Physics (HAP), Initiative and Networking Fund of the Helmholtz Association, Germany; Fund for Scientific Research (FNRS-FWO), FWO Odysseus programme, Flanders Institute to encourage scientific and technological research in industry (IWT), Belgian Federal Science Policy Office (Belspo); Marsden Fund, New Zealand; Australian Research Council; Japan Society for Promotion of Science (JSPS); the Swiss National Science Foundation (SNSF), Switzerland; National Research Foundation of Korea (NRF); Villum Fonden, Danish National Research Foundation (DNRF), Denmark.r (IKI-GW) A.S.P., A.A.V., E.D.M., and P.Y.u.M. acknowledge the support from the Russian Science Foundation (grant 15-1230015). V.A.K., A.V.K., and I.V.R. acknowledge the Science and Education Ministry of Kazakhstan (grant No. 0075/GF4). R.I. is grateful to the grant RUSTAVELI FR/379/6-300/14 for partial support. We acknowledge the excellent help in obtaining Chilescope data from Sergei Pogrebsskiy and Ivan Rubzov.r (INTEGRAL) This work is based on observations with INTEGRAL, an ESA project with instruments and science data center funded by ESA member states (especially the PI countries: Denmark, France, Germany, Italy, Switzerland, Spain), and with the participation of Russia and the USA. The INTEGRAL SPI project has been completed under the responsibility and leadership of CNES. The SPI-ACS detector system has been provided by MPE Garching/Germany. The SPI team is grateful to ASI, CEA, CNES, DLR, ESA, INTA, NASA, and OSTC for their support. The Italian INTEGRAL team acknowledges the support of ASI/INAF agreement No. 2013-025-R.1. R.D. and A.v.K. acknowledge the German INTEGRAL support through DLR grant 50 OG 1101. A.L. and R.S. acknowledge the support from the Russian Science Foundation (grant 14-22-00271). A.D. is funded by Spanish MINECO/FEDER grant ESP2015-65712-C5-1-R.r (IPN) K.H. is grateful for support under NASA grant NNX15AE60G. R.L.A. and D.D.F. are grateful for support under RFBR grant 16-29-13009-ofi-m.; r r r r r r (J-GEM) MEXT KAKENHI (JP17H06363, JP15H00788, JP24103003, JP10147214, JP10147207), JSPS KAKENHI (JP16H02183, JP15H02075, JP15H02069, JP26800103, JP25800103), Inter-University Cooperation Program of the MEXT, the NINS program for cross-disciplinary science study, the Toyota Foundation (D11-R-0830), the Mitsubishi Foundation, the Yamada Science Foundation, Inoue Foundation for Science, the National Research Foundation of South Africa.r (KU) The Korea-Uzbekistan Consortium team acknowledges the support from the NRF grant No. 2017R1A3A3001362, and the KASI grant 2017-1-830-03. This research has made use of the KMTNet system operated by KASI.r (Las Cumbres) Support for I. A. and J.B. was provided by NASA through the Einstein Fellowship Program, grants PF6-170148 and PF7-180162, respectively. D.A.H., C.M., and G.H. are supported by NSF grant AST-1313484. D.P. and D..M acknowledge support by Israel Science Foundation grant 541/17. This work makes use of observations from the LCO network.r (LIGO and Virgo) The authors gratefully acknowledge the support of the United States National Science Foundation (NSF) for the construction and operation of the LIGO Laboratory and Advanced LIGO as well as the Science and Technology Facilities Council (STFC) of the United Kingdom, the Max-Planck- Society (MPS), and the State of Niedersachsen/Germany for support of the construction of Advanced LIGO and construction and operation of the GEO600 detector. Additional support for advanced LIGO was provided by the Australian Research Council. The authors gratefully acknowledge the Italian Istituto Nazionale di Fisica Nucleare (INFN), the French Centre National de la Recherche Scientifique (CNRS) and the Foundation for Fundamental Research on Matter supported by the Netherlands Organisation for Scientific Research, for the construction and operation of the Virgo detector and the creation and support of the EGO consortium.; ; </t>
  </si>
  <si>
    <t>IOP Publishing Ltd</t>
  </si>
  <si>
    <t>BRISTOL</t>
  </si>
  <si>
    <t>TEMPLE CIRCUS, TEMPLE WAY, BRISTOL BS1 6BE, ENGLAND</t>
  </si>
  <si>
    <t>2041-8205</t>
  </si>
  <si>
    <t>2041-8213</t>
  </si>
  <si>
    <t>ASTROPHYS J LETT</t>
  </si>
  <si>
    <t>Astrophys. J. Lett.</t>
  </si>
  <si>
    <t>L12</t>
  </si>
  <si>
    <t>10.3847/2041-8213/aa91c9</t>
  </si>
  <si>
    <t>Astronomy &amp; Astrophysics</t>
  </si>
  <si>
    <t>FK1AB</t>
  </si>
  <si>
    <t>Green Published, Green Accepted, hybrid, Green Submitted</t>
  </si>
  <si>
    <t>Y</t>
  </si>
  <si>
    <t>N</t>
  </si>
  <si>
    <t>WOS:000413211000001</t>
  </si>
  <si>
    <t>de Baar, HJW; van Heuven, SMAC; Abouchami, W; Xue, ZC; Galer, SJG; Rehkämper, M; Middag, R; van Ooijen, J</t>
  </si>
  <si>
    <t>de Baar, Hein J. W.; van Heuven, Steven M. A. C.; Abouchami, Wafa; Xue, Zichen; Galer, Stephen J. G.; Rehkamper, Mark; Middag, Rob; van Ooijen, Jan</t>
  </si>
  <si>
    <t>Interactions of dissolved CO2 with cadmium isotopes in the Southern Ocean</t>
  </si>
  <si>
    <t>MARINE CHEMISTRY</t>
  </si>
  <si>
    <t>Cadmium; Carbon dioxide; Southern Ocean; Isotopes</t>
  </si>
  <si>
    <t>NATURAL ORGANIC-LIGANDS; IRON LIMITATION; ZINC SPECIATION; ATLANTIC SECTOR; PHYTOPLANKTON GROWTH; PHOSPHORUS RATIO; CARBON-DIOXIDE; TRACE-ELEMENTS; PACIFIC-OCEAN; GLOBAL OCEAN</t>
  </si>
  <si>
    <t>Here we report the first ever observations of a strong correlation in ocean surface waters of the dissolved delta Cd-114 with dissolved CO2. This is observed in the Southern Ocean along the 0 degrees W meridian in both the Antarctic Circumpolar Current and the Weddell Gyre, as well as in the Weddell Sea proper, near the Antarctic Peninsula and in Drake Passage. This uniform trend in several surface water masses hints at a uniform biochemical mechanism within the Southern Ocean. One hypothesis for the underlying mechanism would be a role of Cd in the carbonic anhydrase function for conversion of bicarbonate ion [HCO3-] into CO2, the latter being required by RuBisCO (ribulose-1,5-bisphosphate carboxylase/oxygenase) that only accepts CO2. At low ambient [CO2] the algae maintain growth by also operating a Carbon Concentrating Mechanism (CCM) for utilization of [HCO3-] and its conversion to CO2. For this the algae need more enzyme carbonic anhydrase that normally has Zn as its co-factor, but Cd may substitute for Zn and there also are Cd-specific carbonic anhydrases known for some phytoplankton species. Indeed in incubations of the local plankton communities it is shown that the phytoplankton have a very strong preferential uptake of CO2, such that the uptake ratio {[CO2]/[HCO3-]} is much higher than the dissolved ratio {[CO2]/[HCO3-]} in ambient seawater. Therefore the here reported observations in the Southern Ocean are also expressed for delta Cd-114 as function of the ratio {[CO2]/[HCO3-]} in ambient seawater. Future research of local phytoplankton in unperturbed natural waters of the Southern Ocean is recommended to be able to verify the hypothesis of a function of Cd in carbonic anhydrase in Antarctic phytoplankton.</t>
  </si>
  <si>
    <t>[de Baar, Hein J. W.; van Heuven, Steven M. A. C.; Middag, Rob; van Ooijen, Jan] NIOZ Royal Netherlands Inst Sea Res, Dept Ocean Syst, POB 59, NL-1790 AB Den Burg, Netherlands; [de Baar, Hein J. W.] Univ Groningen, Groningen, Netherlands; [van Heuven, Steven M. A. C.; Middag, Rob; van Ooijen, Jan] Univ Utrecht, POB 59, NL-1790 AB Den Burg, Netherlands; [Abouchami, Wafa] Inst Phys Globe Paris, 1 Rue Tussieu3, F-75005 Paris, France; [Xue, Zichen; Rehkamper, Mark] Imperial Coll London, Dept Earth Sci &amp; Engn, London SW7 2AZ, England; [Galer, Stephen J. G.] Max Planck Inst Chem, Biogeochem Dept, POB 3060, D-55020 Mainz, Germany</t>
  </si>
  <si>
    <t>Utrecht University; Royal Netherlands Institute for Sea Research (NIOZ); University of Groningen; Utrecht University; Universite Paris Cite; Imperial College London; Max Planck Society</t>
  </si>
  <si>
    <t>de Baar, HJW (corresponding author), Eeuwigelaan 28, NL-1861 CM Bergen, Netherlands.</t>
  </si>
  <si>
    <t>debaar@xs4all.nl</t>
  </si>
  <si>
    <t>Middag, Rob/D-6423-2013</t>
  </si>
  <si>
    <t>Middag, Rob/0000-0002-3326-530X</t>
  </si>
  <si>
    <t>Alfred Wegener Institute for Polar and Marine Research for participation in the ANT XXIV/3 expedition and sampling program; Netherlands Antarctic Program of the Netherlands Organization for Scientific Research (NWO) [851.40.002, 851.40.101, 834.05.005, 851.20.031]; Max Planck Society Research fellowship; UK NERC [NE/G008973/1]; NERC [NE/G008973/1, NE/H005390/1] Funding Source: UKRI; Natural Environment Research Council [NE/G008973/1, 1650466, NE/H005390/1] Funding Source: researchfish</t>
  </si>
  <si>
    <t>Alfred Wegener Institute for Polar and Marine Research for participation in the ANT XXIV/3 expedition and sampling program; Netherlands Antarctic Program of the Netherlands Organization for Scientific Research (NWO); Max Planck Society Research fellowship; UK NERC(UK Research &amp; Innovation (UKRI)Natural Environment Research Council (NERC)); NERC(UK Research &amp; Innovation (UKRI)Natural Environment Research Council (NERC)); Natural Environment Research Council(UK Research &amp; Innovation (UKRI)Natural Environment Research Council (NERC))</t>
  </si>
  <si>
    <t>This research is part of the international Geotraces program (www.geotraces.org) and was supported by the Alfred Wegener Institute for Polar and Marine Research for participation in the ANT XXIV/3 expedition and sampling program. Major support was provided by research grants International Polar Year (IPY) Geotraces (851.40.002), Dissolved Fe, Al and Mn in polar oceans (851.40.101), Observation facility of the Oceans in a High-CO2 World (834.05.005), Southern Ocean Primary Productivity in a High-CO2 World (851.20.031) from the Netherlands Antarctic Program of the Netherlands Organization for Scientific Research (NWO); from a Max Planck Society Research fellowship to WA; and from the UK NERC grant NE/G008973/1 to MR.</t>
  </si>
  <si>
    <t>ELSEVIER</t>
  </si>
  <si>
    <t>AMSTERDAM</t>
  </si>
  <si>
    <t>RADARWEG 29, 1043 NX AMSTERDAM, NETHERLANDS</t>
  </si>
  <si>
    <t>0304-4203</t>
  </si>
  <si>
    <t>1872-7581</t>
  </si>
  <si>
    <t>MAR CHEM</t>
  </si>
  <si>
    <t>Mar. Chem.</t>
  </si>
  <si>
    <t>10.1016/j.marchem.2017.06.010</t>
  </si>
  <si>
    <t>Chemistry, Multidisciplinary; Oceanography</t>
  </si>
  <si>
    <t>Chemistry; Oceanography</t>
  </si>
  <si>
    <t>FJ5JC</t>
  </si>
  <si>
    <t>hybrid, Green Published, Green Submitted</t>
  </si>
  <si>
    <t>WOS:000412786800012</t>
  </si>
  <si>
    <t>Padberg-Gehle, K; Schneide, C</t>
  </si>
  <si>
    <t>Padberg-Gehle, Kathrin; Schneide, Christiane</t>
  </si>
  <si>
    <t>Network-based study of Lagrangian transport and mixing</t>
  </si>
  <si>
    <t>NONLINEAR PROCESSES IN GEOPHYSICS</t>
  </si>
  <si>
    <t>TIME COHERENT SETS; DYNAMICAL-SYSTEMS; POLAR VORTEX; INVARIANT; BARRIERS; GEOMETRY; SPARSE</t>
  </si>
  <si>
    <t>Transport and mixing processes in fluid flows are crucially influenced by coherent structures and the characterization of these Lagrangian objects is a topic of intense current research. While established mathematical approaches such as variational methods or transfer-operatorbased schemes require full knowledge of the flow field or at least high-resolution trajectory data, this information may not be available in applications. Recently, different computational methods have been proposed to identify coherent behavior in flows directly from Lagrangian trajectory data, that is, numerical or measured time series of particle positions in a fluid flow. In this context, spatio-temporal clustering algorithms have been proven to be very effective for the extraction of coherent sets from sparse and possibly incomplete trajectory data. Inspired by these recent approaches, we consider an unweighted, undirected network, where Lagrangian particle trajectories serve as network nodes. A link is established between two nodes if the respective trajectories come close to each other at least once in the course of time. Classical graph concepts are then employed to analyze the resulting network. In particular, local network measures such as the node degree, the average degree of neighboring nodes, and the clustering coefficient serve as indicators of highly mixing regions, whereas spectral graph partitioning schemes allow us to extract coherent sets. The proposed methodology is very fast to run and we demonstrate its applicability in two geophysical flows - the Bickley jet as well as the Antarctic stratospheric polar vortex.</t>
  </si>
  <si>
    <t>[Padberg-Gehle, Kathrin; Schneide, Christiane] Leuphana Univ Luneburg, Inst Math &amp; Its Didact, Appl Math Grp, Univ Sallee 1, D-21335 Luneburg, Germany</t>
  </si>
  <si>
    <t>Leuphana University Luneburg</t>
  </si>
  <si>
    <t>Padberg-Gehle, K (corresponding author), Leuphana Univ Luneburg, Inst Math &amp; Its Didact, Appl Math Grp, Univ Sallee 1, D-21335 Luneburg, Germany.</t>
  </si>
  <si>
    <t>padberg@leuphana.de</t>
  </si>
  <si>
    <t>Padberg-Gehle, Kathrin/Y-3323-2019</t>
  </si>
  <si>
    <t>Padberg-Gehle, Kathrin/0000-0002-1761-213X; Schneide, Christiane/0000-0003-1024-6875</t>
  </si>
  <si>
    <t>Priority Programme Turbulent Superstructures of the Deutsche Forschungsgemeinschaft [SPP 1881, PA 1972/3-1]; EU Marie-Sklodowska-Curie ITN Critical Transitions in Complex Systems [H2020-MSCA-2014-ITN 643073 CRITICS]; Office of Naval Research [N00014-16-1-2492]</t>
  </si>
  <si>
    <t>Priority Programme Turbulent Superstructures of the Deutsche Forschungsgemeinschaft; EU Marie-Sklodowska-Curie ITN Critical Transitions in Complex Systems; Office of Naval Research(Office of Naval Research)</t>
  </si>
  <si>
    <t>We thank Gabor Drotos and the second anonymous reviewer for insightful comments and suggestions that helped improve and clarify this paper. This work is supported by the Priority Programme SPP 1881 Turbulent Superstructures of the Deutsche Forschungsgemeinschaft (PA 1972/3-1). Kathrin Padberg-Gehle also acknowledges funding from EU Marie-Sklodowska-Curie ITN Critical Transitions in Complex Systems (H2020-MSCA-2014-ITN 643073 CRITICS). We thank Naratip Santitissadeekorn for sharing code for the Antarctic polar vortex computations. Publication is supported by the Office of Naval Research under grant no. N00014-16-1-2492.</t>
  </si>
  <si>
    <t>1023-5809</t>
  </si>
  <si>
    <t>NONLINEAR PROC GEOPH</t>
  </si>
  <si>
    <t>Nonlinear Process Geophys.</t>
  </si>
  <si>
    <t>10.5194/npg-24-661-2017</t>
  </si>
  <si>
    <t>Geosciences, Multidisciplinary; Mathematics, Interdisciplinary Applications; Meteorology &amp; Atmospheric Sciences; Physics, Fluids &amp; Plasmas</t>
  </si>
  <si>
    <t>Geology; Mathematics; Meteorology &amp; Atmospheric Sciences; Physics</t>
  </si>
  <si>
    <t>FK2JU</t>
  </si>
  <si>
    <t>WOS:000413309300001</t>
  </si>
  <si>
    <t>d'Udekem d'Acoz, C; Verheye, ML</t>
  </si>
  <si>
    <t>d'Udekem d'Acoz, Cedric; Verheye, Marie L.</t>
  </si>
  <si>
    <t>Epimeria of the Southern Ocean with notes on their relatives (Crustacea, Amphipoda, Eusiroidea)</t>
  </si>
  <si>
    <t>EUROPEAN JOURNAL OF TAXONOMY</t>
  </si>
  <si>
    <t>Alexandrella; Amphipoda; Epimeria; Eusiroidea; Senticaudata; Southern Ocean</t>
  </si>
  <si>
    <t>GENUS EPIMERIA; ANTARCTIC PENINSULA; CRYPTIC SPECIATION; SPECIES CRUSTACEA; SEA; SHELF; MORPHOLOGY; DIVERSITY; BIOGEOGRAPHY; COMMUNITIES</t>
  </si>
  <si>
    <t>The present monograph includes general systematic considerations on the family Epimeriidae, a revision of the genus Epimeria Costa in Hope, 1851 in the Southern Ocean, and a shorter account on putatively related eusiroid taxa occurring in Antarctic and sub-Antarctic seas. The former epimeriid genera Actinacanthus Stebbing, 1888 and Paramphithoe Bruzelius, 1859 are transferred to other families, respectively to the Acanthonotozomellidae Coleman &amp; J.L. Barnard, 1991 and the herein re-established Paramphithoidae G.O. Sars, 1883, so that only Epimeria and Uschakoviella Gurjanova, 1955 are retained within the Epimeriidae Boeck, 1871. The genera Apherusa Walker, 1891 and Halirages Boeck, 1891, which are phylogenetically close to Paramphithoe, are also transferred to the Paramphithoidae. The validity of the suborder Senticaudata Lowry &amp; Myers, 2013, which conflicts with traditional and recent concepts of Eusiroidea Stebbing, 1888, is questioned. Eight subgenera are recognized for Antarctic and sub-Antarctic species of the genus Epimeria: Drakepimeria subgen. nov., Epimeriella K.H. Barnard, 1930, Hoplepimeria subgen. nov., Laevepimeria subgen. nov., Metepimeria Schellenberg, 1931, Pseudepimeria Chevreux, 1912, Subepimeria Bellan-Santini, 1972 and Urepimeria subgen. nov. The type subgenus Epimeria, as currently defined, does not occur in the Southern Ocean. Drakepimeria species are superficially similar to the type species of the genus Epimeria: E. cornigera (Fabricius, 1779), but they are phylogenetically unrelated and substantial morphological differences are obvious at a finer level. Twenty-seven new Antarctic Epimeria species are described herein: Epimeria (Drakepimeria) acanthochelon subgen. et sp. nov., E. (D.) anguloce subgen. et sp. nov., E. (D.) colemani subgen. et sp. nov., E. (D.) corbariae subgen. et sp. nov., E. (D.) cyrano subgen. et sp. nov., E. (D.) havermansiana subgen. et sp. nov., E. (D.) leukhoplites subgen. et sp. nov., E. (D.) loerzae subgen. et sp. nov., E. (D.) pandora subgen. et sp. nov., E. (D.) pyrodrakon subgen. et sp. nov., E. (D.) robertiana subgen. et sp. nov., Epimeria (Epimeriella) atalanta sp. nov., Epimeria (Hoplepimeria) cyphorachis subgen. et sp. nov., E. (H.) gargantua subgen. et sp. nov., E. (H.) linseae subgen. et sp. nov., E. (H.) quasimodo subgen. et sp. nov., E. (H.) xesta subgen. et sp. nov., Epimeria (Laevepimeria) anodon subgen. et sp. nov., E. (L.) cinderella subgen. et sp. nov., Epimeria (Pseudepimeria) amoenitas sp. nov., E. (P.) callista sp. nov., E. (P.) debroyeri sp. nov., E. (P.) kharieis sp. nov., Epimeria (Subepimeria) adeliae sp. nov., E. (S.) iota sp. nov., E. (S.) teres sp. nov. and E. (S.) urvillei sp. nov. The type specimens of E. (D.) macrodonta Walker, 1906, E. (D.) similis Chevreux, 1912, E. (H.) georgiana Schellenberg, 1931 and E. (H.) inermis Walker, 1903 are re-described and illustrated. Besides the monographic treatment of Epimeriidae from the Southern Ocean, a brief overview and identification keys are given for their putative and potential relatives from the same ocean, i.e., the Antarctic and sub-Antarctic members of the following eusiroid families: Acanthonotozomellidae Coleman &amp; J.L. Barnard, 1991, Dikwidae Coleman &amp; J.L. Barnard, 1991, Stilipedidae Holmes, 1908 and Vicmusiidae Just, 1990. This overview revealed the existence of a new large and characteristic species of Alexandrella Chevreux, 1911, A. chione sp. nov. but also shows that the taxonomy of that genus remains poorly known and that several 'variable widespread eurybathic species' probably are species complexes. Furthermore, the genera Bathypanoploea Schellenberg, 1939 and Astyroides Birstein &amp; Vinogradova, 1960 are considered to be junior synonyms of Alexandrella. Alexandrella mixta Nicholls, 1938 and A. pulchra Ren in Ren &amp; Huang, 1991 are re-established herein, as valid species. It is pointed out that this insufficient taxonomic knowledge of Antarctic amphipods impedes ecological and biogeographical studies requiring precise identifications. Stacking photography was used for the first time to provide iconographic support in amphipod taxonomy, and proves to be a rapid and efficient illustration method for large tridimensionally geometric species. A combined morphological and molecular approach was used whenever possible for distinguishing Epimeria species, which were often very similar (albeit never truly cryptic) and sometimes exhibited allometric and individual variations. However in several cases, taxa were characterized by morphology only, whenever the specimens available for study were inappropriately fixed or when no sequences could be obtained. A large number of Epimeria species, formerly considered as eurybathic and widely distributed, proved to be complexes of species, with a narrower (overlapping or not) distribution. The distributional range of Antarctic Epimeria is very variable from species to species. Current knowledge indicates that some species from the Scotia Arc and the tip of the Antarctic Peninsula are narrow range endemics, sometimes confined to one island, archipelago, or ridge (South Georgia, South Orkney Islands, Elephant Island or Bruce Ridge); other species have a distribution encompassing a broader region, such as the eastern shelf of the Weddell Sea, or extending from the eastern shelf of the Weddell Sea to Adelie Coast. The most widely distributed species are E. (D.) colemani subgen. et sp. nov., E. (E.) macronyx (Walker, 1906), E. (H.) inermis Walker, 1903 and E. (L.) walkeri (K. H. Barnard, 1930), which have been recorded from the Antarctic Peninsula/South Shetland Islands area to the western Ross Sea. Since restricted distributions are common among Antarctic and sub-Antarctic Epimeria, additional new species might be expected in areas such as the Kerguelen Plateau, eastern Ross Sea, Amundsen Sea and the Bellingshausen Sea or isolated seamounts and ridges, where there are currently no Epimeria recorded. The limited distribution of many Epimeria species of the Southern Ocean is presumably related to the poor dispersal capacity in most species of the genus. Indeed with the exception of the pelagic and semipelagic species of the subgenus Epimeriella, they are heavy strictly benthic organisms without larval stages, and they have no exceptional level of eurybathy for Antarctic amphipods. Therefore, stretches deeper than 1000 m seem to be efficient geographical barriers for many Epimeria species, but other isolating factors (e.g., large stretches poor in epifauna) might also be at play. The existence of endemic shelf species with limited dispersal capacities in the Southern Ocean (like many Epimeria) suggests the existence of multiple ice-free shelf or upper slope refugia during the Pleistocene glaciations within the distributional and bathymetric range of these species. Genera with narrow range endemics like Epimeria would be excellent model taxa for locating hotspots of Antarctic endemism, and thus potentially play a role in proposing meaningful Marine Protected Areas (MPAs) in the Southern Ocean.</t>
  </si>
  <si>
    <t>[d'Udekem d'Acoz, Cedric] Royal Belgian Inst Nat Sci, Serv Heritage, Rue Vautier 29, B-1000 Brussels, Belgium; [Verheye, Marie L.] Royal Belgian Inst Nat Sci, Operat Direct Taxon &amp; Phylogeny, Rue Vautier 29, B-1000 Brussels, Belgium</t>
  </si>
  <si>
    <t>Royal Belgian Institute of Natural Sciences; Royal Belgian Institute of Natural Sciences</t>
  </si>
  <si>
    <t>d'Udekem d'Acoz, C (corresponding author), Royal Belgian Inst Nat Sci, Serv Heritage, Rue Vautier 29, B-1000 Brussels, Belgium.</t>
  </si>
  <si>
    <t>cdudekem@naturalsciences.be; mverheye@naturalsciences.be</t>
  </si>
  <si>
    <t>Verheye, Marie/0000-0001-8702-9292</t>
  </si>
  <si>
    <t>Digit 3 program of BELSPO; FRIA (FNRS, Belgium); Scientific Research Programme on the Antarctic of the Belgian Federal Science Policy (BELSPO) [SD/BA/02A]; Fonds Leopold III; Institut polaire francais Paul Emile Victor (IPEV); Museum national d'Histoire naturelle (MNHN); Australian Antarctic Division; Japanese Science Foundation; Institut polaire francais Paul Emile Victor (IPEV) (programme ICOTA); Belgian Science Policy Office (BELSPO) [BR/132/A1/vERSO, BR/154/A1/RECTO]</t>
  </si>
  <si>
    <t>Digit 3 program of BELSPO; FRIA (FNRS, Belgium)(Fonds de la Recherche Scientifique - FNRS); Scientific Research Programme on the Antarctic of the Belgian Federal Science Policy (BELSPO); Fonds Leopold III; Institut polaire francais Paul Emile Victor (IPEV); Museum national d'Histoire naturelle (MNHN); Australian Antarctic Division; Japanese Science Foundation; Institut polaire francais Paul Emile Victor (IPEV) (programme ICOTA); Belgian Science Policy Office (BELSPO)(Belgian Federal Science Policy Office)</t>
  </si>
  <si>
    <t>The morphological part of this study was carried out by the first author and was funded by the Digit 3 program of BELSPO. The genetic study was carried out by the second author and was supported by a PhD fellowship from FRIA (FNRS, Belgium). The participation of the first author to the cruise ANT-XXIII/8 was carried out in the framework of the BIANZO II project, supported by the Scientific Research Programme on the Antarctic of the Belgian Federal Science Policy (BELSPO contract SD/BA/02A). The travel expenses of the authors during ANT-XXIX/3 were funded by the Fonds Leopold III. The research programme led by Guillaume Lecointre REVOLTA 1124 supported by the Institut polaire francais Paul Emile Victor (IPEV) and the Museum national d'Histoire naturelle (MNHN) (via Laure Corbari) are acknowledged for giving us access to a biological material of invaluable interest. The CAML-CEAMARC cruise of RSV Aurora Australis (IPY project no 53) were supported by the Australian Antarctic Division, the Japanese Science Foundation and the Institut polaire francais Paul Emile Victor (IPEV) (programme ICOTA). Karin Sindemark Kronestedt (Naturhistoriska Riksmuseet, Stockholm) sent us the largest syntype (now lectotype) of Epimeria georgiana for study. Miranda Lowe (Natural History Museum, London) sent us the holotype of Epimeria inermis and the syntypes of E. macrodonta for study. We are deeply indebted to them for their support. This publication is registered as CAML (Census of Antarctic Marine Life) publication No. 165 and ANDEEP contribution No. 211. This is contribution no. 14 to the vERSO project and contribution no. 2 of the RERCTO project, funded by the Belgian Science Policy Office (BELSPO, contracts no BR/132/A1/vERSO and no BR/154/A1/RECTO). We thank the Alfred-Wegener-Institut, Helmholtz-Zentrum fur Polar-und Meeresforschung (AWI) and the captain, crew and chief scientists of various RV Polarstern expeditions for their efficiency, and especially those of the ANT-XXIII/8 and ANT-XXIX/3 expeditions (chief scientist in both cases: Julian Gutt), to which respectively the first and both authors took part. Present and past colleagues of the staff of the Royal Belgian Institute of Natural Sciences (especially Claude De Broyer, Gauthier Chapelle, Fabienne Nyssen, Henri Robert and Charlotte Havermans) are acknowledged for collecting specimens of invaluable importance. Stefan Hain (AWI) provided the RBINS with a small but very interesting collection of amphipods from Signy Island. Some colour photographs of Epimeria published herein were carried out by Frederic Busson (Museum national d'Histoire naturelle, Paris) and Cyril Gallut (Universite Pierre et Marie Curie), Armin Rose (formerly AWI), Henri Robert (RBINS), Charlotte Havermans (RBINS), Gauthier Chapelle (formerly RBINS) and Martin Rauschert (AWI). The maps were generated by Anton Van de Putte (RBINS). Claude De Broyer carried out a critical reading of the manuscript and made useful remarks and suggestions. Sammy De Grave (Oxford University Museum of Natural History) improved the English and made some useful remarks. Charles Oliver Coleman (Museum fur Naturkunde, Berlin) and Anne-Nina Lorz (formerly NIWA) kindly replied to various questions that we asked them on Epimeria. Michael Thurston (National Oceanography Centre, Southampton) gave us useful comments on nomenclatural issues. Finally, Wolf Arntz (AWI) provided us with printproofs of his colour guide on macrobenthic Antarctic organisms (co-authored with Martin Rauschert), before it was published.</t>
  </si>
  <si>
    <t>MUSEUM NATL HISTOIRE NATURELLE</t>
  </si>
  <si>
    <t>PARIS</t>
  </si>
  <si>
    <t>SERVICE PUBLICATIONS SCIENTIFIQUES, 57 RUE CUVIER, 75005 PARIS, FRANCE</t>
  </si>
  <si>
    <t>2118-9773</t>
  </si>
  <si>
    <t>EUR J TAXON</t>
  </si>
  <si>
    <t>Eur. J. Taxon.</t>
  </si>
  <si>
    <t>OCT 17</t>
  </si>
  <si>
    <t>10.5852/ejt.2017.359</t>
  </si>
  <si>
    <t>Plant Sciences; Entomology; Zoology</t>
  </si>
  <si>
    <t>FK0RO</t>
  </si>
  <si>
    <t>Green Submitted, gold, Green Published</t>
  </si>
  <si>
    <t>WOS:000413187600001</t>
  </si>
  <si>
    <t>Pacelli, C; Selbmann, L; Moeller, R; Zucconi, L; Fujimori, A; Onofri, S</t>
  </si>
  <si>
    <t>Pacelli, Claudia; Selbmann, Laura; Moeller, Ralf; Zucconi, Laura; Fujimori, Akira; Onofri, Silvano</t>
  </si>
  <si>
    <t>Cryptoendolithic Antarctic Black Fungus Cryomyces antarcticus Irradiated with Accelerated Helium Ions: Survival and Metabolic Activity, DNA and Ultrastructural Damage</t>
  </si>
  <si>
    <t>FRONTIERS IN MICROBIOLOGY</t>
  </si>
  <si>
    <t>cosmic rays; extremophiles; extremotolerance; fungi; HZE particles; He2+ ions; space radiation environment</t>
  </si>
  <si>
    <t>HALOBACTERIUM-SALINARUM NRC-1; HALOCOCCUS-HAMELINENSIS; IONIZING-RADIATION; SPACE; EARTH; MARS; LIFE; MICROORGANISMS; ASTROBIOLOGY; EXPLORATION</t>
  </si>
  <si>
    <t>Space represents an extremely harmful environment for life and survival of terrestrial organisms. In the last decades, a considerable deal of attention was paid to characterize the effects of spaceflight relevant radiation on various model organisms. The aim of this study was to test the survival capacity of the cryptoendolithic black fungus Cryomyces antarcticus CCFEE 515 to space relevant radiation, to outline its endurance to space conditions. In the frame of an international radiation campaign, dried fungal colonies were irradiated with accelerated Helium ion (150 MeV/n, LET 2.2 keV/mu m), up to a final dose of 1,000 Gy, as one of the space-relevant ionizing radiation. Results showed that the fungus maintained high survival and metabolic activity with no detectable DNA and ultrastructural damage, even after the highest dose irradiation. These data give clues on the resistance of life toward space ionizing radiation in general and on the resistance and responses of eukaryotic cells in particular.</t>
  </si>
  <si>
    <t>[Pacelli, Claudia; Selbmann, Laura; Zucconi, Laura; Onofri, Silvano] Univ Tuscia, Dept Ecol &amp; Biol Sci, Viterbo, Italy; [Moeller, Ralf] German Aerosp Ctr, Inst Aerosp Med, Radiat Biol Dept, Space Microbiol Res Grp, Cologne, Germany; [Fujimori, Akira] Res Ctr Charged Particle Therapy, Natl Inst Radiol Sci, Chiba, Japan</t>
  </si>
  <si>
    <t>Tuscia University; Helmholtz Association; German Aerospace Centre (DLR); National Institutes for Quantum Science &amp; Technology</t>
  </si>
  <si>
    <t>Selbmann, L (corresponding author), Univ Tuscia, Dept Ecol &amp; Biol Sci, Viterbo, Italy.</t>
  </si>
  <si>
    <t>selbmann@unitus.it</t>
  </si>
  <si>
    <t>Selbmann, Laura/L-3056-2013; Zucconi, L./U-9781-2018; Pacelli, Claudia/AAI-2677-2020</t>
  </si>
  <si>
    <t>Selbmann, Laura/0000-0002-8967-3329; Zucconi, L./0000-0001-9793-2303; Pacelli, Claudia/0000-0001-5113-4293; ONOFRI, Silvano/0000-0001-8872-1440</t>
  </si>
  <si>
    <t>BIOMEXMCF; E-GEM GeoMicrobiology for Space Exploration; MEXT [15H05935, 15K21745]; DLR grant FuE-Projekt ISS LIFE (Programm RF-FuW) [475]; Grants-in-Aid for Scientific Research [15H05935, 15K21745] Funding Source: KAKEN</t>
  </si>
  <si>
    <t>BIOMEXMCF; E-GEM GeoMicrobiology for Space Exploration; MEXT(Ministry of Education, Culture, Sports, Science and Technology, Japan (MEXT)); DLR grant FuE-Projekt ISS LIFE (Programm RF-FuW); Grants-in-Aid for Scientific Research(Ministry of Education, Culture, Sports, Science and Technology, Japan (MEXT)Japan Society for the Promotion of ScienceGrants-in-Aid for Scientific Research (KAKENHI))</t>
  </si>
  <si>
    <t>CP, SO, LS, and LZ were supported by BIOMEXMCF Experiment on ISS for tracking biosignatures on Martian and Lunar rocks analogs and E-GEM GeoMicrobiology for Space Exploration grants. AF and RM - MEXT Grant-in-Aid for Scientific Research on Innovative Areas Living in Space (Grant Numbers: 15H05935, 15K21745). RM - was supported by the DLR grant FuE-Projekt ISS LIFE (Programm RF-FuW, Teilprogramm 475).</t>
  </si>
  <si>
    <t>FRONTIERS MEDIA SA</t>
  </si>
  <si>
    <t>LAUSANNE</t>
  </si>
  <si>
    <t>AVENUE DU TRIBUNAL FEDERAL 34, LAUSANNE, CH-1015, SWITZERLAND</t>
  </si>
  <si>
    <t>1664-302X</t>
  </si>
  <si>
    <t>FRONT MICROBIOL</t>
  </si>
  <si>
    <t>Front. Microbiol.</t>
  </si>
  <si>
    <t>10.3389/fmicb.2017.02002</t>
  </si>
  <si>
    <t>Microbiology</t>
  </si>
  <si>
    <t>FJ9NT</t>
  </si>
  <si>
    <t>gold, Green Published, Green Accepted</t>
  </si>
  <si>
    <t>WOS:000413105300001</t>
  </si>
  <si>
    <t>Zhang, JX; Liu, ZY; Brady, EC; Oppo, DW; Clark, PU; Jahn, A; Marcott, SA; Lindsay, K</t>
  </si>
  <si>
    <t>Zhang, Jiaxu; Liu, Zhengyu; Brady, Esther C.; Oppo, Delia W.; Clark, Peter U.; Jahn, Alexandra; Marcott, Shaun A.; Lindsay, Keith</t>
  </si>
  <si>
    <t>Asynchronous warming and δ18O evolution of deep Atlantic water masses during the last deglaciation</t>
  </si>
  <si>
    <t>PROCEEDINGS OF THE NATIONAL ACADEMY OF SCIENCES OF THE UNITED STATES OF AMERICA</t>
  </si>
  <si>
    <t>Atlantic water masses; last deglaciation; oxygen isotopes; deep ocean warming</t>
  </si>
  <si>
    <t>NORTHEAST ATLANTIC; GLACIAL MAXIMUM; CARBON ISOTOPES; YOUNGER DRYAS; CO2 RISE; OCEAN; CIRCULATION; VARIABILITY; VENTILATION; DELTA-C-13</t>
  </si>
  <si>
    <t>The large-scale reorganization of deep ocean circulation in the Atlantic involving changes in North Atlantic Deep Water (NADW) and Antarctic Bottom Water (AABW) played a critical role in regulating hemispheric and global climate during the last deglaciation. However, changes in the relative contributions of NADW and AABW and their properties are poorly constrained by marine records, including delta O-18 of benthic foraminiferal calcite (delta O-18(c)) . Here, we use an isotope-enabled ocean general circulation model with realistic geometry and forcing conditions to simulate the deglacial water mass and delta O-18 evolution. Model results suggest that, in response to North Atlantic freshwater forcing during the early phase of the last deglaciation, NADW nearly collapses, while AABW mildly weakens. Rather than reflecting changes in NADW or AABW properties caused by freshwater input as suggested previously, the observed phasing difference of deep delta O-18(c) likely reflects early warming of the deep northern North Atlantic by similar to 1.4 degrees C, while deep Southern Ocean temperature remains largely unchanged. We propose a thermodynamic mechanism to explain the early warming in the North Atlantic, featuring a strong middepth warming and enhanced downward heat flux via vertical mixing. Our results emphasize that the way that ocean circulation affects heat, a dynamic tracer, is considerably different from how it affects passive tracers, like delta O-18, and call for caution when inferring water mass changes from delta O-18(c) records while assuming uniform changes in deep temperatures.</t>
  </si>
  <si>
    <t>[Zhang, Jiaxu; Liu, Zhengyu] Univ Wisconsin Madison, Ctr Climat Res, Madison, WI 53706 USA; [Zhang, Jiaxu; Liu, Zhengyu] Univ Wisconsin Madison, Dept Atmospher &amp; Ocean Sci, Madison, WI 53706 USA; [Liu, Zhengyu] Ohio State Univ, Dept Geog, Atmospher Sci Program, Columbus, OH 43210 USA; [Brady, Esther C.; Lindsay, Keith] Natl Ctr Atmospher Res, Climate &amp; Global Dynam Div, POB 3000, Boulder, CO 80307 USA; [Oppo, Delia W.] Woods Hole Oceanog Inst, Dept Geol &amp; Geophys, Woods Hole, MA 02543 USA; [Clark, Peter U.] Oregon State Univ, Coll Earth Ocean &amp; Atmospher Sci, Corvallis, OR 97331 USA; [Jahn, Alexandra] Univ Colorado Boulder, Dept Atmospher &amp; Ocean Sci, Boulder, CO 80309 USA; [Jahn, Alexandra] Univ Colorado Boulder, Inst Arctic &amp; Alpine Res, Boulder, CO 80309 USA; [Marcott, Shaun A.] Univ Wisconsin Madison, Dept Geosci, Madison, WI 53706 USA; [Zhang, Jiaxu] Los Alamos Natl Lab, Computat Phys &amp; Methods CCS 2, Los Alamos, NM 87545 USA; [Zhang, Jiaxu] Los Alamos Natl Lab, Ctr Nonlinear Studies CNLS, Los Alamos, NM 87545 USA</t>
  </si>
  <si>
    <t>University of Wisconsin System; University of Wisconsin Madison; University of Wisconsin System; University of Wisconsin Madison; University System of Ohio; Ohio State University; National Center Atmospheric Research (NCAR) - USA; Woods Hole Oceanographic Institution; Oregon State University; University of Colorado System; University of Colorado Boulder; University of Colorado System; University of Colorado Boulder; University of Wisconsin System; University of Wisconsin Madison; United States Department of Energy (DOE); Los Alamos National Laboratory; United States Department of Energy (DOE); Los Alamos National Laboratory</t>
  </si>
  <si>
    <t>Zhang, JX (corresponding author), Univ Wisconsin Madison, Ctr Climat Res, Madison, WI 53706 USA.;Zhang, JX (corresponding author), Univ Wisconsin Madison, Dept Atmospher &amp; Ocean Sci, Madison, WI 53706 USA.;Zhang, JX (corresponding author), Los Alamos Natl Lab, Computat Phys &amp; Methods CCS 2, Los Alamos, NM 87545 USA.;Zhang, JX (corresponding author), Los Alamos Natl Lab, Ctr Nonlinear Studies CNLS, Los Alamos, NM 87545 USA.</t>
  </si>
  <si>
    <t>jiaxu@lanl.gov</t>
  </si>
  <si>
    <t>Marcott, Shaun A/L-7098-2015; Jahn, Alexandra/C-6545-2008; Zhang, Jiaxu/J-9571-2019</t>
  </si>
  <si>
    <t>Marcott, Shaun A/0000-0003-3264-0523; Jahn, Alexandra/0000-0002-6580-2579; Zhang, Jiaxu/0000-0002-8564-3026</t>
  </si>
  <si>
    <t>US National Science Foundation (NSF) [1401778, 1401802, 1600080, 1566432]; US Department of Energy [DE-SC0006744]; Regional and Global Climate Modeling program; Laboratory Directed Research and Development; National Natural Science Science Foundation of China [41630527]; Wisconsin Alumni Research Foundation; US NSF; Directorate For Geosciences; Div Atmospheric &amp; Geospace Sciences [1401803, 1401802] Funding Source: National Science Foundation; Directorate For Geosciences; Division Of Ocean Sciences [1566432] Funding Source: National Science Foundation; Directorate For Geosciences; Division Of Ocean Sciences [1600080] Funding Source: National Science Foundation; Div Atmospheric &amp; Geospace Sciences; Directorate For Geosciences [1401778] Funding Source: National Science Foundation; U.S. Department of Energy (DOE) [DE-SC0006744] Funding Source: U.S. Department of Energy (DOE)</t>
  </si>
  <si>
    <t>US National Science Foundation (NSF)(National Science Foundation (NSF)); US Department of Energy(United States Department of Energy (DOE)); Regional and Global Climate Modeling program; Laboratory Directed Research and Development; National Natural Science Science Foundation of China; Wisconsin Alumni Research Foundation; US NSF(National Science Foundation (NSF)); Directorate For Geosciences; Div Atmospheric &amp; Geospace Sciences(National Science Foundation (NSF)NSF - Directorate for Geosciences (GEO)); Directorate For Geosciences; Division Of Ocean Sciences(National Science Foundation (NSF)NSF - Directorate for Geosciences (GEO)); Directorate For Geosciences; Division Of Ocean Sciences(National Science Foundation (NSF)NSF - Directorate for Geosciences (GEO)); Div Atmospheric &amp; Geospace Sciences; Directorate For Geosciences(National Science Foundation (NSF)NSF - Directorate for Geosciences (GEO)); U.S. Department of Energy (DOE)(United States Department of Energy (DOE))</t>
  </si>
  <si>
    <t>We thank B. Otto-Bliesner for her support throughout the work; J. Gottschalk, S. Gu, J. Zhu, and A. Hu for helpful discussions; G. Danabasoglu, D. Bailey, and S. Bates for modeling technical assistance; and J. Roberts, D. Lund, L. Skinner, and S. Weldeab for providing data. This work is supported by US National Science Foundation (NSF) Projects 1401778, 1401802, 1600080, and 1566432; US Department of Energy Project DE-SC0006744, the Regional and Global Climate Modeling program, and the Center for Nonlinear Studies sponsored by Laboratory Directed Research and Development; National Natural Science Science Foundation of China Grant 41630527; and the Wisconsin Alumni Research Foundation. Computing resources were provided by the Climate Simulation Laboratory at the National Center for Atmospheric Research's Computational and Information Systems Laboratory sponsored by the US NSF and other agencies.</t>
  </si>
  <si>
    <t>NATL ACAD SCIENCES</t>
  </si>
  <si>
    <t>2101 CONSTITUTION AVE NW, WASHINGTON, DC 20418 USA</t>
  </si>
  <si>
    <t>0027-8424</t>
  </si>
  <si>
    <t>P NATL ACAD SCI USA</t>
  </si>
  <si>
    <t>Proc. Natl. Acad. Sci. U. S. A.</t>
  </si>
  <si>
    <t>10.1073/pnas.1704512114</t>
  </si>
  <si>
    <t>FK1JW</t>
  </si>
  <si>
    <t>Green Published, Bronze, Green Submitted</t>
  </si>
  <si>
    <t>WOS:000413237900038</t>
  </si>
  <si>
    <t>Ji, F; Gao, JY; Li, F; She, ZY; Zhang, Q; Li, YD</t>
  </si>
  <si>
    <t>Ji, Fei; Gao, Jinyao; Li, Fei; Shen, Zhongyan; Zhang, Qiao; Li, Yongdong</t>
  </si>
  <si>
    <t>Variations of the effective elastic thickness over the Ross Sea and Transantarctic Mountains and implications for their structure and tectonics</t>
  </si>
  <si>
    <t>TECTONOPHYSICS</t>
  </si>
  <si>
    <t>Effective elastic thickness; Ross Sea; Transantarctic Mountains; Lithospheric structure; Tectonics</t>
  </si>
  <si>
    <t>ANTARCTIC RIFT SYSTEM; WILKES SUBGLACIAL BASIN; CONTINENTAL LITHOSPHERE; HEAT-FLOW; SEDIMENTARY BASINS; SPATIAL VARIATIONS; FLEXURAL RIGIDITY; WEST ANTARCTICA; VICTORIA LAND; GRAVITY-DATA</t>
  </si>
  <si>
    <t>The effective elastic thickness (T-e) is a proxy for lithospheric strength, and it depends primarily on the thermal gradient and composition of the lithosphere. Accordingly, spatial variations in T-e reflect changes in lithospheric properties and can be used to better understand the structure and tectonics of particular regions. In this paper, we investigate the Ross Sea and Transantarctic Mountains in terms of T-e using gravity and topographic data and the fan wavelet transform technique. The results reveal that relatively high T-e values dominate in the extensional basins of the Ross Sea and the hinterland of Transantarctic Mountains, whereas very low T-e values occur along the Transantarctic Mountain Front and in the deep ocean basin, with the lowest T-e values are found the vicinity of Ross Island and onshore in northern Victoria Land. In addition, the spatial variations in T(e )correlate well with lithospheric structure at the regional scale. By combining these findings with published seismic and heat flow data, we conclude that the presence of a zone of anomalously low T-e values parallel to the coast indicates that the lithosphere beneath the Transantarctic Mountain Front is extremely weak due to Cenozoic volcanism and extension. The T-e values increase from the Transantarctic Mountain Front (7 km) toward the center of the continent (similar to 80 km), which indicates that the continental lithosphere underlying East Antarctica belongs to the classic Gondwanan craton. The increase in T-e indicates that the Transantarctic Mountain Front marks the continent-continent boundary between East Antarctica and West Antarctica. The T-e values in the other extensional basins of the Ross Sea exhibit little variation and average approximately 35 km. The relatively high T-e values are interpreted to indicate that the lithosphere cooled and became mechanically stronger between late Cretaceous extension and Eocene-Neogene deposition. (C) 2017 Elsevier B.V. All rights reserved.</t>
  </si>
  <si>
    <t>[Ji, Fei; Li, Fei] Wuhan Univ, Chinese Antarctic Ctr Surveying &amp; Mapping, Wuhan, Hubei, Peoples R China; [Ji, Fei; Gao, Jinyao; Shen, Zhongyan; Zhang, Qiao] SAO, Inst Oceanog 2, Key Lab Submarine Geosci, Hangzhou, Zhejiang, Peoples R China; [Li, Yongdong] China Univ Geosci, Inst Geophys &amp; Geomat, Wuhan, Hubei, Peoples R China</t>
  </si>
  <si>
    <t>Wuhan University; China University of Geosciences</t>
  </si>
  <si>
    <t>Ji, F; Li, F (corresponding author), Wuhan Univ, Chinese Antarctic Ctr Surveying &amp; Mapping, Wuhan, Hubei, Peoples R China.;Gao, JY (corresponding author), SAO, Inst Oceanog 2, Key Lab Submarine Geosci, Hangzhou, Zhejiang, Peoples R China.</t>
  </si>
  <si>
    <t>jifeii@163.com; jygao@mail.hz.zj.cn; fli@whu.edu.cn</t>
  </si>
  <si>
    <t>Li, Yongdong/P-5605-2016; GAO, Jinyao/HHN-6642-2022</t>
  </si>
  <si>
    <t>ji, fei/0000-0003-4314-682X</t>
  </si>
  <si>
    <t>National Science Foundation of China [41576069]; China Postdoctoral Science Foundation [2016M601925]; Chinese Polar Environment Comprehensive Investigation and Assessment Programmes [CHINARE 2017-01-03, 2017-04-01]</t>
  </si>
  <si>
    <t>National Science Foundation of China(National Natural Science Foundation of China (NSFC)); China Postdoctoral Science Foundation(China Postdoctoral Science Foundation); Chinese Polar Environment Comprehensive Investigation and Assessment Programmes</t>
  </si>
  <si>
    <t>This research was supported by the National Science Foundation of China (No. 41576069), the China Postdoctoral Science Foundation (No. 2016M601925) and the Chinese Polar Environment Comprehensive Investigation and Assessment Programmes (CHINARE 2017-01-03 and 2017-04-01). We are grateful to Dr. Jonathan F Kirby for providing the wavelet coherence analysis codes that we used in calculating the lithospheric elastic thickness variations. We thank Qingsheng Guan for his help with drawing Fig. 8. We are grateful for the constructive comments and suggestions from two anonymous reviewers. All of the projected figures in this paper are drawn using the GMT package developed by Wessel and Smith (1998).</t>
  </si>
  <si>
    <t>ELSEVIER SCIENCE BV</t>
  </si>
  <si>
    <t>PO BOX 211, 1000 AE AMSTERDAM, NETHERLANDS</t>
  </si>
  <si>
    <t>0040-1951</t>
  </si>
  <si>
    <t>1879-3266</t>
  </si>
  <si>
    <t>Tectonophysics</t>
  </si>
  <si>
    <t>OCT 16</t>
  </si>
  <si>
    <t>10.1016/j.tecto.2017.07.011</t>
  </si>
  <si>
    <t>Geochemistry &amp; Geophysics</t>
  </si>
  <si>
    <t>FM3BL</t>
  </si>
  <si>
    <t>hybrid</t>
  </si>
  <si>
    <t>WOS:000414879200010</t>
  </si>
  <si>
    <t>Doddridge, EW; Marshall, J</t>
  </si>
  <si>
    <t>Doddridge, Edward W.; Marshall, John</t>
  </si>
  <si>
    <t>Modulation of the Seasonal Cycle of Antarctic Sea Ice Extent Related to the Southern Annular Mode</t>
  </si>
  <si>
    <t>TRANSIENT-RESPONSE; OZONE DEPLETION; SURFACE CLIMATE; TRENDS; OCEAN; VARIABILITY; HEMISPHERE</t>
  </si>
  <si>
    <t>Through analysis of remotely sensed sea surface temperature (SST) and sea ice concentration data, we investigate the impact of winds related to the Southern Annular Mode (SAM) on sea ice extent around Antarctica. We show that positive SAM anomalies in the austral summer are associated with anomalously cold SSTs that persist and lead to anomalous ice growth in the following autumn, while negative SAM anomalies precede warm SSTs and a reduction in sea ice extent during autumn. The largest effect occurs in April, when a unit change in the detrended summertime SAM is followed by a 1.8 +/- 0.6 x 10(5) km(2) change in detrended sea ice extent. We find no evidence that sea ice extent anomalies related to the summertime SAM affect the wintertime sea ice extent maximum. Our analysis shows that the wind anomalies related to the negative SAM during the 2016/2017 austral summer contributed to the record minimum Antarctic sea ice extent observed in March 2017.</t>
  </si>
  <si>
    <t>[Doddridge, Edward W.; Marshall, John] MIT, Earth Atmospher &amp; Planetary Sci, 77 Massachusetts Ave, Cambridge, MA 02139 USA</t>
  </si>
  <si>
    <t>Massachusetts Institute of Technology (MIT)</t>
  </si>
  <si>
    <t>Doddridge, EW (corresponding author), MIT, Earth Atmospher &amp; Planetary Sci, 77 Massachusetts Ave, Cambridge, MA 02139 USA.</t>
  </si>
  <si>
    <t>ewd@mit.edu</t>
  </si>
  <si>
    <t>Doddridge, Edward/GRJ-6149-2022</t>
  </si>
  <si>
    <t>Doddridge, Edward/0000-0002-6097-5729</t>
  </si>
  <si>
    <t>U.S. National Science Foundation grant of the NSF Antarctic Program; Office of Polar Programs (OPP); Directorate For Geosciences [1543366] Funding Source: National Science Foundation</t>
  </si>
  <si>
    <t>U.S. National Science Foundation grant of the NSF Antarctic Program; Office of Polar Programs (OPP); Directorate For Geosciences(National Science Foundation (NSF)NSF - Directorate for Geosciences (GEO))</t>
  </si>
  <si>
    <t>We gratefully acknowledge Dave Thompson for his advice and two anonymous reviewers whose input improved this manuscript. This study was supported by a U.S. National Science Foundation grant of the NSF Antarctic Program. The data that support the findings in this study can be accessed in the following locations: The observational SAM index was downloaded from http://www.nerc-bas.ac.uk/icd/gjma/sam.html. NOAA_OI_SST_V2 data were provided by the NOAA/OAR/ESRL PSD, Boulder, Colorado, USA, from their website at http://www.esrl.noaa.gov/psd/. The sea ice extent time series, Sea Ice Index V2, was downloaded from the National Snow and Ice Data Center at ftp://sidads.colorado.edu/DATASETS/NOAA/G02135/south/daily/data/. ERA-Interim reanalysis winds were obtained from http://apps.ecmwf.int/ data sets/data/interim-full-moda/ levtype=sfc/.</t>
  </si>
  <si>
    <t>10.1002/2017GL074319</t>
  </si>
  <si>
    <t>FL0SO</t>
  </si>
  <si>
    <t>hybrid, Green Published</t>
  </si>
  <si>
    <t>WOS:000413921300028</t>
  </si>
  <si>
    <t>Gourmelen, N; Goldberg, DN; Snow, K; Henley, SF; Bingham, RG; Kimura, S; Hogg, AE; Shepherd, A; Mouginot, J; Lenaerts, JTM; Ligtenberg, SRM; van de Berg, WJ</t>
  </si>
  <si>
    <t>Gourmelen, Noel; Goldberg, Dan N.; Snow, Kate; Henley, Sian F.; Bingham, Robert G.; Kimura, Satoshi; Hogg, Anna E.; Shepherd, Andrew; Mouginot, Jeremie; Lenaerts, Jan T. M.; Ligtenberg, Stefan R. M.; van de Berg, Willem Jan</t>
  </si>
  <si>
    <t>Channelized Melting Drives Thinning Under a Rapidly Melting Antarctic Ice Shelf</t>
  </si>
  <si>
    <t>ice shelves; basal melt; altimetry; thinning; collapse; sea level</t>
  </si>
  <si>
    <t>GROUNDING LINE RETREAT; AMUNDSEN SEA EMBAYMENT; WEST ANTARCTICA; PINE ISLAND; OCEAN CIRCULATION; THWAITES GLACIER; KOHLER GLACIERS; MASS-BALANCE; DEEP-WATER; SHEET</t>
  </si>
  <si>
    <t>Ice shelves play a vital role in regulating loss of grounded ice and in supplying freshwater to coastal seas. However, melt variability within ice shelves is poorly constrained and may be instrumental in driving ice shelf imbalance and collapse. High-resolution altimetry measurements from 2010 to 2016 show that Dotson Ice Shelf (DIS), West Antarctica, thins in response to basal melting focused along a single 5km-wide and 60km-long channel extending from the ice shelf's grounding zone to its calving front. If focused thinning continues at present rates, the channel will melt through, and the ice shelf collapse, within 40-50years, almost two centuries before collapse is projected from the average thinning rate. Our findings provide evidence of basal melt-driven sub-ice shelf channel formation and its potential for accelerating the weakening of ice shelves. Plain Language Summary Ice shelves act as safety bands around the Antarctic ice sheet. Many ice shelves are currently thinning, leading to acceleration of the grounded ice behind. Here we show that ice shelves' thinning is stronger along a channel structure formed by the ocean circulation under the ice shelf. The thinning is 3 times higher than the ice shelf's average, hence leading to a more rapid weakening of the ice shelf. This study provides evidence of basal melt-driven sub-ice shelf channel formation and its potential for accelerating the weakening of ice shelves.</t>
  </si>
  <si>
    <t>[Gourmelen, Noel; Goldberg, Dan N.; Snow, Kate; Henley, Sian F.; Bingham, Robert G.] Univ Edinburgh, Sch GeoSci, Edinburgh, Midlothian, Scotland; [Gourmelen, Noel] Univ Strasbourg, CNRS, IPGS UMR 7516, Strasbourg, France; [Kimura, Satoshi] Nansen Ctr, Bergen, Norway; [Kimura, Satoshi] Bjerknes Ctr Climate Res, Bergen, Norway; [Kimura, Satoshi] British Antarctic Survey, Cambridge, England; [Hogg, Anna E.; Shepherd, Andrew] Univ Leeds, Ctr Polar Observat &amp; Modelling, Leeds, W Yorkshire, England; [Mouginot, Jeremie] Univ Calif Irvine, Dept Earth Syst Sci, Irvine, CA USA; [Lenaerts, Jan T. M.; Ligtenberg, Stefan R. M.; van de Berg, Willem Jan] Univ Utrecht, Inst Marine &amp; Atmospher Res Utrecht, Utrecht, Netherlands; [Kimura, Satoshi] Japan Agcy Marine Earth Sci &amp; Technol, Yokosuka, Kanagawa, Japan</t>
  </si>
  <si>
    <t>University of Edinburgh; Centre National de la Recherche Scientifique (CNRS); CNRS - National Institute for Earth Sciences &amp; Astronomy (INSU); Universites de Strasbourg Etablissements Associes; Universite de Strasbourg; Bjerknes Centre for Climate Research; UK Research &amp; Innovation (UKRI); Natural Environment Research Council (NERC); NERC British Antarctic Survey; University of California System; University of California Irvine; Utrecht University; Japan Agency for Marine-Earth Science &amp; Technology (JAMSTEC)</t>
  </si>
  <si>
    <t>Gourmelen, N (corresponding author), Univ Edinburgh, Sch GeoSci, Edinburgh, Midlothian, Scotland.;Gourmelen, N (corresponding author), Univ Strasbourg, CNRS, IPGS UMR 7516, Strasbourg, France.</t>
  </si>
  <si>
    <t>noel.gourmelen@ed.ac.uk</t>
  </si>
  <si>
    <t>Mouginot, Jeremie/G-7045-2015; van de Berg, Willem Jan/H-4385-2011; Lenaerts, Jan/D-9423-2012; Ligtenberg, Stefan/AAF-8290-2020; Kimura, Satoshi/AAT-3036-2021; Bingham, Robert G/G-3576-2017</t>
  </si>
  <si>
    <t>Mouginot, Jeremie/0000-0001-9155-5455; van de Berg, Willem Jan/0000-0002-8232-2040; Lenaerts, Jan/0000-0003-4309-4011; Kimura, Satoshi/0000-0003-1689-1605; Henley, Sian Frances/0000-0003-1221-1983; Shepherd, Andrew/0000-0002-4914-1299; Bingham, Robert G/0000-0002-0630-2021</t>
  </si>
  <si>
    <t>European Space Agency [4000107394/12/I-NB, 4000116874/16/I-NB]; NERC [NE/M003590/1]; NERC Independent Research Fellowship [NE/K010034/1]; British Antarctic Survey; University of Leeds; [4000112797/15/I-SBo]; NERC [bas0100033, NE/J005665/2, NE/K010034/1, NE/M003590/1, cpom30001] Funding Source: UKRI; Natural Environment Research Council [NE/M003590/1, NE/K010034/1, bas0100033, 1053020, cpom30001] Funding Source: researchfish</t>
  </si>
  <si>
    <t>European Space Agency(European Space Agency); NERC(UK Research &amp; Innovation (UKRI)Natural Environment Research Council (NERC)); NERC Independent Research Fellowship(UK Research &amp; Innovation (UKRI)Natural Environment Research Council (NERC)); British Antarctic Survey; University of Leeds; ; NERC(UK Research &amp; Innovation (UKRI)Natural Environment Research Council (NERC)); Natural Environment Research Council(UK Research &amp; Innovation (UKRI)Natural Environment Research Council (NERC))</t>
  </si>
  <si>
    <t>This work was supported by European Space Agency contracts CryoTop 4000107394/12/I-NB and CryoTop evolution 4000116874/16/I-NB (NG), a NERC grant NE/M003590/1 (D. G.), a NERC Independent Research Fellowship NE/K010034/1 (S. H.), an independent research fellowship 4000112797/15/I-SBo (A. H.) jointly funded by the European Space Agency, the University of Leeds and the British Antarctic Survey. We thank K. Arrigo, K. Lowry, and P. Jager for providing primary productivity data across the Amundsen Sea Sector. The CryoSat-2 satellite altimetry data are freely available from the European Space Agency (https://earth.esa.int/web/guest/data-access), and the specific data used in this study are provided within the supporting information. The IceBridge airborne altimetry data are freely available from the National Snow and Ice Data Centre (https://nsidc.org/data/icebridge/). The ice velocity data are freely available from the National Snow and Ice Data Centre (https://nsidc.org/data/nsidc0484/). We are grateful to Reinhard Drews and an anonymous reviewer and the Editor, whose comments have significantly improved the manuscript.</t>
  </si>
  <si>
    <t>10.1002/2017GL074929</t>
  </si>
  <si>
    <t>Green Published, hybrid, Green Accepted</t>
  </si>
  <si>
    <t>WOS:000413921300032</t>
  </si>
  <si>
    <t>Horgan, HJ; Hulbe, C; Alley, RB; Anandakrishnan, S; Goodsell, B; Taylor-Offord, S; Vaughan, MJ</t>
  </si>
  <si>
    <t>Horgan, H. J.; Hulbe, C.; Alley, R. B.; Anandakrishnan, S.; Goodsell, B.; Taylor-Offord, S.; Vaughan, M. J.</t>
  </si>
  <si>
    <t>Poststagnation Retreat of Kamb Ice Stream's Grounding Zone</t>
  </si>
  <si>
    <t>glaciology; ice sheet dynamics; grounding zone</t>
  </si>
  <si>
    <t>SUBGLACIAL LAKE WHILLANS; WEST ANTARCTICA; ROSS SEA; BENEATH; LINE; SHELVES; FLOW; SEDIMENTATION; STAGNATION; CHANNEL</t>
  </si>
  <si>
    <t>Despite the importance of grounding zone sedimentation for ice sheet stability and ice sheet history, evidence for sedimentary deposits beneath West Antarctica's modern grounding zone remains sparse. Seismic surveying shows that Kamb Ice Stream has no detectable grounding zone deposit. As grounding zone deposition relies strongly on ice flow, the absence of a deposit suggests that the transition from the ice stream to the ice shelf has moved after stagnation of Kamb Ice Stream. Further support for a recent grounding zone occupation comes from satellite imagery of sub-ice shelf channel features that likely originated at previous grounding-zone locations. These features begin 25km seaward of the current grounding zone and cut across ice flow streak lines. We estimate that retreat to the modern grounding-zone position was abrupt at rates &gt;0.2km a(-1). Plain Language Summary The location where an ice sheet goes afloat and becomes an ice shelf is termed the grounding zone. This zone can be thought of as the ice sheet's coastline, and its position determines how much the ice sheets contribute to global sea level. The flow of ice sheets, and the melt of the bottom of ice shelves, result in sediment being deposited at the grounding zone. This sediment can stabilize the ice sheet margin and provides a record of where and how long the ice sheet has occupied a certain location. Here we use acoustic surveying methods to examine the grounding zone of Kamb Ice Stream in West Antarctica. We find that the grounding zone migrated to its current position within the last 150years, indicating that this part of the ice sheet is more dynamic than previously thought.</t>
  </si>
  <si>
    <t>[Horgan, H. J.; Goodsell, B.; Taylor-Offord, S.] Victoria Univ Wellington, Antarctic Res Ctr, Wellington, New Zealand; [Hulbe, C.] Univ Otago, Sch Surveying, Dunedin, New Zealand; [Alley, R. B.; Anandakrishnan, S.] Penn State Univ, Dept Geosci, University Pk, PA 16802 USA; [Alley, R. B.; Anandakrishnan, S.] Penn State Univ, Earth &amp; Environm Syst Inst, University Pk, PA 16802 USA; [Vaughan, M. J.] Univ Otago, Dept Geol, Dunedin, New Zealand</t>
  </si>
  <si>
    <t>Victoria University Wellington; University of Otago; 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University of Otago</t>
  </si>
  <si>
    <t>Horgan, HJ (corresponding author), Victoria Univ Wellington, Antarctic Res Ctr, Wellington, New Zealand.</t>
  </si>
  <si>
    <t>huw.horgan@vuw.ac.nz</t>
  </si>
  <si>
    <t>Anandakrishnan, Sridhar/JCN-5026-2023</t>
  </si>
  <si>
    <t>Taylor-Offord, Samuel/0000-0002-6770-2731; Horgan, Huw/0000-0002-4836-0078; Alley, Richard/0000-0003-1833-0115; Hulbe, Christina/0000-0003-4765-7037</t>
  </si>
  <si>
    <t>New Zealand Royal Society [10.13039/501100001509]; Marsden Fund [VUW1311]; NZARI [RFP 2014-2]; National Science Foundation CReSIS [10.13039/100000001, NSF0424589]</t>
  </si>
  <si>
    <t>New Zealand Royal Society(Royal Society of New Zealand); Marsden Fund(Royal Society of New ZealandMarsden Fund (NZ)); NZARI; National Science Foundation CReSIS</t>
  </si>
  <si>
    <t>H. J. H. and C. H. acknowledge funding support from the New Zealand Royal Society [10.13039/501100001509] Marsden Fund (Contract: VUW1311) and NZARI (RFP 2014-2 Vulnerability of the Ross Ice Shelf in a Warming World). R. B. A. and S. A. acknowledge funding from National Science Foundation [10.13039/100000001] CReSIS NSF0424589. All data enabling our interpretation and analysis are available from the authors on request. We thank Antarctica New Zealand and the U.S. Antarctic Program along with Kenn Borek Air for field support. Robert Jacobel is thanked for advice and the loan of RES surveying equipment. Lastly, we thank Darcy Mandeno for excellent assistance in the field.</t>
  </si>
  <si>
    <t>10.1002/2017GL074986</t>
  </si>
  <si>
    <t>WOS:000413921300034</t>
  </si>
  <si>
    <t>Begeman, CB; Tulaczyk, SM; Fisher, AT</t>
  </si>
  <si>
    <t>Begeman, Carolyn Branecky; Tulaczyk, Slawek M.; Fisher, Andrew T.</t>
  </si>
  <si>
    <t>Spatially Variable Geothermal Heat Flux in West Antarctica: Evidence and Implications</t>
  </si>
  <si>
    <t>geothermal; West Antarctic Ice Sheet; heat flux; cryosphere; ice stream; WISSARD</t>
  </si>
  <si>
    <t>ICE-SHEET; OCEANIC-CRUST; HYDROTHERMAL CIRCULATION; THERMAL REGIME; RIDGE FLANK; RIFT SYSTEM; SIPLE DOME; FLOW; BENEATH; SURFACE</t>
  </si>
  <si>
    <t>Geothermal heat flux (GHF) is an important part of the basal heat budget of continental ice sheets. The difficulty of measuring GHF below ice sheets has directly hindered progress in the understanding of ice sheet dynamics. We present a new GHF measurement from below the West Antarctic Ice Sheet, made in subglacial sediment near the grounding zone of the Whillans Ice Stream. The measured GHF is 88 +/- 7 mW m(-2), a relatively high value compared to other continental settings and to other GHF measurements along the eastern Ross Sea of 55 mW m(-2) and 69 +/- 21 mW m(-2) but within the range of regional values indicated by geophysical estimates. The new GHF measurement was made similar to 100km from the only other direct GHF measurement below the ice sheet, which was considerably higher at 285 +/- 80 mW m(-2), suggesting spatial variability that could be explained by shallow magmatic intrusions or the advection of heat by crustal fluids. Analytical calculations suggest that spatial variability in GHF exceeds spatial variability in the conductive heat flux through ice along the Siple Coast. Accurate GHF measurements and high-resolution GHF models may be necessary to reliably predict ice sheet evolution, including responses to ongoing and future climate change.</t>
  </si>
  <si>
    <t>[Begeman, Carolyn Branecky; Tulaczyk, Slawek M.; Fisher, Andrew T.] Univ Calif Santa Cruz, Dept Earth &amp; Planetary Sci, Santa Cruz, CA 95064 USA</t>
  </si>
  <si>
    <t>University of California System; University of California Santa Cruz</t>
  </si>
  <si>
    <t>Begeman, CB (corresponding author), Univ Calif Santa Cruz, Dept Earth &amp; Planetary Sci, Santa Cruz, CA 95064 USA.</t>
  </si>
  <si>
    <t>cbranecky@ucsc.edu</t>
  </si>
  <si>
    <t>Fisher, Andrew T/A-1113-2016; Tulaczyk, Slawek/O-7375-2018</t>
  </si>
  <si>
    <t>Fisher, Andrew/0000-0003-2102-8320; Tulaczyk, Slawek/0000-0002-9711-4332; Begeman, Carolyn/0000-0001-9828-1741</t>
  </si>
  <si>
    <t>U.S. National Science Foundation, Section for Antarctic Sciences, Antarctic Integrated System Science program as part of the interdisciplinary WISSARD (Whillans Ice Stream Subglacial Access Research Drilling) project; U.S. National Science Foundation as part of the WISSARD project; NSF [ANT-1346251, ANT-0838947, ANT-0839142, OCE-0939564, OCE-1260408]; NSF Graduate Research Fellowship</t>
  </si>
  <si>
    <t>U.S. National Science Foundation, Section for Antarctic Sciences, Antarctic Integrated System Science program as part of the interdisciplinary WISSARD (Whillans Ice Stream Subglacial Access Research Drilling) project(National Science Foundation (NSF)NSF - Directorate for Geosciences (GEO)); U.S. National Science Foundation as part of the WISSARD project; NSF(National Science Foundation (NSF)); NSF Graduate Research Fellowship(National Science Foundation (NSF))</t>
  </si>
  <si>
    <t>Geothermal heat flux measurements were supported by the U.S. National Science Foundation, Section for Antarctic Sciences, Antarctic Integrated System Science program as part of the interdisciplinary WISSARD (Whillans Ice Stream Subglacial Access Research Drilling) project. The drilling team from University of Nebraska-Lincoln, the WISSARD traverse personnel, the U.S. Antarctic Program, and Air National Guard and Kenn Borek Air provided technical and logistical support. D. Thayer, D. Smith, and S. Ornellas were the primary builders of the geothermal probe. T. Sproule collaborated on geothermal probe thermistor calibration. D. van den Dries assisted in the analysis of sediment core WGZ-GC-1. This work was supported by awards from the U.S. National Science Foundation as part of the WISSARD project, NSF grants ANT-1346251, ANT-0838947, ANT-0839142, OCE-0939564, and OCE-1260408, an NSF Graduate Research Fellowship. This is C-DEBI contribution 391. The authors declare no competing financial interests. The geothermal heat flux and thermal conductivity measurements are available in the Global Heat Flow Database, and Data Sets S1 and S2. Grain size data are available in the EarthChem Library, Grain size data are available in the EarthChem Library (Branecky Begeman, Carolyn; Tulaczyk, Slawek M.; Fisher, Andrew T. (2017): Grain Size Data for Sediment Core WGZ-GC-1) and Data Set S2. The vertical conductive flux estimates are available in figshare doi: 10.6084/m9.figshare.5414062. The authors declare that all other data supporting the findings of this study are available within the paper and its supporting information files. The methods used to analyze sediment core WGZ-GC-1 were destructive, so samples are not available for further analysis. The following data sets were used in this study: bed elevation available at https://nsidc.org/data/docs/daac/nsidc0422_antarctic_1km_dem/,ice thickness available at https:// legacy. bas.ac.uk//bas_research/data/access/bedmap/database/, accumulation and mean annual surface temperature available at http://websrv.cs.umt.edu/isis/index.php/Present_Day_Antarctica, and GHF data from the Basin and Range Province available at http://geothermal.smu.edu/gtda/.</t>
  </si>
  <si>
    <t>10.1002/2017GL075579</t>
  </si>
  <si>
    <t>WOS:000413921300035</t>
  </si>
  <si>
    <t>Fogt, RL; Goergens, CA; Jones, JM; Schneider, DP; Nicolas, JP; Bromwich, DH; Dusselier, HE</t>
  </si>
  <si>
    <t>Fogt, Ryan L.; Goergens, Chad A.; Jones, Julie M.; Schneider, David P.; Nicolas, Julien P.; Bromwich, David H.; Dusselier, Hallie E.</t>
  </si>
  <si>
    <t>A twentieth century perspective on summer Antarctic pressure change and variability and contributions from tropical SSTs and ozone depletion</t>
  </si>
  <si>
    <t>SOUTHERN ANNULAR MODE; AMUNDSEN SEA LOW; SURFACE TEMPERATURES; TRENDS; CLIMATE; RECONSTRUCTIONS; CMIP5; DATABASE; IMPACTS; DRIVEN</t>
  </si>
  <si>
    <t>During the late twentieth century, the Antarctic atmospheric circulation has changed and significantly influenced the overall Antarctic climate, through processes including a poleward shift of the circumpolar westerlies. However, little is known about the full spatial pattern of atmospheric pressure over the Antarctic continent prior to 1979. Here we investigate surface pressure changes across the entire Antarctic continent back to 1905 by developing a new summer pressure reconstruction poleward of 60 degrees S. We find that only across East Antarctica are the recent pressures significantly lower than pressures in the early twentieth century; we also discern periods of significant positive pressure trends in the early twentieth century across the coastal South Atlantic sector of Antarctica. Climate model simulations reveal that both tropical sea surface temperature variability and other radiative forcing mechanisms, in addition to ozone depletion, have played an important role in forcing the recent observed negative trends. Plain Language Summary Since most Antarctic meteorological observations start around 1957, very little is known about atmospheric pressure variability across Antarctica throughout the entire twentieth century. Yet changes in the atmospheric circulation around Antarctica have been linked to warming across West Antarctica, the lack of warming in East Antarctica, and changes in the sea ice surrounding Antarctica. To better understand the significance of these changes in a historical context, a new spatially complete summer pressure reconstruction is generated and evaluated in this paper. Through the high quality of this reconstruction, we determine that only across East Antarctica are pressure changes significant when in context of the full twentieth century; over portions of the South Atlantic coastal sector of Antarctica, the early twentieth century was marked with pressure increases. Using a suite of climate model simulations, we determine that other factors, including tropical sea surface temperatures, are needed in order to fully replicate the recent negative summer pressure trends that have occurred across the entire continent. This work therefore highlights the role of natural variability in Antarctic pressure during the twentieth century, and the need to consider multiple mechanisms beyond ozone depletion to understand recent Antarctic pressure changes.</t>
  </si>
  <si>
    <t>[Fogt, Ryan L.; Goergens, Chad A.; Dusselier, Hallie E.] Ohio Univ, Dept Geog, Athens, OH 45701 USA; [Fogt, Ryan L.; Goergens, Chad A.; Dusselier, Hallie E.] Ohio Univ, Scalia Lab Atmospher Anal, Athens, OH 45701 USA; [Jones, Julie M.] Univ Sheffield, Dept Geog, Sheffield, S Yorkshire, England; [Schneider, David P.] Natl Ctr Atmospher Res, POB 3000, Boulder, CO 80307 USA; [Nicolas, Julien P.; Bromwich, David H.] Ohio State Univ, Byrd Polar &amp; Climate Res Ctr, Polar Meteorol Grp, Columbus, OH 43210 USA; [Bromwich, David H.] Ohio State Univ, Dept Geog, Atmospher Sci Program, Columbus, OH 43210 USA</t>
  </si>
  <si>
    <t>University System of Ohio; Ohio University; University System of Ohio; Ohio University; University of Sheffield; National Center Atmospheric Research (NCAR) - USA; University System of Ohio; Ohio State University; University System of Ohio; Ohio State University</t>
  </si>
  <si>
    <t>Fogt, RL (corresponding author), Ohio Univ, Dept Geog, Athens, OH 45701 USA.;Fogt, RL (corresponding author), Ohio Univ, Scalia Lab Atmospher Anal, Athens, OH 45701 USA.</t>
  </si>
  <si>
    <t>fogtr@ohio.edu</t>
  </si>
  <si>
    <t>Fogt, Ryan L/B-6989-2008; Schneider, David/E-2726-2010</t>
  </si>
  <si>
    <t>Fogt, Ryan L/0000-0002-5398-3990; Schneider, David/0000-0001-5308-1834</t>
  </si>
  <si>
    <t>NSF [PLR-1341527, PLR-1341695]; Directorate For Geosciences; Office of Polar Programs (OPP) [1341621] Funding Source: National Science Foundation; Office of Polar Programs (OPP); Directorate For Geosciences [1341527] Funding Source: National Science Foundation</t>
  </si>
  <si>
    <t>NSF(National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</si>
  <si>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Data from both the station-based and spatial pressure reconstructions are available from figshare at the following URLs: https://doi.org/10.6084/m9.fig-share.3412813 (station reconstructions) and https://doi.org/10.6084/m9.fig-share.5325541 (spatial reconstructions). Data for the climate model simulations may be downloaded from http://www.cesm.ucar.edu/experiments/cesm1.1/LE, or by contacting the authors. R.L.F., C.A.G., and H.E.D. acknowledge support from the National Science Foundation (NSF), grant PLR-1341621, while D.P.S. acknowledges support from NSF grant PLR-1341527. D.H.B. and J.P.N. acknowledge support from NSF grant PLR-1341695. The Climate Variability and Change Working Group of the Community Earth System Model led the production of the CAMS experiments with time-varying tropical SSTs and time-varying radiative forcing. Contribution 1572 of Byrd Polar and Climate Research Center.</t>
  </si>
  <si>
    <t>10.1002/2017GL075079</t>
  </si>
  <si>
    <t>Bronze, Green Accepted</t>
  </si>
  <si>
    <t>WOS:000413921300045</t>
  </si>
  <si>
    <t>Zhu, YQ; Toon, OB; Lambert, A; Kinnison, DE; Bardeen, C; Pitts, MC</t>
  </si>
  <si>
    <t>Zhu, Yunqian; Toon, Owen B.; Lambert, Alyn; Kinnison, Douglas E.; Bardeen, Charles; Pitts, Michael C.</t>
  </si>
  <si>
    <t>Development of a Polar Stratospheric Cloud Model Within the Community Earth System Model: Assessment of 2010 Antarctic Winter</t>
  </si>
  <si>
    <t>OZONE DEPLETION; VAPOR-PRESSURES; GRAVITY-WAVES; NITRIC-ACID; ICE; WATER; LIDAR; SIMULATIONS; TEMPERATURE; NUCLEATION</t>
  </si>
  <si>
    <t>To simulate polar stratospheric clouds (PSCs) during the Antarctic winter of 2010, we have developed a PSC model within the Community Earth System Model framework that includes detailed microphysics of sulfuric aerosols and three types of PSCs: supercooled ternary solution (STS), nitric acid trihydrate (NAT), and ice. Our model includes two major NAT formation mechanisms, both of which are essential to reproduce the PSC and gas phase chemical features in the 2010 Antarctic winter. Homogeneous nucleation of NAT from STS produces NAT particles with sizes near 8m, which are important to properly simulate denitrification and the gas phase HNO3 observed by the Microwave Limb Sounder (MLS). Heterogeneous nucleation of NAT on ice particles or ice particles on NAT and subsequent evaporation of the ice produces NAT particles with sizes from submicrometers to a few micrometers. These particles account for the large backscattering ratio from NAT observed by the Cloud-Aerosol Lidar and Infrared Pathfinder Satellite Observations satellite, especially in the midwinter season. Adding temperature fluctuations from gravity waves is important to produce larger number density and higher backscattering ratio from ice and NAT particles. However, our model needs a better representation of waves to improve the backscattering ratio and gas phase HNO3 compared with observations. Our model also includes homogeneous nucleation of ice from STS and heterogeneous nucleation of ice on NAT. The model reproduces the gas phase H2O during the winter within the uncertainty of the MLS observations.</t>
  </si>
  <si>
    <t>[Zhu, Yunqian; Toon, Owen B.] Univ Colorado, Lab Atmospher &amp; Space Phys, Boulder, CO 80309 USA; [Lambert, Alyn] CALTECH, Jet Prop Lab, Pasadena, CA USA; [Kinnison, Douglas E.; Bardeen, Charles] Natl Ctr Atmospher Res, POB 3000, Boulder, CO 80307 USA; [Pitts, Michael C.] Langley Res Ctr, Hampton, VA USA</t>
  </si>
  <si>
    <t>University of Colorado System; University of Colorado Boulder; California Institute of Technology; National Aeronautics &amp; Space Administration (NASA); NASA Jet Propulsion Laboratory (JPL); National Center Atmospheric Research (NCAR) - USA; National Aeronautics &amp; Space Administration (NASA); NASA Langley Research Center</t>
  </si>
  <si>
    <t>Zhu, YQ (corresponding author), Univ Colorado, Lab Atmospher &amp; Space Phys, Boulder, CO 80309 USA.</t>
  </si>
  <si>
    <t>yunqian.zhu@colorado.edu</t>
  </si>
  <si>
    <t>Lambert, Alyn/I-8415-2014</t>
  </si>
  <si>
    <t>Lambert, Alyn/0000-0003-3182-1824; ZHU, YUNQIAN/0000-0001-7751-397X; Kinnison, Douglas/0000-0002-3418-0834</t>
  </si>
  <si>
    <t>NASA from the AURA satellite project [NNX09AK71G]; NASA [NNX16AQ37G]; National Science Foundation (NSF) [PLR1643701]; U.S. National Science Foundation (NSF); NSF; Office of Science of the U.S. Department of Energy; Yellowstone; NCAR's Computational and Information Systems Laboratory (CISL); NASA [NNX16AQ37G, 896832] Funding Source: Federal RePORTER</t>
  </si>
  <si>
    <t>NASA from the AURA satellite project; NASA(National Aeronautics &amp; Space Administration (NASA)); National Science Foundation (NSF)(National Science Foundation (NSF)); U.S. National Science Foundation (NSF)(National Science Foundation (NSF)); NSF(National Science Foundation (NSF)); Office of Science of the U.S. Department of Energy(United States Department of Energy (DOE)); Yellowstone; NCAR's Computational and Information Systems Laboratory (CISL); NASA(National Aeronautics &amp; Space Administration (NASA))</t>
  </si>
  <si>
    <t>The work at the University of Colorado was supported by NASA grant NNX09AK71G from the AURA satellite project, NASA grant NNX16AQ37G, and National Science Foundation (NSF) grant PLR1643701. The work at the Jet Propulsion Laboratory, California Institute of Technology, was carried out under a contract with the National Aeronautics and Space Administration. The National Center for Atmospheric Research (NCAR) is sponsored by the U.S. National Science Foundation (NSF). WACCM is a component of NCAR's Community Earth System Model (CESM), which is supported by NSF and the Office of Science of the U.S. Department of Energy. We would like to acknowledge high-performance computing support from Yellowstone (ark:/85065/d7wd3xhc) and Cheyenne (doi:10.5065/D6RX99HX) provided by NCAR's Computational and Information Systems Laboratory (CISL), sponsored by the NSF. The source code for WACCM/CARMA model used in this study is freely available at http://www2.cesm.ucar.edu/ upon registration. The developing version of this model, the data, and input files necessary to reproduce the experiments are available from the authors upon request (yunqian.zhu@colorado.edu). The data are archived at the Toon Aerosol Research Group computers.</t>
  </si>
  <si>
    <t>10.1002/2017JD027003</t>
  </si>
  <si>
    <t>FK7HL</t>
  </si>
  <si>
    <t>WOS:000413675900022</t>
  </si>
  <si>
    <t>Rathmann, NM; Hvidberg, CS; Solgaard, AM; Grinsted, A; Gudmundsson, GH; Langen, PL; Nielsen, KP; Kusk, A</t>
  </si>
  <si>
    <t>Rathmann, N. M.; Hvidberg, C. S.; Solgaard, A. M.; Grinsted, A.; Gudmundsson, G. H.; Langen, P. L.; Nielsen, K. P.; Kusk, A.</t>
  </si>
  <si>
    <t>Highly temporally resolved response to seasonal surface melt of the Zachariae and 79N outlet glaciers in northeast Greenland</t>
  </si>
  <si>
    <t>NEGIS; sea level rise; glacier dynamics; Zachariae; Nioghalvfjerdsfjorden; floating tongue</t>
  </si>
  <si>
    <t>SUBGLACIAL DRAINAGE SYSTEM; BED DATA SET; ICE-SHEET; JAKOBSHAVN ISBRAE; NIOGHALVFJERDSFJORDEN GLACIER; FLOW; BENEATH; ACCELERATION; DYNAMICS; DEFORMATION</t>
  </si>
  <si>
    <t>The seasonal response to surface melting of the Northeast Greenland Ice Stream outlets, Zachariae and 79N, is investigated using new highly temporally resolved surface velocity maps for 2016 combined with numerical modeling. The seasonal speedup at 79N of 0.15km/yr is suggested to be driven by a decrease in effective basal pressure induced by surface melting, whereas for Zachariae its 0.11km/yr seasonal speedup correlates equally well with the breakup of its large ice melange. We investigate the influence 76km long floating tongue at 79N, finding it provides little resistance and that most of it could be lost without impacting the dynamics of the area. Furthermore, we show that reducing the slipperiness along the tongue-wall interfaces produces a velocity change spatially inconsistent with the observed seasonal speedup. Finally, we find that subglacial sticky spots such as bedrock bumps play a negligible role in the large-scale response to a seasonally enhanced basal slipperiness of the region. Plain Language Summary The Northeast Greenland Ice Stream may potentially contribute significantly to near-term sea level rise and is one of the lesser studied Greenlandic systems, partly due to its remoteness. We present a new high temporally resolved velocity data set derived from Sentinel 1-A which allows capturing changes on a seasonal timescale, a feature which only the newest generation satellites now permit. We show how surface melting may be linked to the observed seasonal velocity changes, giving important insights into the possible future (range of) behavior and sensitivity of the ice stream outlets to atmospheric changes. In addition, we present a detailed study of possible moderating factors on the seasonal velocity response. In particular, we find that (i) the large ice melange in front of the Zachariae outlet might be dampening the outlet's response, (ii) small-scale subglacial topographical bumps (sticky spots) exert very limited control on the flow, and (iii) the 76km long floating tongue of the 79N outlet is largely a passive feature, suggesting that most of it (approximate to 80%) could be lost without effecting the outlet's contribution to near-term sea level rise. This has broad implications for assessing the future mass loss of ice sheets since it points to the importance of studying every major calving event individually.</t>
  </si>
  <si>
    <t>[Rathmann, N. M.; Hvidberg, C. S.; Grinsted, A.] Univ Copenhagen, Niels Bohr Inst, Ctr Ice &amp; Climate, Copenhagen, Denmark; [Solgaard, A. M.] Geol Survey Denmark &amp; Greenland, Copenhagen, Denmark; [Gudmundsson, G. H.] British Antarctic Survey, Cambridge, England; [Langen, P. L.; Nielsen, K. P.] Danish Meteorol Inst, Copenhagen, Denmark; [Kusk, A.] Tech Univ Denmark DTU, Natl Space Inst, Lyngby, Denmark</t>
  </si>
  <si>
    <t>University of Copenhagen; Niels Bohr Institute; Geological Survey Of Denmark &amp; Greenland; UK Research &amp; Innovation (UKRI); Natural Environment Research Council (NERC); NERC British Antarctic Survey; Danish Meteorological Institute DMI; Technical University of Denmark</t>
  </si>
  <si>
    <t>Rathmann, NM (corresponding author), Univ Copenhagen, Niels Bohr Inst, Ctr Ice &amp; Climate, Copenhagen, Denmark.</t>
  </si>
  <si>
    <t>rathmann@nbi.ku.dk</t>
  </si>
  <si>
    <t>Grinsted, Aslak/J-9273-2012; Hvidberg, Christine S./E-8934-2015; Langen, Peter L/AAR-1120-2021; Gudmundsson, Gudmundur Hilmar/AAU-5987-2020; Solgaard, Anne/H-2042-2018; Rathmann, Nicholas/P-5442-2015</t>
  </si>
  <si>
    <t>Grinsted, Aslak/0000-0003-1634-6009; Hvidberg, Christine S./0000-0002-9665-1339; Langen, Peter L/0000-0003-2185-012X; Gudmundsson, Gudmundur Hilmar/0000-0003-4236-5369; Solgaard, Anne/0000-0002-8693-620X; Kusk, Anders/0000-0001-7822-4758; Nielsen, Kristian Pagh/0000-0003-2860-4431; Rathmann, Nicholas/0000-0001-7140-0931</t>
  </si>
  <si>
    <t>European Research Council under the European Community's Seventh Framework Programme (FP7) as part of the ice2ice project [610055]; Villum Investigator Project IceFlow; NERC [bas0100034] Funding Source: UKRI; Natural Environment Research Council [bas0100034] Funding Source: researchfish; Villum Fonden [00016572] Funding Source: researchfish</t>
  </si>
  <si>
    <t>European Research Council under the European Community's Seventh Framework Programme (FP7) as part of the ice2ice project; Villum Investigator Project IceFlow; NERC(UK Research &amp; Innovation (UKRI)Natural Environment Research Council (NERC)); Natural Environment Research Council(UK Research &amp; Innovation (UKRI)Natural Environment Research Council (NERC)); Villum Fonden(Villum Fonden)</t>
  </si>
  <si>
    <t>We wish to express our sincere thanks to two anonymous reviewers for valuable comments that helped greatly improve this manuscript. The research leading to these results has received funding from the European Research Council under the European Community's Seventh Framework Programme (FP7/2007-2013)/ERC grant agreement 610055 as part of the ice2ice project and from the Villum Investigator Project IceFlow. Ice velocity maps were produced from ESA Sentinel-1 remote sensing data as part the Programme for Monitoring of the Greenland Ice Sheet (PROMICE) and the ESA Greenland Ice Sheet Climate Change Initiative and were provided by the Geological Survey of Denmark and Greenland (GEUS) (freely available at www.promice.dk). Finally, we wish to acknowledge the important contribution made during the ice2ice bootcamp 2017 to section 2.1.1 by Faezeh M. Nick, Iben Koldtoft, Benjamin Keisling, Silje Smith-Johnsen, and Andreas Plach.</t>
  </si>
  <si>
    <t>10.1002/2017GL074368</t>
  </si>
  <si>
    <t>Green Published, Green Accepted</t>
  </si>
  <si>
    <t>WOS:000413921300033</t>
  </si>
  <si>
    <t>Wang, JJ; Zhang, MG; Bai, XL; Tan, HJ; Li, S; Liu, JP; Zhang, R; Wolters, MA; Qin, XY; Zhang, MM; Lin, HM; Li, YN; Li, J; Chen, LQ</t>
  </si>
  <si>
    <t>Wang, Jianjun; Zhang, Meigen; Bai, Xiaolin; Tan, Hongjian; Li, Sabrina; Liu, Jiping; Zhang, Rui; Wolters, Mark A.; Qin, Xiuyuan; Zhang, Miming; Lin, Hongmei; Li, Yuenan; Li, Jonathan; Chen, Liqi</t>
  </si>
  <si>
    <t>Large-scale transport of PM2.5 in the lower troposphere during winter cold surges in China</t>
  </si>
  <si>
    <t>SCIENTIFIC REPORTS</t>
  </si>
  <si>
    <t>LONG-RANGE TRANSPORT; PARTICULATE MATTER; ASIAN DUST; AIR-POLLUTION; EAST-ASIA; HAZE; AEROSOLS; SYSTEM; PM10</t>
  </si>
  <si>
    <t>A comprehensive investigation using the air quality network and meteorological data of China in 2015 showed that PM2.5 driven by cold surges from the ground level could travel up to 2000 km from northern to southern China within two days. Air pollution is more severe and prominent during the winter in north China due to seasonal variations in energy usage, trade wind movements, and industrial emissions. In February 2015, two cold surges traveling from north China caused a temporary increase in the concentration of PM2.5 in Shanghai. Subsequently, the concentration of PM2.5 in Xiamen increased to a high of 80 mu g/m(3), which is double the average PM2.5 concentration in Xiamen during the winter. This finding is a new long-range transport mechanism comparing to the well-established mechanism, with long-range transport more likely to occur in the upper troposphere than at lower levels. These observations were validated by results from the back trajectory analysis and the RAMS-CMAQ model. While wind speed was found to be a major facilitator in transporting PM2.5 from Beijing to Xiamen, more investigation is required to understand the complex relationship between wind speed and PM2.5 and how it moderates air quality in Beijing, Shanghai, and Xiamen.</t>
  </si>
  <si>
    <t>[Wang, Jianjun; Tan, Hongjian; Qin, Xiuyuan; Zhang, Miming; Lin, Hongmei; Chen, Liqi] State Ocean Adm, Inst Oceanog 3, Key Lab Global Change &amp; Marine Atmospher Chem, Xiamen, Peoples R China; [Zhang, Meigen] Chinese Acad Sci, Inst Atmospher Phys, State Key Lab Atmospher Boundary Layer Phys &amp; Atm, Beijing, Peoples R China; [Bai, Xiaolin; Zhang, Rui] Xiamen Univ, State Key Lab Marine Environm Sci, Xiamen, Peoples R China; [Bai, Xiaolin; Zhang, Rui] Xiamen Univ, Coll Ocean &amp; Earth Sci, Xiamen, Peoples R China; [Li, Sabrina; Li, Yuenan; Li, Jonathan] Univ Waterloo, Dept Geog &amp; Environm Management, Waterloo, ON, Canada; [Liu, Jiping] SUNY Albany, Dept Atmospher &amp; Environm Sci, Albany, NY 12222 USA; [Wolters, Mark A.] Fudan Univ, Shanghai Ctr Math Sci, Shanghai, Peoples R China</t>
  </si>
  <si>
    <t>Third Institute of Oceanography, Ministry of Natural Resources; Chinese Academy of Sciences; Institute of Atmospheric Physics, CAS; Xiamen University; Xiamen University; University of Waterloo; State University of New York (SUNY) System; State University of New York (SUNY) Albany; Fudan University</t>
  </si>
  <si>
    <t>Chen, LQ (corresponding author), State Ocean Adm, Inst Oceanog 3, Key Lab Global Change &amp; Marine Atmospher Chem, Xiamen, Peoples R China.;Li, J (corresponding author), Univ Waterloo, Dept Geog &amp; Environm Management, Waterloo, ON, Canada.</t>
  </si>
  <si>
    <t>junli@uwaterloo.ca; chenliqi@tio.org.cn</t>
  </si>
  <si>
    <t>Sun, Yuchen/JZD-1692-2024; Bai, Xiaolin/AGN-7433-2022; LAPC, IAP/AAI-6991-2020; Zhang, Meigen/A-2213-2019; Li, Jonathan/AAA-7712-2021; Wu, Jun/HJP-1242-2023</t>
  </si>
  <si>
    <t>LAPC, IAP/0000-0002-0025-3484; Zhang, Meigen/0000-0002-3318-6134;</t>
  </si>
  <si>
    <t>National Natural Science Foundation of China [41772366]; Ecological Environment Protection Division; State Oceanic Administration (SOA); Chinese Projects for Investigations and Assessment of the Arctic [CHINARE 04-02, 02-01]; Chinese Projects for Investigations and Assessment of the Antarctic [CHINARE 04-02, 02-01]; China Scholarship Council [201404180008]</t>
  </si>
  <si>
    <t>National Natural Science Foundation of China(National Natural Science Foundation of China (NSFC)); Ecological Environment Protection Division; State Oceanic Administration (SOA); Chinese Projects for Investigations and Assessment of the Arctic; Chinese Projects for Investigations and Assessment of the Antarctic; China Scholarship Council(China Scholarship Council)</t>
  </si>
  <si>
    <t>The authors gratefully acknowledge the NOAA Air Resources Laboratory (ARL) for the provision of the HYSPLIT transport and dispersion model and/or READY website (http://www.arl.noaa.gov/ready.html) used in this publication. This work was supported by the National Natural Science Foundation of China (41772366), the Ecological Environment Protection Division, the State Oceanic Administration (SOA), Chinese Projects for Investigations and Assessments of the Arctic and Antarctic (CHINARE 04-02 and 02-01) and by the China Scholarship Council (201404180008). We would like to thank Dr. Jan Bloemendal for the polishing the language of this paper.</t>
  </si>
  <si>
    <t>NATURE PORTFOLIO</t>
  </si>
  <si>
    <t>BERLIN</t>
  </si>
  <si>
    <t>HEIDELBERGER PLATZ 3, BERLIN, 14197, GERMANY</t>
  </si>
  <si>
    <t>2045-2322</t>
  </si>
  <si>
    <t>SCI REP-UK</t>
  </si>
  <si>
    <t>Sci Rep</t>
  </si>
  <si>
    <t>10.1038/s41598-017-13217-2</t>
  </si>
  <si>
    <t>FJ8VZ</t>
  </si>
  <si>
    <t>Green Published, gold</t>
  </si>
  <si>
    <t>WOS:000413048000049</t>
  </si>
  <si>
    <t>Walker, CC; Gardner, AS</t>
  </si>
  <si>
    <t>Walker, C. C.; Gardner, A. S.</t>
  </si>
  <si>
    <t>Rapid drawdown of Antarctica's Wordie Ice Shelf glaciers in response to ENSO/Southern Annular Mode-driven warming in the Southern Ocean</t>
  </si>
  <si>
    <t>EARTH AND PLANETARY SCIENCE LETTERS</t>
  </si>
  <si>
    <t>Antarctic glaciology; ocean warming; glacier change; atmosphere-ocean interaction</t>
  </si>
  <si>
    <t>CIRCUMPOLAR DEEP-WATER; FLEMING GLACIER; BASAL MELT; PENINSULA; CIRCULATION; SENSITIVITY; TRANSPORT; FLOW</t>
  </si>
  <si>
    <t>Here we investigate the largest acceleration in ice flow across all of Antarctica between similar to 2008 InSAR and 2014 Landsat velocity mappings. This occurred in glaciers that used to feed into the Wordie Ice Shelf on the west Antarctic Peninsula, which rapidly disintegrated in similar to 1989. Between 2008 and 2014, these glaciers experienced at least a threefold increase in surface elevation drawdown relative to the 2002-2008 time period. After similar to 20 yrs of relative stability, it is unlikely that the ice shelf collapse played a role in the large response. Instead, we find that the rapid acceleration and surface drawdown is linked to enhanced melting at the ice-ocean boundary, attributable to changes in winds driven by global atmospheric circulation patterns, namely the El Nino-Southern Oscillation (ENSO) and Southern Annular Mode (SAM), linking changes in grounded ice to atmospheric-driven ocean warming. (C) 2017 Elsevier B.V. All rights reserved.</t>
  </si>
  <si>
    <t>[Walker, C. C.; Gardner, A. S.] CALTECH, NASA, Jet Prop Lab, 4800 Oak Grove Dr, Pasadena, CA 91109 USA</t>
  </si>
  <si>
    <t>National Aeronautics &amp; Space Administration (NASA); NASA Jet Propulsion Laboratory (JPL); California Institute of Technology</t>
  </si>
  <si>
    <t>Walker, CC (corresponding author), CALTECH, NASA, Jet Prop Lab, 4800 Oak Grove Dr, Pasadena, CA 91109 USA.</t>
  </si>
  <si>
    <t>catherine.c.walker@jpl.nasa.gov</t>
  </si>
  <si>
    <t>Walker, Catherine Colello/HSG-9526-2023</t>
  </si>
  <si>
    <t>Walker, Catherine Colello/0000-0003-4019-1000; Gardner, Alex/0000-0002-8394-8889</t>
  </si>
  <si>
    <t>National Aeronautics and Space Administration; NASA's Cryosphere and Postdoctoral Fellowship Programs; Office of Polar Programs, NSF [OPP-9011927, OPP-9632763, OPP-0217282]</t>
  </si>
  <si>
    <t>National Aeronautics and Space Administration(National Aeronautics &amp; Space Administration (NASA)); NASA's Cryosphere and Postdoctoral Fellowship Programs; Office of Polar Programs, NSF</t>
  </si>
  <si>
    <t>This research was carried out at the Jet Propulsion Laboratory, California Institute of Technology, under a contract with the National Aeronautics and Space Administration. This work was supported by NASA's Cryosphere and Postdoctoral Fellowship Programs. The marine mammal data were collected and made freely available by the International MEOP Consortium and the national programs that contribute to it. Data from the Palmer LTER data repository were supported by Office of Polar Programs, NSF Grants OPP-9011927, OPP-9632763 and OPP-0217282. All data used in this manuscript is publicly available, at the locations noted in the Supplementary Material and references therein. Very special thanks to Ian Fenty, Yoshihiro Nakayama and Pierre Dutrieux for valuable oceanographic discussions.</t>
  </si>
  <si>
    <t>0012-821X</t>
  </si>
  <si>
    <t>1385-013X</t>
  </si>
  <si>
    <t>EARTH PLANET SC LETT</t>
  </si>
  <si>
    <t>Earth Planet. Sci. Lett.</t>
  </si>
  <si>
    <t>OCT 15</t>
  </si>
  <si>
    <t>10.1016/j.epsl.2017.08.005</t>
  </si>
  <si>
    <t>FI8NN</t>
  </si>
  <si>
    <t>WOS:000412259400010</t>
  </si>
  <si>
    <t>Suttle, MD; Genge, MJ</t>
  </si>
  <si>
    <t>Suttle, Martin D.; Genge, Matthew J.</t>
  </si>
  <si>
    <t>Diagenetically altered fossil micrometeorites suggest cosmic dust is common in the geological record</t>
  </si>
  <si>
    <t>fossil micrometeorites; diagenesis; replacement; cosmic spherule; I-type; iron silicide</t>
  </si>
  <si>
    <t>ATMOSPHERIC ENTRY; ACCRETION RATE; SPHERULES; SEDIMENTS; SEA; ORDOVICIAN; CLASSIFICATION; METEORITES; DIAGENESIS; ROCKS</t>
  </si>
  <si>
    <t>We report the discovery of fossil micrometeorites from Late Cretaceous chalk. Seventy-six cosmic spherules were recovered from Coniacian (87 +/- 1 Ma) sediments of the White Chalk Supergroup. Particles vary from pristine silicate and iron-type spherules to pseudomorphic spherules consisting of either single-phase recrystallized magnetite or Fe-silicide. Pristine spherules are readily identified as micrometeorites on the basis of their characteristic mineralogies, textures and compositions. Both magnetite and silicide spherules contain dendritic crystals and spherical morphologies, testifying to rapid crystallisation of high temperature iron-rich metallic and oxide liquids. These particles also contain spherical cavities, representing weathering and removal of metal beads and irregular cavities, representing vesicles formed by trapped gas during crystallization; both features commonly found among modern Antarctic Iron-type (I-type) cosmic spherules. On the basis of textural analysis, the magnetite and Fe-silicide spherules are shown to be I-type cosmic spherules that have experienced complete secondary replacement during diagenesis (fossilization). Our results demonstrate that micrometeorites, preserved in sedimentary rocks, are affected by a suite of complex diagenetic processes, which can result in disparate replacement minerals, even within the same sequence of sedimentary beds. As a result, the identification of fossil micrometeorites requires careful observation of particle textures and comparisons with modern Antarctic collections. Replaced micrometeorites imply that geochemical signatures the extraterrestrial dust are subject to diagenetic remobilisation that limits their stratigraphic resolution. However, this study demonstrates that fossil, pseudomorphic micrometeorites can be recognised and are likely common within the geological record. (C) 2017 The Author(s). Published by Elsevier B.V.</t>
  </si>
  <si>
    <t>[Suttle, Martin D.; Genge, Matthew J.] Imperial Coll London, Dept Earth Sci &amp; Engn, Impacts &amp; Astromat Res Ctr, London SW7 2AZ, England; [Suttle, Martin D.; Genge, Matthew J.] Nat Hist Museum, Dept Earth Sci, Cromwell Rd, London SW7 5BD, England</t>
  </si>
  <si>
    <t>Imperial College London; Natural History Museum London; Natural History Museum London</t>
  </si>
  <si>
    <t>Suttle, MD (corresponding author), Imperial Coll London, Dept Earth Sci &amp; Engn, Impacts &amp; Astromat Res Ctr, London SW7 2AZ, England.</t>
  </si>
  <si>
    <t>mds10@ic.ac.uk; m.genge@ic.ac.uk</t>
  </si>
  <si>
    <t>Suttle, Martin/0000-0001-7165-2215</t>
  </si>
  <si>
    <t>Science and Technology Facilities Council (STFC) [ST/M503526/1]; STFC [ST/J001260/1]; STFC [ST/N000803/1, ST/J001260/1] Funding Source: UKRI; Science and Technology Facilities Council [ST/N000803/1, ST/J001260/1] Funding Source: researchfish; UK Space Agency [ST/M003167/1] Funding Source: researchfish</t>
  </si>
  <si>
    <t>Science and Technology Facilities Council (STFC)(UK Research &amp; Innovation (UKRI)Science &amp; Technology Facilities Council (STFC)Science and Technology Development Fund (STDF)); STFC(UK Research &amp; Innovation (UKRI)Science &amp; Technology Facilities Council (STFC)); STFC(UK Research &amp; Innovation (UKRI)Science &amp; Technology Facilities Council (STFC)); Science and Technology Facilities Council(UK Research &amp; Innovation (UKRI)Science &amp; Technology Facilities Council (STFC)); UK Space Agency</t>
  </si>
  <si>
    <t>The data presented in this paper were acquired during M. Suttle's PhD research and funded by the Science and Technology Facilities Council (STFC) [ST/M503526/1]. M. Genge is funded by the STFC [ST/J001260/1]. We thank, J. Spratt, T. Goral and T. Salge at the NHM for their support during analytical acquisition and C. Hatch and T. Wighton their time and expertise during sample preparation. We also thank C. Manning from Royal Holloway University, London for the 87/86Sr isotope characterisation and T. Geriaki at Diamond Lightsource for her continued support and advice. Finally, we thank M. Zolensky, an anonymous reviewer and W. McKinnon (editor) for their constructive comments and revisions.</t>
  </si>
  <si>
    <t>10.1016/j.epsl.2017.07.052</t>
  </si>
  <si>
    <t>Green Submitted, hybrid</t>
  </si>
  <si>
    <t>WOS:000412259400013</t>
  </si>
  <si>
    <t>Gough, RV; Wong, J; Dickson, JL; Levy, JS; Head, JW; Marchant, DR; Tolbert, MA</t>
  </si>
  <si>
    <t>Gough, R. V.; Wong, J.; Dickson, J. L.; Levy, J. S.; Head, J. W.; Marchant, D. R.; Tolbert, M. A.</t>
  </si>
  <si>
    <t>Brine formation via deliquescence by salts found near Don Juan Pond, Antarctica: Laboratory experiments and field observational results</t>
  </si>
  <si>
    <t>Antarctica; dry valleys; salt; deliquescence; water; Mars</t>
  </si>
  <si>
    <t>MCMURDO DRY VALLEYS; SLOPE LINEAE RSL; DEPOSITIONAL ICE NUCLEATION; PHASE-TRANSITIONS; LOW-TEMPERATURES; AQUEOUS-SOLUTIONS; RAMAN-SPECTRA; MARS; PERCHLORATE; WATER</t>
  </si>
  <si>
    <t>The observed darkening of water tracks near Don Juan Pond (DJP) as well as the formation of wet patches elsewhere in the McMurdo Dry Valleys is attributed at least partially to deliquescence, a process by which salts absorb atmospheric water vapor and form brine, coupled with liquid-phase growth when the atmospheric relative humidity exceeds the water activity. Here we perform laboratory experiments to investigate the temperature and relative humidity conditions necessary for deliquescence to occur in calcium chloride-rich sediments collected from the DJP watershed. We use a Raman microscope equipped with an environmental cell to study both deliquescence and efflorescence (recrystallization) of the soluble salt component of DJP soils between -30 and +15 degrees C. In this temperature range, we find that the soluble salt component of the DJP sediments begins to deliquesce between 19 and 46% RH, slightly higher than the deliquescence relative humidity of the primary pure component, calcium chloride. We find a limited hysteresis between deliquescence and efflorescence, but much greater supersaturation of the salt brine can occur at temperatures above 0 degrees C. The relative humidity conditions were varied either slowly (over 8 h) to observe near-equilibrium phases or rapidly (over &lt;1 h) to better mimic Antarctic conditions and no differences in deliquescence relative humidity or efflorescence relative humidity were noted. The results of this work can help predict when deliquescence could be actively occurring in the soils near Don Juan Pond and explain darkening of the salt pan after a high humidity period. In tandem with field data, our experimental results suggest that brines can be generated near Don Juan Pond via deliquescence frequently during the southern summer and autumn. Additionally, the soluble salts may persist in the aqueous phase continuously for several months during the southern summer. This work also suggests that salt deliquescence could be impacting the year-round hydrological cycle of the DJP watershed. Steep sloped water tracks found near DJP have been suggested as a terrestrial analog for recurring slope lineae on Mars, for which salt deliquescence is a proposed formation mechanism. Therefore, understanding the formation of deliquescent brines in a hyper-arid region on Earth may have relevance to Mars. (C) 2017 Elsevier B.V. All rights reserved.</t>
  </si>
  <si>
    <t>raina.gough@colorado.edu</t>
  </si>
  <si>
    <t>Gough, Raina V/F-7574-2013</t>
  </si>
  <si>
    <t>Levy, Joseph/0000-0002-6222-139X; GOUGH, RAINA/0000-0003-2755-7282</t>
  </si>
  <si>
    <t>NASA SSW Award [NNX14AJ96G]; National Science Foundation Antarctic Science Division (Office of Polar Programs) [ANT-0739702, ANT-0944702]; NASA [NNX14AJ96G, 681125] Funding Source: Federal RePORTER</t>
  </si>
  <si>
    <t>NASA SSW Award; National Science Foundation Antarctic Science Division (Office of Polar Programs); NASA(National Aeronautics &amp; Space Administration (NASA))</t>
  </si>
  <si>
    <t>RVG and MAT acknowledge NASA SSW Award # NNX14AJ96G. Part of this work (field reconnaissance, establishment of scientific setting, sample collection, instrument acquisition and deployment, MDV data analysis) was funded by the National Science Foundation Antarctic Science Division (Office of Polar Programs) through grants to James W. Head (ANT-0739702) and David R. Marchant (ANT-0944702), which are gratefully acknowledged. Logistical support for this part of the project in Antarctica was provided by the U.S. National Science Foundation through the U.S. Antarctic Program. Sample collection in the McMurdo Dry Valleys was greatly helped by the Antarctic Support Contract, Raytheon Polar Services, Petroleum Helicopters International, and the staff of McMurdo Station.</t>
  </si>
  <si>
    <t>10.1016/j.epsl.2017.08.003</t>
  </si>
  <si>
    <t>WOS:000412259400018</t>
  </si>
  <si>
    <t>Xie, D; Jin, J; Sun, J; Liang, L; Wang, XS; Zhang, W; Wang, XG; Jin, QZ</t>
  </si>
  <si>
    <t>Xie, Dan; Jin, Jun; Sun, Jiang; Liang, Li; Wang, Xiaosan; Zhang, Wei; Wang, Xingguo; Jin, Qingzhe</t>
  </si>
  <si>
    <t>Comparison of solvents for extraction of krill oil from krill meal: Lipid yield, phospholipids content, fatty acids composition and minor components</t>
  </si>
  <si>
    <t>FOOD CHEMISTRY</t>
  </si>
  <si>
    <t>Krill oil; Solvent extraction; Subcritical butane; Lipid yield; Phospholipids; Fatty acids; Minor components</t>
  </si>
  <si>
    <t>ANTARCTIC KRILL; OXIDATIVE STABILITY; SUPPLEMENTATION; TRIGLYCERIDE; ASTAXANTHIN; CAROTENOIDS; CHOLESTEROL; FISH</t>
  </si>
  <si>
    <t>The effects of seven different extraction solvents (ethanol, isopropanol, acetone, ethyl acetate, isohexane, n-hexane, and subcritical butane) on the lipid yield and quality of the oil extracted from krill meal were investigated in this study. Phospholipids (PL), fatty acids (FA) composition and minor components including sterols, astaxanthin, vitamin A and tocopherols in the extracted krill oil were analyzed. The results indicated that ethanol and isopropanol led to comparatively higher lipid yields (16.33 and 14.52%, respectively) and PL contents (39.2 and 38.7%, respectively) but lower contents of the minor components than the other solvents. The krill oil extracted with acetone had the lowest PL content (20.63%) but contained more astaxanthin (206.74 mg/kg), vitamin A (27.84 mg/100 g), and sterols (39.00 mg/g). Moreover, high levels of n-3 FA were present in the extracts with high PL contents. Further analysis revealed that 23.6528.10% of eicosapentaenoic acid (EPA) and 16.71-21.03% of docosahexaenoic acid (DHA) were present in the PL, while only 2.83-3.48% of EPA and 1.40-1.74% of DHA were detected in the triacylglycerols (TAG). In addition, subcritical butane proved to be an alternative to n-hexane and isohexane; krill oil extracted with these three solvents had similar qualities. (C) 2017 Elsevier Ltd. All rights reserved.</t>
  </si>
  <si>
    <t>[Xie, Dan; Jin, Jun; Liang, Li; Wang, Xiaosan; Wang, Xingguo; Jin, Qingzhe] Jiangnan Univ, Sch Food Sci &amp; Technol, Synerget Innovat Ctr Food Safety &amp; Nutr, State Key Lab Food Sci &amp; Technol, 1800 Lihu Rd, Wuxi 214122, Jiangsu, Peoples R China</t>
  </si>
  <si>
    <t>Jiangnan University</t>
  </si>
  <si>
    <t>Jin, QZ (corresponding author), Jiangnan Univ, Sch Food Sci &amp; Technol, Synerget Innovat Ctr Food Safety &amp; Nutr, State Key Lab Food Sci &amp; Technol, 1800 Lihu Rd, Wuxi 214122, Jiangsu, Peoples R China.</t>
  </si>
  <si>
    <t>jqzwx12@163.com</t>
  </si>
  <si>
    <t>Chen, Xiaojia/JYV-2395-2024; Jin, Jun/U-4130-2019</t>
  </si>
  <si>
    <t>Jin, Jun/0000-0002-6186-6882</t>
  </si>
  <si>
    <t>ELSEVIER SCI LTD</t>
  </si>
  <si>
    <t>OXFORD</t>
  </si>
  <si>
    <t>THE BOULEVARD, LANGFORD LANE, KIDLINGTON, OXFORD OX5 1GB, OXON, ENGLAND</t>
  </si>
  <si>
    <t>0308-8146</t>
  </si>
  <si>
    <t>1873-7072</t>
  </si>
  <si>
    <t>FOOD CHEM</t>
  </si>
  <si>
    <t>Food Chem.</t>
  </si>
  <si>
    <t>10.1016/j.foodchem.2017.04.138</t>
  </si>
  <si>
    <t>Chemistry, Applied; Food Science &amp; Technology; Nutrition &amp; Dietetics</t>
  </si>
  <si>
    <t>Chemistry; Food Science &amp; Technology; Nutrition &amp; Dietetics</t>
  </si>
  <si>
    <t>EW2RG</t>
  </si>
  <si>
    <t>WOS:000402343100051</t>
  </si>
  <si>
    <t>Riccialdelli, L; Viola, MNP; Panarello, HO; Goodall, RNP</t>
  </si>
  <si>
    <t>Riccialdelli, Luciana; Viola, M. Natalia Paso; Panarello, Hector O.; Goodall, R. Natalie P.</t>
  </si>
  <si>
    <t>Evaluating the isotopic niche of beaked whales from the southwestern South Atlantic and Southern Oceans</t>
  </si>
  <si>
    <t>MARINE ECOLOGY PROGRESS SERIES</t>
  </si>
  <si>
    <t>Ziphiidae; delta C-13; delta N-15; Trophic niche; Subantarctic waters; Polar waters</t>
  </si>
  <si>
    <t>COMMUNITY-WIDE MEASURES; STABLE-ISOTOPES; SHETLAND ISLANDS; TROPHIC RELATIONSHIPS; PATAGONIAN SHELF; DIET COMPOSITION; RATIOS PROVIDE; FORAGING AREAS; FOOD-CHAINS; NITROGEN</t>
  </si>
  <si>
    <t>The study of species' niches is becoming increasingly important in ecological research with the growing need to understand how species and their habitat respond to rapid environmental changes. This kind of study is especially challenging in the case of oceanic and cryptic species such as beaked whales. We analyzed delta C-13 and delta N-15 values in bone collagen to study interspecific variation in the isotopic niche of 8 species of beaked whales (Berardius arnuxii, Hyperoodon planifrons, Mesoplodon bowdoini, M. grayi, M. hectori, M. layardii, Tasmacetus shepherdi and Ziphius cavirostris) that stranded along the coast of Tierra del Fuego, Argentina, between 1967 and 2009. We found a spatial (e.g. feeding areas) and trophic (e.g. diet) isotopic segregation among these species, which are known to inhabit subantarctic to Antarctic waters. Isotopic analysis showed that, while spatial segregation seems to operate to a higher degree in species of the same genus (e.g. Mesoplodon), trophic differentiation allowed the co-existence of sympatric species from different genera (e.g. Ziphius, Hyperodoon and Mesoplodon). Our results agree with previous studies based on stomach content analyses. In addition to different trophic strategies, variation in habitat preferences were also revealed by stable isotope analysis. An isotopic trend in both delta C-13 and delta N-15 values was found among beaked whales and possible prey species in accordance with previous information on other cetacean species known to have feeding areas in different ocean regions. The present study provides valuable ecological information about elusive and little-studied beaked whale species inhabiting the world's southernmost oceans.</t>
  </si>
  <si>
    <t>[Riccialdelli, Luciana; Viola, M. Natalia Paso; Goodall, R. Natalie P.] Consejo Nacl Invest Cient &amp; Tecn, Consejo Nacl Invest Cient &amp; Tecn, V9410CAB Ushuaia, Tierra Del Fuego, Argentina; [Riccialdelli, Luciana; Viola, M. Natalia Paso] UNTDF, V9410CAB Ushuaia, Tierra Del Fuego, Argentina; [Riccialdelli, Luciana; Goodall, R. Natalie P.] Museo Acatushun Aves &amp; Mamiferos Marinos Australe, V9410CAB Ushuaia, Tierra Del Fuego, Argentina; [Panarello, Hector O.] Inst Geocronol &amp; Geol Isotop INGEIS, Buenos Aires, DF, Argentina</t>
  </si>
  <si>
    <t>Consejo Nacional de Investigaciones Cientificas y Tecnicas (CONICET)</t>
  </si>
  <si>
    <t>Riccialdelli, L (corresponding author), Consejo Nacl Invest Cient &amp; Tecn, Consejo Nacl Invest Cient &amp; Tecn, V9410CAB Ushuaia, Tierra Del Fuego, Argentina.;Riccialdelli, L (corresponding author), UNTDF, V9410CAB Ushuaia, Tierra Del Fuego, Argentina.;Riccialdelli, L (corresponding author), Museo Acatushun Aves &amp; Mamiferos Marinos Australe, V9410CAB Ushuaia, Tierra Del Fuego, Argentina.</t>
  </si>
  <si>
    <t>lriccialdelli@gmail.com</t>
  </si>
  <si>
    <t>Paso Viola, Maria Natalia/0000-0001-9344-1910</t>
  </si>
  <si>
    <t>Centro Austral de Investigaciones Cientificas (CADIC) - Consejo Nacional de Investigaciones Cientificas y Tecnicas (CONICET); Acatushun Austral Marine Bird and Mammal Museum (Argentina); Committtee for Research and Exploration (CRE) of The National Geographic Society; Conservation and Research and Education Opportunities (CREO)</t>
  </si>
  <si>
    <t>Centro Austral de Investigaciones Cientificas (CADIC) - Consejo Nacional de Investigaciones Cientificas y Tecnicas (CONICET); Acatushun Austral Marine Bird and Mammal Museum (Argentina); Committtee for Research and Exploration (CRE) of The National Geographic Society(National Geographic Society); Conservation and Research and Education Opportunities (CREO)</t>
  </si>
  <si>
    <t>We would like to dedicate this article to our marine mammal research mentor R. Natalie P. Goodall, who passed away during the preparation of the manuscript. This study was made possible with the support of the Centro Austral de Investigaciones Cientificas (CADIC) - Consejo Nacional de Investigaciones Cientificas y Tecnicas (CONICET) and the Acatushun Austral Marine Bird and Mammal Museum (Argentina). The Committtee for Research and Exploration (CRE) of The National Geographic Society supported the work of R.N.P.G. L.R. was funded by grants from Conservation and Research and Education Opportunities (CREO). We thank Dr. Christopher Anderson, Sabrina Harris and 3 anonymous referees who provided constructive reviews. We are indebted to Dr. Fabian Vanella for fish samples from the LAMPOS (Latin America Polarstern Study) survey in 2002. We especially appreciate the hard work of volunteers who located strandings, collected data and cleaned specimens in Tierra del Fuego and Estela Ducos for technical isotope analysis.</t>
  </si>
  <si>
    <t>INTER-RESEARCH</t>
  </si>
  <si>
    <t>OLDENDORF LUHE</t>
  </si>
  <si>
    <t>NORDBUNTE 23, D-21385 OLDENDORF LUHE, GERMANY</t>
  </si>
  <si>
    <t>0171-8630</t>
  </si>
  <si>
    <t>1616-1599</t>
  </si>
  <si>
    <t>MAR ECOL PROG SER</t>
  </si>
  <si>
    <t>Mar. Ecol.-Prog. Ser.</t>
  </si>
  <si>
    <t>OCT 13</t>
  </si>
  <si>
    <t>10.3354/meps12296</t>
  </si>
  <si>
    <t>Ecology; Marine &amp; Freshwater Biology; Oceanography</t>
  </si>
  <si>
    <t>Science Citation Index Expanded (SCI-EXPANDED); Social Science Citation Index (SSCI)</t>
  </si>
  <si>
    <t>Environmental Sciences &amp; Ecology; Marine &amp; Freshwater Biology; Oceanography</t>
  </si>
  <si>
    <t>FL9NN</t>
  </si>
  <si>
    <t>Green Published, Green Submitted</t>
  </si>
  <si>
    <t>WOS:000414582700013</t>
  </si>
  <si>
    <t>O'Toole, M; Guinet, C; Lea, MA; Hindell, MA</t>
  </si>
  <si>
    <t>O'Toole, Malcolm; Guinet, Christophe; Lea, Mary-Anne; Hindell, Mark A.</t>
  </si>
  <si>
    <t>Marine predators and phytoplankton: how elephant seals use the recurrent Kerguelen plume</t>
  </si>
  <si>
    <t>Mirounga leonina; Foraging strategy; Prey encounter events; Dive behaviour; Kerguelen phytoplankton plume; Prey access</t>
  </si>
  <si>
    <t>ANTARCTIC FUR SEALS; GEOGRAPHIC INFORMATION-SYSTEMS; NATURAL IRON FERTILIZATION; DIEL VERTICAL MIGRATION; SOUTHERN-OCEAN; ARCTOCEPHALUS-GAZELLA; FORAGING SUCCESS; WATER COLUMN; CHLOROPHYLL; ISLANDS</t>
  </si>
  <si>
    <t>Predators feeding in a highly dynamic environment have evolved strategies to respond to patchy resource distribution. However, studying these ecological interactions is challenging in the marine environment, as both predators and elements in their environment are often highly mobile and difficult to monitor. We used sensors deployed on female southern elephant seals Mirounga leonina to collect data as they foraged hundreds of metres below a large recurrent phytoplankton plume east of the Kerguelen Islands (49 degrees 15' S, 69 degrees 10' E). Data collected by animal-borne light sensors were used to reconstruct phytoplankton patterns encountered by the seals. Prey encounter events (PEEs) recorded by seal-borne accelerometers below the euphotic zone were compared with phytoplankton estimates at 2 scales: mesoscale (10s to 100s km) and small scale (inter-dive). These analyses were performed on data recorded during daylight hours only, and did not include data at night due to the sensitivity threshold of the light sensors. Our results showed that elephant seals moved through alternating patches of high- and low-density phytoplankton, but the timing and locations of these bloom patches were different between the upper and lower euphotic layers. Seals recorded more PEEs and shallower dives below high-density patches of phytoplankton. We propose that phytoplankton density at the mesoscale facilitates prey aggregation (direct effect). However, phytoplankton density between dives (small scale) likely facilitates vertical access to prey via the shading effect of phytoplankton (indirect effect). Our study shows how a deep-diving marine predator may use its environment to maximise net energy intake, and we demonstrate its resilience in a highly dynamic ecosystem.</t>
  </si>
  <si>
    <t>[O'Toole, Malcolm; Lea, Mary-Anne; Hindell, Mark A.] Univ Tasmania, Inst Marine &amp; Antarct Studies, Hobart, Tas 7001, Australia; [Guinet, Christophe] Ctr Etudes Biol Chize, Marine Predator Dept, F-79360 Villiers En Bois, France; [Lea, Mary-Anne; Hindell, Mark A.] Antarct Climate &amp; Ecosyst CRC, Hobart, Tas 7001, Australia</t>
  </si>
  <si>
    <t>University of Tasmania; University of Tasmania</t>
  </si>
  <si>
    <t>O'Toole, M (corresponding author), Univ Tasmania, Inst Marine &amp; Antarct Studies, Hobart, Tas 7001, Australia.</t>
  </si>
  <si>
    <t>otoolem@utas.edu.au</t>
  </si>
  <si>
    <t>Hindell, Mark A/K-1131-2013; Guinet, Christophe/AAR-8457-2020; Lea, Mary-Anne/E-9054-2013</t>
  </si>
  <si>
    <t>Lea, Mary-Anne/0000-0001-8318-9299; Hindell, Mark/0000-0002-7823-7185</t>
  </si>
  <si>
    <t>Australian Government</t>
  </si>
  <si>
    <t>Australian Government(Australian Government)</t>
  </si>
  <si>
    <t>The seal tracking data were collected by the Integrated Marine Observing System (IMOS). IMOS is a national collaborative research infrastructure, supported by the Australian Government, that is operated by a consortium of institutions as an unincorporated joint venture, with the University of Tasmania as Lead Agent. All animals in this study were treated in accordance with the guidelines of the IPEV and Polar Environment ethics committees. We thank everyone who contributed to the field work, with special thanks to N. El Skaby. Thanks also to Baptiste Picard for processing and collating track datasets.</t>
  </si>
  <si>
    <t>10.3354/meps12312</t>
  </si>
  <si>
    <t>Green Accepted, Green Submitted</t>
  </si>
  <si>
    <t>WOS:000414582700015</t>
  </si>
  <si>
    <t>Ertz, D; Poulsen, RS; Charrier, M; Sochting, U</t>
  </si>
  <si>
    <t>Ertz, Damien; Poulsen, Roar S.; Charrier, Maryvonne; Sochting, Ulrik</t>
  </si>
  <si>
    <t>Taxonomy and phylogeny of the genus Steinera (Arctomiales, Arctomiaceae) in the subantarctic islands of Crozet and Kerguelen</t>
  </si>
  <si>
    <t>PHYTOTAXA</t>
  </si>
  <si>
    <t>biodiversity; Henssenia; Koerberiaceae; Massalongia; Peltigerales</t>
  </si>
  <si>
    <t>CYANOBACTERIAL LICHENS; RIBOSOMAL DNA; INFERENCE; PELTIGERALES; EVOLUTION; MRBAYES; ORIGIN; FUNGI</t>
  </si>
  <si>
    <t>The lichenized genus Steinera is revised for the archipelagos of Crozet and of Kerguelen, with a high level of endemism revealed. It is shown to represent a good example of convergent evolution between two different orders. Phylogenetic analyses using nuLSU, RPB1 and mtSSU sequences show that two different species groups can be recognized: Steinera s. str. belongs to the Arctomiaceae (Arctomiales) and is characterized notably by species having pluriseptate ascospores, and a second species group belongs to the Koerberiaceae (Peltigerales) and is characterized notably by simple ascospores sometimes having a plasma-bridge. The genus Henssenia is newly described to accommodate this latter group. The type species of Steinera is shown to have been erroneously treated in the past, with Steinera molybdoplaca being the type of Steinera and S. glaucella belonging to the genus Henssenia. A sorediate morph is recorded for S. molybdoplaca and the results confirmed using a 4-gene phylogeny, including nuITS sequences. Some species previously described in the genera Arctomia and Massalongia from the Southern Hemisphere are shown to belong to Steinera s. str. Five new species are described: Steinera isidiata Ertz &amp; R.S. Poulsen, S. membranacea Ertz &amp; R. S. Poulsen, S. lebouvieri Ertz, S. pannarioides Ertz &amp; R. S. Poulsen and Henssenia subglaucella Ertz &amp; R. S. Poulsen along with seven new combinations: Steinera intricata (Ovstedal) Ertz, S. latispora (Ovstedal) Ertz, S. olechiana (Alstrup &amp; Sochting) Ertz &amp; Sochting, S. subantarctica (Ovstedal) Ertz, Henssenia glaucella (Tuck.) Ertz, R. S. Poulsen &amp; Sochting, H. radiata (P. James &amp; Henssen) Ertz and H. werthii (Zahlbr.) Ertz, R. S. Poulsen &amp; Sochting. An epitype is chosen for Henssenia glaucella and a neotype for H. werthii. Steinera symptychia has an isolated phylogenetic position in the Koerberiaceae and might represent a distinct, new genus. World-wide identification keys to the species of Henssenia and Steinera are provided.</t>
  </si>
  <si>
    <t>[Ertz, Damien] Bot Garden Meise, Dept Res, Nieuwelaan 38, B-1860 Meise, Belgium; [Ertz, Damien] Federat Wallonie Bruxelles, Direct Gen Enseignement Non Obligatoire &amp; Rech Sc, Rue Lavallee 1, BE-1080 Brussels, Belgium; [Poulsen, Roar S.] Smallegade 2, DK-9520 Skorping, Denmark; [Charrier, Maryvonne] Univ Rennes 1, UMR 6553, CNRS, Ave Gen Leclerc 263, F-35042 Rennes, France; [Sochting, Ulrik] Univ Copenhagen, Dept Biol, Univ Pk 15, DK-2100 Copenhagen O, Denmark</t>
  </si>
  <si>
    <t>Universite de Rennes; Centre National de la Recherche Scientifique (CNRS); CNRS - Institute of Ecology &amp; Environment (INEE); University of Copenhagen</t>
  </si>
  <si>
    <t>Ertz, D (corresponding author), Bot Garden Meise, Dept Res, Nieuwelaan 38, B-1860 Meise, Belgium.;Ertz, D (corresponding author), Federat Wallonie Bruxelles, Direct Gen Enseignement Non Obligatoire &amp; Rech Sc, Rue Lavallee 1, BE-1080 Brussels, Belgium.</t>
  </si>
  <si>
    <t>damien.ertz@jardinbotaniquemeise.be; roar.poulsen@aalborg.dk; maryvonne.charrier@univ-rennes1.fr; ulriks@bio.ku.dk</t>
  </si>
  <si>
    <t>Sochting, Ulrik/M-2886-2014</t>
  </si>
  <si>
    <t>Sochting, Ulrik/0000-0001-7122-9425</t>
  </si>
  <si>
    <t>French Polar Institute (Institut Polaire Francais Paul-Emile Victor); Fonds National de la Recherche Scientifique, Belgium (FNRS)</t>
  </si>
  <si>
    <t>French Polar Institute (Institut Polaire Francais Paul-Emile Victor); Fonds National de la Recherche Scientifique, Belgium (FNRS)(Fonds de la Recherche Scientifique - FNRS)</t>
  </si>
  <si>
    <t>This research is supported by the French Polar Institute (Institut Polaire Francais Paul-Emile Victor), within the context of the program 136 Subanteco. We are indebted to Alan M. Fryday and one anonymous referee for their constructive suggestions. We thank Aude Boutet, Julien Tommasino and Tiphaine Lefebvre, civil volunteers who helped with data collection during field trips. DE thanks Marc Lebouvier, while RSP and US thank Yves Frenot for arranging field trips to Crozet and Kerguelen Islands. We wish to thank very warmly Cyrille Gerstmans, Myriam Dehaan and Wim Baert for their help with the molecular work and other technical parts of the manuscript. Andreas Beck, Anton Igersheim, and Walter Till are thanked for having checked that no original material of Steinera werthii was present respectively in M, W and WU herbaria. Holger Thus (BM), Leena Myllys (H); Michaela Schmull (FH), Tor Tonsberg (BG), Gintaras Kantvilas (HO), Christian Lange (C), Helen Peat (British Antarctic Survey) are thanked for the loan of specimens. DE was financially supported by the Fonds National de la Recherche Scientifique, Belgium (FNRS) to visit the Crozet and Kerguelen archipelagos.</t>
  </si>
  <si>
    <t>MAGNOLIA PRESS</t>
  </si>
  <si>
    <t>AUCKLAND</t>
  </si>
  <si>
    <t>PO BOX 41383, AUCKLAND, ST LUKES 1030, NEW ZEALAND</t>
  </si>
  <si>
    <t>1179-3155</t>
  </si>
  <si>
    <t>1179-3163</t>
  </si>
  <si>
    <t>Phytotaxa</t>
  </si>
  <si>
    <t>10.11646/phytotaxa.324.3.1</t>
  </si>
  <si>
    <t>Plant Sciences</t>
  </si>
  <si>
    <t>FJ6XY</t>
  </si>
  <si>
    <t>WOS:000412902500001</t>
  </si>
  <si>
    <t>Sand, M; Samset, BH; Balkanski, Y; Bauer, S; Bellouin, N; Berntsen, TK; Bian, H; Chin, M; Diehl, T; Easter, R; Ghan, SJ; Iversen, T; Kirkevåg, A; Lamarque, JF; Lin, GX; Liu, XH; Luo, G; Myhre, G; van Noije, T; Penner, JE; Schulz, M; Seland, O; Skeie, RB; Stier, P; Takemura, T; Tsigaridis, K; Yu, FQ; Zhang, K; Zhang, H</t>
  </si>
  <si>
    <t>Sand, Maria; Samset, Bjorn H.; Balkanski, Yves; Bauer, Susanne; Bellouin, Nicolas; Berntsen, Terje K.; Bian, Huisheng; Chin, Mian; Diehl, Thomas; Easter, Richard; Ghan, Steven J.; Iversen, Trond; Kirkevag, Alf; Lamarque, Jean-Francois; Lin, Guangxing; Liu, Xiaohong; Luo, Gan; Myhre, Gunnar; van Noije, Twan; Penner, Joyce E.; Schulz, Michael; Seland, Oyvind; Skeie, Ragnhild B.; Stier, Philip; Takemura, Toshihiko; Tsigaridis, Kostas; Yu, Fangqun; Zhang, Kai; Zhang, Hua</t>
  </si>
  <si>
    <t>Aerosols at the poles: an AeroCom Phase II multi-model evaluation</t>
  </si>
  <si>
    <t>ATMOSPHERIC CHEMISTRY AND PHYSICS</t>
  </si>
  <si>
    <t>COMMUNITY ATMOSPHERE MODEL; BLACK CARBON; CLIMATE RESPONSE; OPTICAL DEPTH; SEA-ICE; TROPOSPHERIC AEROSOLS; VERTICAL-DISTRIBUTION; GLOBAL CLIMATE; AIR-POLLUTION; ARCTIC-OCEAN</t>
  </si>
  <si>
    <t>Atmospheric aerosols from anthropogenic and natural sources reach the polar regions through long-range transport and affect the local radiation balance. Such transport is, however, poorly constrained in present-day global climate models, and few multi-model evaluations of polar anthropogenic aerosol radiative forcing exist. Here we compare the aerosol optical depth (AOD) at 550 nm from simulations with 16 global aerosol models from the AeroCom Phase II model intercomparison project with available observations at both poles. We show that the annual mean multi-model median is representative of the observations in Arctic, but that the intermodel spread is large. We also document the geographical distribution and seasonal cycle of the AOD for the individual aerosol species: black carbon (BC) from fossil fuel and biomass burning, sulfate, organic aerosols (OAs), dust, and sea-salt. For a subset of models that represent nitrate and secondary organic aerosols (SOAs), we document the role of these aerosols at high latitudes. The seasonal dependence of natural and anthropogenic aerosols differs with natural aerosols peaking in winter (sea-salt) and spring (dust), whereas AOD from anthropogenic aerosols peaks in late spring and summer. The models produce a median annual mean AOD of 0.07 in the Arctic (defined here as north of 60 degrees N). The models also predict a noteworthy aerosol transport to the Antarctic (south of 70 degrees S) with a resulting AOD varying between 0.01 and 0.02. The models have estimated the shortwave anthropogenic radiative forcing contributions to the direct aerosol effect (DAE) associated with BC and OA from fossil fuel and biofuel (FF), sulfate, SOAs, nitrate, and biomass burning from BC and OA emissions combined. The Arctic modelled annual mean DAE is slightly negative ( -0.12Wm(-2)), dominated by a positive BC FF DAE in spring and a negative sulfate DAE in summer. The Antarctic DAE is governed by BC FF. We perform sensitivity experiments with one of the AeroCom models (GISS modelE) to investigate how regional emissions of BC and sulfate and the lifetime of BC influence the Arctic and Antarctic AOD. A doubling of emissions in eastern Asia results in a 33% increase in Arctic AOD of BC. A doubling of the BC lifetime results in a 39% increase in Arctic AOD of BC. However, these radical changes still fall within the AeroCom model range.</t>
  </si>
  <si>
    <t>[Sand, Maria; Samset, Bjorn H.; Berntsen, Terje K.; Myhre, Gunnar; Skeie, Ragnhild B.] CICERO, Oslo, Norway; [Sand, Maria; Bauer, Susanne; Tsigaridis, Kostas] NASA, Goddard Inst Space Studies, New York, NY 10025 USA; [Sand, Maria; Bauer, Susanne; Tsigaridis, Kostas] NASA, Columbia Earth Inst, New York, NY 10025 USA; [Balkanski, Yves] CEA CNRS UVSQ, Lab Sci Climat &amp; Environm, Gif Sur Yvette, France; [Bellouin, Nicolas] Univ Reading, Dept Meteorol, Reading, Berks, England; [Berntsen, Terje K.] Univ Oslo, Dept Geosci, Oslo, Norway; [Bian, Huisheng] Univ Maryland, Earth Syst Sci Interdisciplinary Ctr, College Pk, MD 20742 USA; [Chin, Mian] NASA, Goddard Space Flight Ctr, Greenbelt, MD USA; [Diehl, Thomas] European Commiss, Joint Res Ctr, Directorate Sustainable Resources, Ispra, Italy; [Easter, Richard; Ghan, Steven J.; Lin, Guangxing; Zhang, Kai] Pacific Northwest Natl Lab, Richland, WA USA; [Iversen, Trond; Kirkevag, Alf; Schulz, Michael; Seland, Oyvind] Norwegian Meteorol Inst, Oslo, Norway; [Lamarque, Jean-Francois] Natl Ctr Atmospher Res, POB 3000, Boulder, CO 80307 USA; [Liu, Xiaohong] Univ Wyoming, Dept Atmospher Sci, Laramie, WY 82071 USA; [Luo, Gan; Yu, Fangqun] SUNY Albany, Atmospher Sci Res Ctr, Albany, NY 12222 USA; [van Noije, Twan] Royal Netherlands Meteorol Inst, De Bilt, Netherlands; [Penner, Joyce E.] Univ Michigan, Climate &amp; Space Sci &amp; Engn, Ann Arbor, MI 48109 USA; [Stier, Philip] Univ Oxford, Dept Phys, Oxford, England; [Takemura, Toshihiko] Kyushu Univ, Res Inst Appl Mech, Fukuoka, Japan; [Zhang, Kai] Max Planck Inst Meteorol, Hamburg, Germany; [Zhang, Hua] China Meteorol Adm, Natl Climate Ctr, Lab Climate Studies, Beijing, Peoples R China</t>
  </si>
  <si>
    <t>National Aeronautics &amp; Space Administration (NASA); NASA Goddard Space Flight Center; Goddard Institute for Space Studies; National Aeronautics &amp; Space Administration (NASA); Columbia University; CEA; Centre National de la Recherche Scientifique (CNRS); Universite Paris Saclay; University of Reading; University of Oslo; University System of Maryland; University of Maryland College Park; National Aeronautics &amp; Space Administration (NASA); NASA Goddard Space Flight Center; European Commission Joint Research Centre; EC JRC ISPRA Site; United States Department of Energy (DOE); Pacific Northwest National Laboratory; Norwegian Meteorological Institute; National Center Atmospheric Research (NCAR) - USA; University of Wyoming; State University of New York (SUNY) System; State University of New York (SUNY) Albany; Royal Netherlands Meteorological Institute; University of Michigan System; University of Michigan; University of Oxford; Kyushu University; Max Planck Society; China Meteorological Administration</t>
  </si>
  <si>
    <t>Sand, M (corresponding author), CICERO, Oslo, Norway.;Sand, M (corresponding author), NASA, Goddard Inst Space Studies, New York, NY 10025 USA.;Sand, M (corresponding author), NASA, Columbia Earth Inst, New York, NY 10025 USA.</t>
  </si>
  <si>
    <t>maria.sand@cicero.oslo.no</t>
  </si>
  <si>
    <t>Lamarque, Jean-Francois/L-2313-2014; Zhang, Kai/F-8415-2010; Liu, Xiaohong/E-9304-2011; Takemura, Toshihiko/C-2822-2009; Ghan, Steven J/H-4301-2011; Myhre, Gunnar/J-5483-2014; Samset, Bjørn H./H-6828-2016; Schulz, Michael/A-6930-2011; Yu, Fangqun/N-7431-2019; Myhre, Gunnar/A-3598-2008; Stier, Philip/B-2258-2008; Skeie, Ragnhild Bieltvedt/K-1173-2015; Chin, Mian/J-8354-2012; Tsigaridis, Kostas/K-8292-2012; Penner, Joyce E/J-1719-2012; Yu, Fangqun/F-3708-2011; Sand, Maria/J-8822-2016; Balkanski, Yves/A-6616-2011</t>
  </si>
  <si>
    <t>Zhang, Kai/0000-0003-0457-6368; Liu, Xiaohong/0000-0002-3994-5955; Takemura, Toshihiko/0000-0002-2859-6067; Myhre, Gunnar/0000-0002-4309-476X; Samset, Bjørn H./0000-0001-8013-1833; Schulz, Michael/0000-0003-4493-4158; Yu, Fangqun/0000-0001-8862-4835; Skeie, Ragnhild Bieltvedt/0000-0003-1246-4446; Sand, Maria/0000-0003-0256-7468; Berntsen, Terje/0000-0001-5971-5930; Stier, Philip/0000-0002-1191-0128; Easter, Richard/0000-0002-8602-1464; Balkanski, Yves/0000-0001-8241-2858</t>
  </si>
  <si>
    <t>Research Council of Norway (RCN) through a FRIPRO Mobility Grant, BlackArc [240921]; European Union's Seventh Framework Programme for research, technological development and demonstration under Marie Curie grant [608695]; US Department of Energy Office of Science Decadal and Regional Climate Prediction using Earth System Models (EaSM) programme; DOE by Battelle Memorial Institute [DE-AC06-76RLO 1830]; National Science Foundation [AGS-0946739, ARC-1023387, NSF AGS-1550816]; Department of Energy [DOE FG02 01 ER63248, DOE DE-SC0008486]; NEC SX-ACE supercomputer system of the National Institute for Environmental Studies, Japan; Environmental Research and Technology Development Fund of the Ministry of Environment, Japan [S-12-3]; JSPS KAKENHI [JP15H01728, JP15K12190]; Norwegian Research Council [229771, 207711/E10, nn2345k, ns2345k]; EU; European Research Council (ERC) under the European Union's Seventh Framework Programme (FP7) ERC project ACCLAIM [FP7-280025]; UK Natural Environment Research Council project GASSP [NE/J022624/1]; Office of Science (BER) of the US Department of Energy; National Aeronautics and Space Administration [NASA NNX17AG35G]; U.S. Department of Energy (DOE) [DE-SC0008486] Funding Source: U.S. Department of Energy (DOE); NERC [NE/J022624/1] Funding Source: UKRI; Natural Environment Research Council [NE/J022624/1] Funding Source: researchfish; Grants-in-Aid for Scientific Research [15H01728] Funding Source: KAKEN</t>
  </si>
  <si>
    <t>Research Council of Norway (RCN) through a FRIPRO Mobility Grant, BlackArc(Research Council of Norway); European Union's Seventh Framework Programme for research, technological development and demonstration under Marie Curie grant(European Union (EU)Marie Curie Actions); US Department of Energy Office of Science Decadal and Regional Climate Prediction using Earth System Models (EaSM) programme(United States Department of Energy (DOE)); DOE by Battelle Memorial Institute(United States Department of Energy (DOE)); National Science Foundation(National Science Foundation (NSF)); Department of Energy(United States Department of Energy (DOE)); NEC SX-ACE supercomputer system of the National Institute for Environmental Studies, Japan; Environmental Research and Technology Development Fund of the Ministry of Environment, Japan; JSPS KAKENHI(Ministry of Education, Culture, Sports, Science and Technology, Japan (MEXT)Japan Society for the Promotion of ScienceGrants-in-Aid for Scientific Research (KAKENHI)); Norwegian Research Council(Research Council of Norway); EU(European Union (EU)); European Research Council (ERC) under the European Union's Seventh Framework Programme (FP7) ERC project ACCLAIM(European Research Council (ERC)); UK Natural Environment Research Council project GASSP; Office of Science (BER) of the US Department of Energy(United States Department of Energy (DOE)); National Aeronautics and Space Administration(National Aeronautics &amp; Space Administration (NASA)); U.S. Department of Energy (DOE)(United States Department of Energy (DOE)); NERC(UK Research &amp; Innovation (UKRI)Natural Environment Research Council (NERC));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t>
  </si>
  <si>
    <t>Maria Sand has received funding from The Research Council of Norway (RCN) through a FRIPRO Mobility Grant, BlackArc, contract no 240921. The FRIPRO Mobility grant scheme (FRICON) is co-funded by the European Union's Seventh Framework Programme for research, technological development and demonstration under Marie Curie grant agreement no 608695. Maria Sand and Bjorn H. Samset were funded through the Polish-Norwegian Research Programme project iAREA, and RCN projects AEROCOM-P3 and AC/BC (240372). Richard C. Easter and Steven J. Ghan were supported by the US Department of Energy Office of Science Decadal and Regional Climate Prediction using Earth System Models (EaSM) programme. The Pacific Northwest National Laboratory is operated for the DOE by Battelle Memorial Institute under contract DE-AC06-76RLO 1830. Guangxing Lin and Joyce E. Penner were supported by the National Science Foundation (projects AGS-0946739 and ARC-1023387) and the Department of Energy (DOE FG02 01 ER63248 and DOE DE-SC0008486. Toshihiko Takemura is supported by the NEC SX-ACE supercomputer system of the National Institute for Environmental Studies, Japan, the Environmental Research and Technology Development Fund (S-12-3) of the Ministry of Environment, Japan and JSPS KAKENHI Grant Numbers JP15H01728 and JP15K12190. Trond Iversen, Alf Kirkevag and Oyvind Seland were supported by the Norwegian Research Council through the projects EVA (grant 229771), EarthClim (207711/E10), NOTUR (nn2345k), and NorStore (ns2345k), and through the EU projects PEGASOS and ACCESS and Nordforsk-CRAICC. Philip Stier acknowledges funding from the European Research Council (ERC) under the European Union's Seventh Framework Programme (FP7/2007-2013) ERC project ACCLAIM (Grant Agreement FP7-280025) and from the UK Natural Environment Research Council project GASSP (grant number NE/J022624/1). The CESM project is supported by the National Science Foundation and the Office of Science (BER) of the US Department of Energy. NCAR is sponsored by the National Science Foundation. CALIPSO is a joint satellite mission between NASA and the French Agency, CNES. Guangxing Lin and Fangqun Yu were supported by the National Aeronautics and Space Administration (NASA NNX17AG35G) and the National Science Foundation (NSF AGS-1550816). We thank the PI investigators and their staff for establishing and maintaining the AERONET sites used in this study.</t>
  </si>
  <si>
    <t>1680-7316</t>
  </si>
  <si>
    <t>1680-7324</t>
  </si>
  <si>
    <t>ATMOS CHEM PHYS</t>
  </si>
  <si>
    <t>Atmos. Chem. Phys.</t>
  </si>
  <si>
    <t>10.5194/acp-17-12197-2017</t>
  </si>
  <si>
    <t>Environmental Sciences; Meteorology &amp; Atmospheric Sciences</t>
  </si>
  <si>
    <t>Environmental Sciences &amp; Ecology; Meteorology &amp; Atmospheric Sciences</t>
  </si>
  <si>
    <t>FJ7LA</t>
  </si>
  <si>
    <t>Green Submitted, Green Accepted, gold</t>
  </si>
  <si>
    <t>WOS:000412937900001</t>
  </si>
  <si>
    <t>Schram, JB; Schoenrock, KM; McClintock, JB; Amsler, CD; Angus, RA</t>
  </si>
  <si>
    <t>Schram, Julie B.; Schoenrock, Kathryn M.; McClintock, James B.; Amsler, Charles D.; Angus, Robert A.</t>
  </si>
  <si>
    <t>Ocean warming and acidification alter Antarctic macroalgal biochemical composition but not amphipod grazer feeding preferences</t>
  </si>
  <si>
    <t>Amphipod; Antarctic ecology; Benthos; Climate change; Feeding selectivity; Macroalgae; Temperature</t>
  </si>
  <si>
    <t>CLIMATE-CHANGE; SEAWATER TEMPERATURE; SUBTIDAL MACROALGAE; CHEMICAL DEFENSES; CO2; PALATABILITY; BONFERRONI; RESISTANCE; ECOSYSTEM; PATTERNS</t>
  </si>
  <si>
    <t>Increased anthropogenic atmospheric CO2 concentrations have resulted in ocean warming and alterations in ocean carbonate chemistry, decreasing seawater pH (ocean acidification). The combination of ocean warming and acidification (OWA) may alter trophic interactions in marine benthic communities along the western Antarctic Peninsula (WAP). Abundant and diverse macroalgae-grazer assemblages, dominated by macroalgae (e.g. chemically defended Desmarestia anceps and D.menziesii) and gammarid amphipods (e.g. Gondogeneia antarctica), occur on the nearshore benthos along the WAP. In the present study, the amphipod G.antarctica and macroalgae D.anceps and D.menziesii were exposed for 39 and 79 d, respectively, to combinations of current and predicted near-future temperature (1.5 and 3.5 degrees C, respectively) and pH (8.0 and 7.6, respectively). Protein and lipid levels of macroalgal tissues were quantified, and 5-way choice amphipod feeding assays were performed with lyophilized macroalgal tissues collected at time zero and following exposure to the 4 temperature-pH treatments. For D. anceps, we found a significant interactive temperature-pH effect on lipid levels and significantly lower protein levels at reduced pH. In contrast, tissues of D. menziesii exhibited significantly greater lipid levels after exposure to reduced pH, but there was no temperature effect on lipid or protein levels. Despite shifts in macroalgal biochemical composition, there were no changes in amphipod feeding preferences. Our results indicate that despite altered macroalgal nutritional quality under OWA, both macroalgae retained their ability to deter amphipod feeding. This deterrent capacity could become an important contributor to net community resistance of macroalgae-mesograzer assemblages of the WAP to predicted OWA.</t>
  </si>
  <si>
    <t>[Schram, Julie B.; Schoenrock, Kathryn M.; McClintock, James B.; Amsler, Charles D.; Angus, Robert A.] Univ Alabama Birmingham, Dept Biol, Birmingham, AL 35294 USA; [Schram, Julie B.] Univ Oregon, Oregon Inst Marine Biol, Charleston, OR 97420 USA</t>
  </si>
  <si>
    <t>University of Alabama System; University of Alabama Birmingham; University of Oregon</t>
  </si>
  <si>
    <t>Schram, JB (corresponding author), Univ Alabama Birmingham, Dept Biol, Birmingham, AL 35294 USA.;Schram, JB (corresponding author), Univ Oregon, Oregon Inst Marine Biol, Charleston, OR 97420 USA.</t>
  </si>
  <si>
    <t>jschram@uoregon.edu</t>
  </si>
  <si>
    <t>Schoenrock, Kathryn/B-9082-2018</t>
  </si>
  <si>
    <t>Schoenrock, Kathryn/0000-0002-0407-3173; Schram, Julie/0000-0002-1556-6483</t>
  </si>
  <si>
    <t>NSF from the Antarctic Organisms and Ecosystems program [ANT-041022]; Endowed Professorship in Polar and Marine Biology from UAB</t>
  </si>
  <si>
    <t>NSF from the Antarctic Organisms and Ecosystems program(National Science Foundation (NSF)NSF - Directorate for Geosciences (GEO)); Endowed Professorship in Polar and Marine Biology from UAB</t>
  </si>
  <si>
    <t>The authors gratefully acknowledge the exemplary logistical and science support of the staff of Antarctic Support Contract. Margaret Amsler and Kevin Scriber of the Department of Biology at UAB provided valuable field assistance, and Charles Katholi of the UAB Department of Biostatistics provided invaluable statistics consultation. Additional thanks are due to Kenan Matterson for his assistance with protein assays and Robert Thacker for access to his laboratory equipment. The present study was supported by NSF award ANT-041022 (J.B.M., C.D.A., R.A.A.) from the Antarctic Organisms and Ecosystems program. J.B.M. acknowledges support from an Endowed Professorship in Polar and Marine Biology from UAB.</t>
  </si>
  <si>
    <t>10.3354/meps12308</t>
  </si>
  <si>
    <t>Bronze, Green Submitted</t>
  </si>
  <si>
    <t>WOS:000414582700004</t>
  </si>
  <si>
    <t>Russo, R; Giordano, D; Paredi, G; Marchesani, F; Milazzo, L; Altomonte, G; Del Canale, P; Abbruzzetti, S; Ascenzi, P; Di Prisco, G; Viappiani, C; Fago, A; Bruno, S; Smulevich, G; Verde, C</t>
  </si>
  <si>
    <t>Russo, Roberta; Giordano, Daniela; Paredi, Gianluca; Marchesani, Francesco; Milazzo, Lisa; Altomonte, Giovanna; Del Canale, Pietro; Abbruzzetti, Stefania; Ascenzi, Paolo; Di Prisco, Guido; Viappiani, Cristiano; Fago, Angela; Bruno, Stefano; Smulevich, Giulietta; Verde, Cinzia</t>
  </si>
  <si>
    <t>The Greenland shark Somniosus microcephalus -Hemoglobins and ligand-binding properties</t>
  </si>
  <si>
    <t>PLOS ONE</t>
  </si>
  <si>
    <t>RESONANCE RAMAN-SPECTRA; AMINO-ACID-SEQUENCE; OXYGEN-BINDING; HETERODONTUS-PORTUSJACKSONI; STRETCHING FREQUENCIES; MOLECULAR ADAPTATIONS; QUATERNARY STRUCTURE; NOTOTHENIOID FISH; HYPOXIA TOLERANCE; ALLOSTERIC MODEL</t>
  </si>
  <si>
    <t>A large amount of data is currently available on the adaptive mechanisms of polar bony fish hemoglobins, but structural information on those of cartilaginous species is scarce. This study presents the first characterisation of the hemoglobin system of one of the longest-living vertebrate species (392 +/- 120 years), the Arctic shark Somniosus microcephalus. Three major hemoglobins are found in its red blood cells and are made of two copies of the same a globin combined with two copies of three very similar beta subunits. The three hemoglobins show very similar oxygenation and carbonylation properties, which are unaffected by urea, a very important compound in marine elasmobranch physiology. They display identical electronic absorption and resonance Raman spectra, indicating that their heme-pocket structures are identical or highly similar. The quaternary transition equilibrium between the relaxed (R) and the tense (T) states is more dependent on physiological allosteric effectors than in human hemoglobin, as also demonstrated in polar teleost hemoglobins. Similar to other cartilaginous fishes, we found no evidence for functional differentiation among the three isoforms. The very similar ligand-binding properties suggest that regulatory control of O-2 transport may be at the cellular level and that it may involve changes in the cellular concentrations of allosteric effectors and/or variations of other systemic factors. The hemoglobins of this polar shark have evolved adaptive decreases in O2 affinity in comparison to temperate sharks.</t>
  </si>
  <si>
    <t>[Russo, Roberta; Giordano, Daniela; Altomonte, Giovanna; Di Prisco, Guido; Verde, Cinzia] CNR, Inst Biosci &amp; BioResources, Via Pietro Castellino 111, Naples, Italy; [Giordano, Daniela; Verde, Cinzia] Stn Zool Anton Dohrn, Naples, Italy; [Paredi, Gianluca; Marchesani, Francesco; Bruno, Stefano] Univ Parma, Dipartimento Sci Alimenti &amp; Farmaco, Parco Area Sci 23-A, Parma, Italy; [Milazzo, Lisa; Smulevich, Giulietta] Univ Firenze, Dipartimento Chim Ugo Schiff, Via Lastruccia 3-13, Sesto Fiorentino, FI, Italy; [Altomonte, Giovanna; Verde, Cinzia] Univ Roma 3, Dipartimento Biol, Viale Marconi 448, Rome, Italy; [Del Canale, Pietro; Abbruzzetti, Stefania; Viappiani, Cristiano] Univ Parma, Dipartimento Sci Matemat Fis &amp; Informat, Parco Area Sci 7A, Parma, Italy; [Abbruzzetti, Stefania; Viappiani, Cristiano] CNR, NEST Ist Nanosci, Piazza San Silvestro 12, Pisa, Italy; [Ascenzi, Paolo] Univ RomaTre, Lab Interdipartimentale Microscopia Elettron, Via Vasca Navale 79, Rome, Italy; [Fago, Angela] Aarhus Univ, Dept Biosci, Zoophysiol, Aarhus, Denmark</t>
  </si>
  <si>
    <t>Consiglio Nazionale delle Ricerche (CNR); Istituto di Bioscienze e Biorisorse (IBBR-CNR); Stazione Zoologica Anton Dohrn di Napoli; University of Parma; University of Florence; Roma Tre University; University of Parma; Consiglio Nazionale delle Ricerche (CNR); Istituto Nanoscienze (NANO-CNR); Roma Tre University; Aarhus University</t>
  </si>
  <si>
    <t>Verde, C (corresponding author), CNR, Inst Biosci &amp; BioResources, Via Pietro Castellino 111, Naples, Italy.;Verde, C (corresponding author), Stn Zool Anton Dohrn, Naples, Italy.;Verde, C (corresponding author), Univ Roma 3, Dipartimento Biol, Viale Marconi 448, Rome, Italy.</t>
  </si>
  <si>
    <t>c.verde@ibp.cnr.it</t>
  </si>
  <si>
    <t>abbruzzetti, stefania/AAE-5518-2020; Viappiani, Cristiano/AAC-7579-2019; Giordano, Daniela/AFK-7772-2022; Paredi, Gianluca/N-9977-2019; Fago, Angela/J-5946-2013; Bruno, Stefano/A-4582-2011</t>
  </si>
  <si>
    <t>abbruzzetti, stefania/0000-0001-7685-8554; Viappiani, Cristiano/0000-0001-7470-4770; Giordano, Daniela/0000-0002-8891-6245; Marchesani, Francesco/0000-0003-4384-9015; Fago, Angela/0000-0001-7315-2628; VERDE, Cinzia/0000-0001-6185-282X; Bruno, Stefano/0000-0002-7890-2472</t>
  </si>
  <si>
    <t>Italian National Programme for Antarctic Research (PNRA) [2013/AZ1.20]; Danish Council for Independent Research, Natural Sciences [10-084-565]; SCAR programme Antarctic Thresholds-Ecosystem Resilience and Adaptation (AnT-ERA)</t>
  </si>
  <si>
    <t>Italian National Programme for Antarctic Research (PNRA); Danish Council for Independent Research, Natural Sciences(Det Frie Forskningsrad (DFF)); SCAR programme Antarctic Thresholds-Ecosystem Resilience and Adaptation (AnT-ERA)</t>
  </si>
  <si>
    <t>The authors acknowledge grant support from the Italian National Programme for Antarctic Research (PNRA) (Project 2013/AZ1.20) and from the Danish Council for Independent Research, Natural Sciences (grant 10-084-565 to AF); The specimens were collected during the TUNU-V expedition, as part of the TEAM-Fish Programme, UiT-The Arctic University of Tromso, Norway. This study is in the framework of the project TUNU Euro-Arctic Marine Fishes (TEAM-Fish): Impact of climate change on biodiversity, adaptation, contaminant bioaccumulation. Comparison with the Antarctic, funded by the Italian National Programme for Antarctic Research (PNRA); and of the SCAR programme Antarctic Thresholds-Ecosystem Resilience and Adaptation (AnT-ERA). The authors are grateful to colleagues and crew onboard the RV Helmer Hanssen for their kind collaboration. We thank Elin E. Petersen (Aarhus) for skilled technical assistance in the lab. We are grateful to four anonimous Reviewers, whose comments and suggestions helped us to improve the manuscript.</t>
  </si>
  <si>
    <t>PUBLIC LIBRARY SCIENCE</t>
  </si>
  <si>
    <t>SAN FRANCISCO</t>
  </si>
  <si>
    <t>1160 BATTERY STREET, STE 100, SAN FRANCISCO, CA 94111 USA</t>
  </si>
  <si>
    <t>1932-6203</t>
  </si>
  <si>
    <t>PLoS One</t>
  </si>
  <si>
    <t>OCT 12</t>
  </si>
  <si>
    <t>e0186181</t>
  </si>
  <si>
    <t>10.1371/journal.pone.0186181</t>
  </si>
  <si>
    <t>FJ6DU</t>
  </si>
  <si>
    <t>WOS:000412845100075</t>
  </si>
  <si>
    <t>He, H; Cheng, X; Li, XL; Zhu, RB; Hui, FM; Wu, WH; Zhao, TC; Kang, J; Tang, JW</t>
  </si>
  <si>
    <t>He, Hong; Cheng, Xiao; Li, Xianglan; Zhu, Renbin; Hui, Fengming; Wu, Wenhui; Zhao, Tiancheng; Kang, Jing; Tang, Jianwu</t>
  </si>
  <si>
    <t>Aerial photography based census of Adelie Penguin and its application in CH4 and N2O budget estimation in Victoria Land, Antarctic</t>
  </si>
  <si>
    <t>POPULATION-CHANGES; METHANE EMISSIONS; TUNDRA; COLONIES; SEA; VARIABILITY; ECOSYSTEMS; PENINSULA; INCREASE; SOILS</t>
  </si>
  <si>
    <t>Penguin guano provides favorable conditions for production and emission of greenhouse gases (GHGs). Many studies have been conducted to determine the GHG fluxes from penguin colonies, however, at regional scale, there is still no accurate estimation of total GHG emissions. We used object-based image analysis (OBIA) method to estimate the Adelie penguin (Pygoscelis adeliae) population based on aerial photography data. A model was developed to estimate total GHG emission potential from Adelie penguin colonies during breeding seasons in 1983 and 2012, respectively. Results indicated that OBIA method was effective for extracting penguin information from aerial photographs. There were 17,120 and 21,183 Adelie penguin breeding pairs on Inexpressible Island in 1983 and 2012, respectively, with overall accuracy of the estimation of 76.8%. The main reasons for the increase in Adelie penguin populations were attributed to increase in temperature, sea ice and phytoplankton. The average estimated CH4 and N2O emissions tended to be increasing during the period from 1983 to 2012 and CH4 was the main GHG emitted from penguin colonies. Total global warming potential (GWP) of CH4 and N2O emissions was 5303 kg CO2-eq in 1983 and 6561 kg CO2-eq in 2012, respectively.</t>
  </si>
  <si>
    <t>[He, Hong; Cheng, Xiao; Li, Xianglan; Hui, Fengming; Zhao, Tiancheng; Kang, Jing] Beijing Normal Univ, State Key Lab Remote Sensing Sci, Beijing 100875, Peoples R China; [He, Hong; Cheng, Xiao; Li, Xianglan; Hui, Fengming; Zhao, Tiancheng; Kang, Jing] Beijing Normal Univ, Coll Global Change &amp; Earth Syst Sci, Beijing 100875, Peoples R China; [Cheng, Xiao; Li, Xianglan; Hui, Fengming] Beijing Normal Univ, Joint Ctr Global Change &amp; China Green Dev, Beijing 100875, Peoples R China; [Zhu, Renbin] Univ Sci &amp; Technol China, Sch Earth &amp; Space Sci, Inst Polar Environm, Hefei 230026, Anhui, Peoples R China; [Wu, Wenhui] Heilongjiang Adm Surveying Mapping &amp; Geoinformat, Polar Surveying &amp; Mapping Engn Ctr, Harbin 150081, Heilongjiang, Peoples R China; [Tang, Jianwu] Ecosyst Ctr, Marine Biol Lab, Woods Hole, MA 02543 USA</t>
  </si>
  <si>
    <t>Beijing Normal University; Beijing Normal University; Beijing Normal University; Chinese Academy of Sciences; University of Science &amp; Technology of China, CAS; Marine Biological Laboratory - Woods Hole</t>
  </si>
  <si>
    <t>Cheng, X; Li, XL (corresponding author), Beijing Normal Univ, State Key Lab Remote Sensing Sci, Beijing 100875, Peoples R China.;Cheng, X; Li, XL (corresponding author), Beijing Normal Univ, Coll Global Change &amp; Earth Syst Sci, Beijing 100875, Peoples R China.</t>
  </si>
  <si>
    <t>xcheng@bnu.edu.cn; xlli@bnu.edu.cn</t>
  </si>
  <si>
    <t>Kang, Jing/ABI-3220-2020; Kang, Jing/GPT-2654-2022; Tang, Jianwu/K-6798-2014; wu, wenhui/IXX-0116-2023</t>
  </si>
  <si>
    <t>Kang, Jing/0000-0001-5603-4611; Kang, Jing/0000-0001-5603-4611; Tang, Jianwu/0000-0003-2498-9012;</t>
  </si>
  <si>
    <t>Fundamental Research Funds for the Central Universities [312231103]; Chinese Arctic and Antarctic Administration; National Natural Science Foundation of China [41676176, 41676182]; Chinese Polar Environment Comprehensive Investigation, Assessment Program</t>
  </si>
  <si>
    <t>Fundamental Research Funds for the Central Universities(Fundamental Research Funds for the Central Universities); Chinese Arctic and Antarctic Administration; National Natural Science Foundation of China(National Natural Science Foundation of China (NSFC)); Chinese Polar Environment Comprehensive Investigation, Assessment Program</t>
  </si>
  <si>
    <t>This work was supported by the Fundamental Research Funds for the Central Universities (Grant No. 312231103), the Chinese Arctic and Antarctic Administration, National Natural Science Foundation of China (Grant Nos 41676176 and 41676182), the Chinese Polar Environment Comprehensive Investigation, Assessment Program.</t>
  </si>
  <si>
    <t>OCT 11</t>
  </si>
  <si>
    <t>10.1038/s41598-017-13380-6</t>
  </si>
  <si>
    <t>FJ5HE</t>
  </si>
  <si>
    <t>WOS:000412781300010</t>
  </si>
  <si>
    <t>Seltzer, AM; Buizert, C; Baggenstos, D; Brook, EJ; Ahn, J; Yang, JW; Severinghaus, JP</t>
  </si>
  <si>
    <t>Seltzer, Alan M.; Buizert, Christo; Baggenstos, Daniel; Brook, Edward J.; Ahn, Jinho; Yang, Ji-Woong; Severinghaus, Jeffrey P.</t>
  </si>
  <si>
    <t>Does δ18O of O2 record meridional shifts in tropical rainfall?</t>
  </si>
  <si>
    <t>CLIMATE OF THE PAST</t>
  </si>
  <si>
    <t>ABRUPT CLIMATE-CHANGE; CORE WD2014 CHRONOLOGY; EAST-ASIAN MONSOON; ICE-CORE; SIPLE DOME; MILLENNIAL-SCALE; WEST ANTARCTICA; OXYGEN ISOTOPES; NORTH-ATLANTIC; SEA-LEVEL</t>
  </si>
  <si>
    <t>Marine sediments, speleothems, paleo-lake elevations, and ice core methane and delta O-18 of O-2 (delta O-18(atm)) records provide ample evidence for repeated abrupt meridional shifts in tropical rainfall belts throughout the last glacial cycle. To improve understanding of the impact of abrupt events on the global terrestrial biosphere, we present composite records of delta O-18(atm) and inferred changes in fractionation by the global terrestrial biosphere (Delta epsilon(LAND)) from discrete gas measurements in the WAIS Divide (WD) and Siple Dome (SD) Antarctic ice cores. On the common WD timescale, it is evident that maxima in Delta epsilon(LAND) are synchronous with or shortly follow small-amplitude WD CH4 peaks that occur within Heinrich stadials 1, 2, 4, and 5 - periods of low atmospheric CH4 concentrations. These local CH4 maxima have been suggested as markers of abrupt climate responses to Heinrich events. Based on our analysis of the modern seasonal cycle of gross primary productivity (GPP)-weighted delta(OatmO)-O-18 of terrestrial precipitation (the source water for atmospheric O-2 production), we propose a simple mechanism by which Delta epsilon(LAND) tracks the centroid latitude of terrestrial oxygen production. As intense rainfall and oxygen production migrate northward, Delta epsilon(LAND) should decrease due to the underlying meridional gradient in rainfall delta O-18. A southward shift should increase Delta epsilon(LAND). Monsoon intensity also influences delta O-18 of precipitation, and although we cannot determine the relative contributions of the two mechanisms, both act in the same direction. Therefore, we suggest that abrupt increases in Delta epsilon(LAND) unambiguously imply a southward shift of tropical rainfall. The exact magnitude of this shift, however, remains under-constrained by Delta epsilon(LAND).</t>
  </si>
  <si>
    <t>[Seltzer, Alan M.; Severinghaus, Jeffrey P.] Univ Calif San Diego, Scripps Inst Oceanog, La Jolla, CA 92037 USA; [Buizert, Christo; Brook, Edward J.] Oregon State Univ, Coll Earth Ocean &amp; Atmospher Sci, Corvallis, OR 97331 USA; [Baggenstos, Daniel] Univ Bern, Climate &amp; Environm Phys, CH-3012 Bern, Switzerland; [Ahn, Jinho; Yang, Ji-Woong] Seoul Natl Univ, Sch Earth &amp; Environm Sci, Seoul 08826, South Korea</t>
  </si>
  <si>
    <t>University of California System; University of California San Diego; Scripps Institution of Oceanography; Oregon State University; University of Bern; Seoul National University (SNU)</t>
  </si>
  <si>
    <t>Seltzer, AM (corresponding author), Univ Calif San Diego, Scripps Inst Oceanog, La Jolla, CA 92037 USA.</t>
  </si>
  <si>
    <t>aseltzer@ucsd.edu</t>
  </si>
  <si>
    <t>Brook, Edward/AAB-7807-2021; Yang, Ji-Woong/KHW-8273-2024; Baggenstos, Daniel/AAK-5751-2021</t>
  </si>
  <si>
    <t>Yang, Ji-Woong/0000-0001-8397-9274; Baggenstos, Daniel/0000-0001-9756-6884</t>
  </si>
  <si>
    <t>National Science Foundation [0538657]</t>
  </si>
  <si>
    <t>National Science Foundation(National Science Foundation (NSF))</t>
  </si>
  <si>
    <t>We thank Bruce Cornuelle for helpful discussions about curve fitting and linear optimization, Ross Beaudette for ice core measurements, and the WAIS Divide and Siple Dome project members for making this work possible. WAIS Divide atmospheric oxygen isotope measurements were made at Scripps Institution of Oceanography's Noble Gas Isotope Laboratory and were supported by National Science Foundation grant 0538657.</t>
  </si>
  <si>
    <t>1814-9324</t>
  </si>
  <si>
    <t>1814-9332</t>
  </si>
  <si>
    <t>CLIM PAST</t>
  </si>
  <si>
    <t>Clim. Past.</t>
  </si>
  <si>
    <t>10.5194/cp-13-1323-2017</t>
  </si>
  <si>
    <t>Geosciences, Multidisciplinary; Meteorology &amp; Atmospheric Sciences</t>
  </si>
  <si>
    <t>Geology; Meteorology &amp; Atmospheric Sciences</t>
  </si>
  <si>
    <t>FJ4TX</t>
  </si>
  <si>
    <t>Green Published, gold, Green Submitted</t>
  </si>
  <si>
    <t>WOS:000412736400001</t>
  </si>
  <si>
    <t>Lee, J; Cho, YJ; Yang, JY; Jung, YJ; Hong, SG; Kim, OS</t>
  </si>
  <si>
    <t>Lee, Jaejin; Cho, Yong-Joon; Yang, Jae Young; Jung, You-Jung; Hong, Soon Gyu; Kim, Ok-Sun</t>
  </si>
  <si>
    <t>Complete genome sequence of Pseudomonas antarctica PAMC 27494, a bacteriocin-producing psychrophile isolated from Antarctica</t>
  </si>
  <si>
    <t>JOURNAL OF BIOTECHNOLOGY</t>
  </si>
  <si>
    <t>Complete genome; Pseudomonas antarctica; Psychrophile; Microcin B</t>
  </si>
  <si>
    <t>MICROCIN B; MICROORGANISMS</t>
  </si>
  <si>
    <t>Antimicrobial-producing, cold-adapted microorganisms have great potential for biotechnological applications in food, pharmaceutical, and cosmetic industries. Pseudomonas antarctica PAMC 27494, a psychrophile exhibiting antimicrobial activity, was isolated from an Antarctic freshwater sample. Here we report the complete genome of P. antarctica PAMC 27494. The strain contains a gene cluster encoding microcin B which inhibits DNA regulations by targeting the DNA gyrase. PAMC 27494 may produce R-type pyocins and also contains a complete set of proteins for the biosynthesis of adenosylcobalamin and possibly induces plant growth by supplying pyrroloquinoline quionone molecules.</t>
  </si>
  <si>
    <t>[Lee, Jaejin; Cho, Yong-Joon; Kim, Ok-Sun] Korea Polar Res Inst, Unit Antarctic K Route Expedit, Incheon 21990, South Korea; [Yang, Jae Young; Jung, You-Jung; Hong, Soon Gyu] Korea Polar Res Inst, Div Polar Life Sci, Incheon 21990, South Korea</t>
  </si>
  <si>
    <t>Korea Polar Research Institute (KOPRI); Korea Polar Research Institute (KOPRI)</t>
  </si>
  <si>
    <t>Kim, OS (corresponding author), Korea Polar Res Inst, Unit Antarctic K Route Expedit, Incheon 21990, South Korea.</t>
  </si>
  <si>
    <t>oskim@kopri.re.kr</t>
  </si>
  <si>
    <t>Lee, Jaejin/JSK-3037-2023</t>
  </si>
  <si>
    <t>Lee, Jaejin/0000-0002-9793-9473; Cho, Yong-Joon/0000-0003-3191-2670</t>
  </si>
  <si>
    <t>Korea Polar Research Institute [PE17090]</t>
  </si>
  <si>
    <t>Korea Polar Research Institute(Korea Polar Research Institute of Marine Research Placement (KOPRI))</t>
  </si>
  <si>
    <t>This work was supported by Korea Polar Research Institute (Grant PE17090).</t>
  </si>
  <si>
    <t>0168-1656</t>
  </si>
  <si>
    <t>1873-4863</t>
  </si>
  <si>
    <t>J BIOTECHNOL</t>
  </si>
  <si>
    <t>J. Biotechnol.</t>
  </si>
  <si>
    <t>OCT 10</t>
  </si>
  <si>
    <t>10.1016/j.jbiotec.2017.08.013</t>
  </si>
  <si>
    <t>Biotechnology &amp; Applied Microbiology</t>
  </si>
  <si>
    <t>FI5OZ</t>
  </si>
  <si>
    <t>WOS:000412035000003</t>
  </si>
  <si>
    <t>Che-Castaldo, C; Jenouvrier, S; Youngflesh, C; Shoemaker, KT; Humphries, G; McDowall, P; Landrum, L; Holland, MM; Li, Y; Ji, RB; Lynch, HJ</t>
  </si>
  <si>
    <t>Che-Castaldo, Christian; Jenouvrier, Stephanie; Youngflesh, Casey; Shoemaker, Kevin T.; Humphries, Grant; McDowall, Philip; Landrum, Laura; Holland, Marika M.; Li, Yun; Ji, Rubao; Lynch, Heather J.</t>
  </si>
  <si>
    <t>Pan-Antarctic analysis aggregating spatial estimates of Adelie penguin abundance reveals robust dynamics despite stochastic noise</t>
  </si>
  <si>
    <t>NATURE COMMUNICATIONS</t>
  </si>
  <si>
    <t>ANOMALOUS ATMOSPHERIC CIRCULATION; SEA-ICE; POPULATION-CHANGES; PACIFIC SECTOR; TIME-SERIES; VARIABILITY; CLIMATE; ECOSYSTEM; MANAGEMENT; CONVENTION</t>
  </si>
  <si>
    <t>Colonially-breeding seabirds have long served as indicator species for the health of the oceans on which they depend. Abundance and breeding data are repeatedly collected at fixed study sites in the hopes that changes in abundance and productivity may be useful for adaptive management of marine resources, but their suitability for this purpose is often unknown. To address this, we fit a Bayesian population dynamics model that includes process and observation error to all known Adelie penguin abundance data (1982-2015) in the Antarctic, covering &gt;95% of their population globally. We find that process error exceeds observation error in this system, and that continent-wide year effects strongly influence population growth rates. Our findings have important implications for the use of Adelie penguins in Southern Ocean feedback management, and suggest that aggregating abundance across space provides the fastest reliable signal of true population change for species whose dynamics are driven by stochastic processes.</t>
  </si>
  <si>
    <t>[Che-Castaldo, Christian; Youngflesh, Casey; Shoemaker, Kevin T.; Humphries, Grant; McDowall, Philip; Lynch, Heather J.] SUNY Stony Brook, Dept Ecol &amp; Evolut, Life Sci 106, Stony Brook, NY 11794 USA; [Jenouvrier, Stephanie] Woods Hole Oceanog Inst, Biol Dept, Mailstop 50,266 Woods Hole Rd, Woods Hole, MA 02543 USA; [Jenouvrier, Stephanie] Univ La Rochelle, CNRS, Ctr Etud Biol Chize, UMR 7372, F-79360 Villiers En Bois, France; [Shoemaker, Kevin T.] Univ Nevada, Dept Nat Resources &amp; Environm Sci, 1664 N Virginia St, Reno, NV 89557 USA; [Humphries, Grant] Black Bawks Data Sci Ltd, 24 Abertarff Pl, Ft Augustus PH32 4DR, Scotland; [Landrum, Laura; Holland, Marika M.] Natl Ctr Atmospher Res, POB 3000, Boulder, CO 80307 USA; [Li, Yun] Univ S Florida, Coll Marine Sci, 140 7th Ave South, St Petersburg, FL 33701 USA; [Li, Yun; Ji, Rubao] Woods Hole Oceanog Inst, Biol Dept, Mailstop 33,Redfield 2-14,266 Woods Hole Rd, Woods Hole, MA 02543 USA</t>
  </si>
  <si>
    <t>State University of New York (SUNY) System; State University of New York (SUNY) Stony Brook; Woods Hole Oceanographic Institution; La Rochelle Universite; Centre National de la Recherche Scientifique (CNRS); CNRS - Institute of Ecology &amp; Environment (INEE); Nevada System of Higher Education (NSHE); University of Nevada Reno; National Center Atmospheric Research (NCAR) - USA; State University System of Florida; University of South Florida; Woods Hole Oceanographic Institution</t>
  </si>
  <si>
    <t>Che-Castaldo, C; Lynch, HJ (corresponding author), SUNY Stony Brook, Dept Ecol &amp; Evolut, Life Sci 106, Stony Brook, NY 11794 USA.</t>
  </si>
  <si>
    <t>christian.che-castaldo@stonybrook.edu; heather.lynch@stonybrook.edu</t>
  </si>
  <si>
    <t>Li, Yun/F-5944-2015; Shoemaker, Kevin T/IZD-8166-2023; McDowall, Phil/AAK-8612-2021; Ji, Rubao/I-1970-2015</t>
  </si>
  <si>
    <t>Shoemaker, Kevin T/0000-0002-3789-3856; Holland, Marika/0000-0001-5621-8939; Youngflesh, Casey/0000-0001-6343-3311; Humphries, Grant/0000-0001-5783-9892; Landrum, Laura/0000-0002-6003-1146; jenouvrier, stephanie/0000-0003-3324-2383; McDowall, Philip/0000-0002-3683-3202; Che-Castaldo, Christian/0000-0002-7670-2178; Li, Yun/0000-0002-4766-4723</t>
  </si>
  <si>
    <t>US National Aeronautics and Space Administration Award [NNX14AC32G, NNX14AH74G]; U.S. National Science Foundation Office of Polar Programs Award [NSF/OPP-1255058, NSF/PLR-1341548]; Dalio Explore Fund; Directorate For Geosciences; Office of Polar Programs (OPP) [1255058, 1341474] Funding Source: National Science Foundation; NASA [683299, NNX14AH74G, 686208, NNX14AC32G] Funding Source: Federal RePORTER</t>
  </si>
  <si>
    <t>US National Aeronautics and Space Administration Award; U.S. National Science Foundation Office of Polar Programs Award; Dalio Explore Fund; Directorate For Geosciences; Office of Polar Programs (OPP)(National Science Foundation (NSF)NSF - Directorate for Geosciences (GEO)); NASA(National Aeronautics &amp; Space Administration (NASA))</t>
  </si>
  <si>
    <t>H.J.L., C.C.-C., G.H., C.Y., and K.T.S. gratefully acknowledge funding provided by US National Aeronautics and Space Administration Award No. NNX14AC32G and U.S. National Science Foundation Office of Polar Programs Award No. NSF/OPP-1255058. S.J., L.L., M.M.H., Y.L., and R.J. gratefully acknowledge funding provided by US National Aeronautics and Space Administration Award No. NNX14AH74G. H.J.L., C.Y., S.J., Y.L., and R.J. gratefully acknowledge funding provided by U.S. National Science Foundation Office of Polar Programs Award No. NSF/PLR-1341548. S.J. gratefully acknowledges support from the Dalio Explore Fund. We would like to thank Julienne Stroeve and Garrett Campbell from the National Snow and Ice Data Center (Boulder, CO, USA) for their guidance and discussions about sea ice dynamics.</t>
  </si>
  <si>
    <t>2041-1723</t>
  </si>
  <si>
    <t>NAT COMMUN</t>
  </si>
  <si>
    <t>Nat. Commun.</t>
  </si>
  <si>
    <t>10.1038/s41467-017-00890-0</t>
  </si>
  <si>
    <t>FJ3AX</t>
  </si>
  <si>
    <t>WOS:000412603600017</t>
  </si>
  <si>
    <t>Tassara, S; González-Jiménez, JM; Reich, M; Schilling, ME; Morata, D; Begg, G; Saunders, E; Griffin, WL; O'Reilly, SY; Grégoire, M; Barra, F; Corgne, A</t>
  </si>
  <si>
    <t>Tassara, Santiago; Gonzalez-Jimenez, Jose M.; Reich, Martin; Schilling, Manuel E.; Morata, Diego; Begg, Graham; Saunders, Edward; Griffin, William L.; O'Reilly, Suzanne Y.; Gregoire, Michel; Barra, Fernando; Corgne, Alexandre</t>
  </si>
  <si>
    <t>Plume-subduction interaction forms large auriferous provinces</t>
  </si>
  <si>
    <t>GONDWANA BREAK-UP; LITHOSPHERIC MANTLE; PERIDOTITE XENOLITHS; ISOTOPE CONSTRAINTS; ARMALCOLITE-BEARING; ANTARCTIC PENINSULA; SOUTHERN PATAGONIA; NATIVE GOLD; DEPOSITS; MAGMAS</t>
  </si>
  <si>
    <t>Gold enrichment at the crustal or mantle source has been proposed as a key ingredient in the production of giant gold deposits and districts. However, the lithospheric-scale processes controlling gold endowment in a given metallogenic province remain unclear. Here we provide the first direct evidence of native gold in the mantle beneath the Deseado Massif in Patagonia that links an enriched mantle source to the occurrence of a large auriferous province in the overlying crust. A precursor stage of mantle refertilisation by plume-derived melts generated a gold-rich mantle source during the Early Jurassic. The interplay of this enriched mantle domain and subduction-related fluids released during the Middle-Late Jurassic resulted in optimal conditions to produce the ore-forming magmas that generated the gold deposits. Our study highlights that refertilisation of the subcontinental lithospheric mantle is a key factor in forming large metallogenic provinces in the Earth's crust, thus providing an alternative view to current crust-related enrichment models.</t>
  </si>
  <si>
    <t>[Tassara, Santiago; Gonzalez-Jimenez, Jose M.; Reich, Martin; Morata, Diego; Barra, Fernando] Univ Chile, FCFM, Dept Geol, Plaza Ercilla 803, Santiago 8370450, Chile; [Tassara, Santiago; Gonzalez-Jimenez, Jose M.; Reich, Martin; Morata, Diego; Barra, Fernando] Univ Chile, FCFM, Andean Geothermal Ctr Excellence CEGA, Plaza Ercilla 803, Santiago 8370450, Chile; [Gonzalez-Jimenez, Jose M.] Univ Granada, Fac Ciencias, Dept Mineral &amp; Petrol, Fuentenueva S-N, Granada 180002, Spain; [Schilling, Manuel E.; Corgne, Alexandre] Univ Austral Chile, Fac Ciencias, Inst Ciencias Tierra, Valdivia 5090000, Chile; [Begg, Graham] Minerals Targeting Int PL, 17 Prowse St, Perth, WA 6005, Australia; [Saunders, Edward] Univ New England, Sch Environm &amp; Rural Sci, Div Earth Sci, Armidale, NSW 2351, Australia; [Saunders, Edward; Griffin, William L.; O'Reilly, Suzanne Y.] Macquarie Univ, GEMOC, ARC Ctr Excellence Core Crust Fluid Systems, Sydney, NSW 2109, Australia; [Gregoire, Michel] Toulouse Univ, CNRS CNES IRD UPS, GET, 14 Ave Edouard Belin, F-31200 Toulouse, France</t>
  </si>
  <si>
    <t>Universidad de Chile; Universidad de Chile; University of Granada; Universidad Austral de Chile; University of New England; Macquarie University; Universite Federale Toulouse Midi-Pyrenees (ComUE); Universite de Toulouse; Universite Toulouse III - Paul Sabatier; Institut de Recherche pour le Developpement (IRD)</t>
  </si>
  <si>
    <t>Tassara, S (corresponding author), Univ Chile, FCFM, Dept Geol, Plaza Ercilla 803, Santiago 8370450, Chile.;Tassara, S (corresponding author), Univ Chile, FCFM, Andean Geothermal Ctr Excellence CEGA, Plaza Ercilla 803, Santiago 8370450, Chile.</t>
  </si>
  <si>
    <t>tassara.carlos.sant@ug.uchile.cl</t>
  </si>
  <si>
    <t>Begg, Graham/HLX-6174-2023; Reich, Martin/L-4931-2015; Barra, Fernando/H-8024-2016; Gregoire, Michel/B-5738-2008; Corgne, Alexandre/AAB-5961-2021; Schilling, Manuel Enrique/D-2916-2015; Griffin, William L/F-7713-2011; Morata, Diego/G-4871-2016; Gonzalez Jimenez, Jose Maria/Q-6939-2018; O'Reilly, Suzanne Y/A-1315-2008</t>
  </si>
  <si>
    <t>Reich, Martin/0000-0002-7269-7586; Barra, Fernando/0000-0002-7836-562X; Gregoire, Michel/0000-0001-9196-876X; Corgne, Alexandre/0000-0001-9640-6977; Schilling, Manuel Enrique/0000-0003-4930-8906; Griffin, William L/0000-0002-0980-2566; Begg, Graham/0000-0002-9231-2954; Morata, Diego/0000-0002-9751-2429; Gonzalez Jimenez, Jose Maria/0000-0001-7270-5227; Tassara, Santiago/0009-0003-4023-5947; Saunders, James/0000-0002-6728-789X; O'Reilly, Suzanne Y/0000-0002-3883-5498</t>
  </si>
  <si>
    <t>Millennium Science Initiative through Millennium Nucleus for Metal Tracing along Subduction Grant [NC130065]; FONDAP project [15090013]; FONDECYT projects [11140005, 1140780]; DID-UACh project [S-2015-52]; CONICYT [21170857]; [RYC-2015-17596]</t>
  </si>
  <si>
    <t>Millennium Science Initiative through Millennium Nucleus for Metal Tracing along Subduction Grant; FONDAP project(Comision Nacional de Investigacion Cientifica y Tecnologica (CONICYT)CONICYT FONDAP); FONDECYT projects(Comision Nacional de Investigacion Cientifica y Tecnologica (CONICYT)CONICYT FONDECYT); DID-UACh project; CONICYT(Comision Nacional de Investigacion Cientifica y Tecnologica (CONICYT));</t>
  </si>
  <si>
    <t>Funding for this study has been provided by Millennium Science Initiative through Millennium Nucleus for Metal Tracing along Subduction Grant NC130065. Additional support was provided by FONDAP project 15090013 'Centro de Excelencia en Geotermia de Los Andes, CEGA', FONDECYT projects #11140005 and #1140780, and DID-UACh project #S-2015-52. Additional funding for LA-ICP-MS analyses of sulfides at Macquarie University was provided by RYC-2015-17596. Minerals Targeting International Pty Ltd is acknowledged for providing directions regarding suitable sample sites for gold-bearing xenoliths. S.T. thanks CONICYT 21170857 for providing support through a PhD scholarship.</t>
  </si>
  <si>
    <t>10.1038/s41467-017-00821-z</t>
  </si>
  <si>
    <t>FJ3AY</t>
  </si>
  <si>
    <t>WOS:000412603700006</t>
  </si>
  <si>
    <t>Grazioli, J; Madeleine, JB; Gallée, H; Forbes, RM; Genthon, C; Krinner, G; Berne, A</t>
  </si>
  <si>
    <t>Grazioli, Jacopo; Madeleine, Jean-Baptiste; Gallee, Hubert .; Forbes, Richard M.; Genthon, Christophe; Krinner, Gerhard; Berne, Alexis</t>
  </si>
  <si>
    <t>Katabatic winds diminish precipitation contribution to the Antarctic ice mass balance</t>
  </si>
  <si>
    <t>Antarctica; precipitation sublimation; katabatic wind</t>
  </si>
  <si>
    <t>EAST ANTARCTICA; ADELIE LAND; CLIMATE-CHANGE; SURFACE; SNOW; MODEL; SHEET; SUBLIMATION; SYSTEM; FUTURE</t>
  </si>
  <si>
    <t>Snowfall in Antarctica is a key term of the ice sheet mass budget that influences the sea level at global scale. Over the continental margins, persistent katabatic winds blow all year long and supply the lower troposphere with unsaturated air. We show that this dry air leads to significant low-level sublimation of snowfall. We found using unprecedented data collected over 1 year on the coast of Adelie Land and simulations from different atmospheric models that low-level sublimation accounts for a 17% reduction of total snowfall over the continent and up to 35% on the margins of East Antarctica, significantly affecting satellite-based estimations close to the ground. Our findings suggest that, as climate warming progresses, this process will be enhanced and will limit expected precipitation increases at the ground level.</t>
  </si>
  <si>
    <t>[Grazioli, Jacopo; Berne, Alexis] Ecole Polytech Fed Lausanne, Sch Architecture Civil &amp; Environm Engn, Inst Environm Engn, Environm Remote Sensing Lab, CH-1015 Lausanne, Switzerland; [Madeleine, Jean-Baptiste] Univ Pierre &amp; Marie Curie Paris 06, Sorbonne Univ,Inst Pierre Simon Laplace, Paris Sci &amp; Lettres Res Univ,CNRS,Lab Meteorol Dy, Ecole Normale Super,Univ Paris Saclay,Ecole Polyt, F-75005 Paris, France; [Gallee, Hubert .; Genthon, Christophe; Krinner, Gerhard] Univ Grenoble Alpes, CNRS, Inst Geosci Environm, F-38000 Grenoble, France; [Forbes, Richard M.] European Ctr Medium Range Weather Forecasts, Res Dept, Shinfield Pk, Reading RG2 9AX, Berks, England; [Grazioli, Jacopo] MeteoSwiss, Radar Satellite &amp; Nowcasting Div, CH-6605 Locarno, Switzerland</t>
  </si>
  <si>
    <t>Swiss Federal Institutes of Technology Domain; Ecole Polytechnique Federale de Lausanne; Universite PSL; Ecole Normale Superieure (ENS); Universite Paris Cite; Centre National de la Recherche Scientifique (CNRS); CNRS - National Institute for Earth Sciences &amp; Astronomy (INSU); Sorbonne Universite; Universite Paris Saclay; Communaute Universite Grenoble Alpes; Universite Grenoble Alpes (UGA); Centre National de la Recherche Scientifique (CNRS); European Centre for Medium-Range Weather Forecasts (ECMWF); Federal Office of Meteorology &amp; Climatology (MeteoSwiss)</t>
  </si>
  <si>
    <t>Berne, A (corresponding author), Ecole Polytech Fed Lausanne, Sch Architecture Civil &amp; Environm Engn, Inst Environm Engn, Environm Remote Sensing Lab, CH-1015 Lausanne, Switzerland.</t>
  </si>
  <si>
    <t>alexis.berne@epfl.ch</t>
  </si>
  <si>
    <t>Krinner, Gerhard/A-6450-2011; Krinner, Gerhard/AAB-8837-2022</t>
  </si>
  <si>
    <t>Krinner, Gerhard/0000-0002-2959-5920; Forbes, Richard/0000-0002-3596-8287; Berne, Alexis/0000-0003-4977-1204; Grazioli, Jacopo/0000-0002-7097-3946</t>
  </si>
  <si>
    <t>Swiss National Science Foundation [200021_163287]; French National Research Agency; Centre National d'Etudes Spatiales (CNES); Institut du Developpement et des Ressources en Informatique Scientifique (IDRIS) [2017-1523]; Rhone Alpes region [CPER07_13 CIRA]; Swiss National Science Foundation (SNF) [200021_163287] Funding Source: Swiss National Science Foundation (SNF)</t>
  </si>
  <si>
    <t>Swiss National Science Foundation(Swiss National Science Foundation (SNSF)); French National Research Agency(Agence Nationale de la Recherche (ANR)); Centre National d'Etudes Spatiales (CNES)(Centre National D'etudes Spatiales); Institut du Developpement et des Ressources en Informatique Scientifique (IDRIS); Rhone Alpes region(Region Auvergne-Rhone-Alpes); Swiss National Science Foundation (SNF)(Swiss National Science Foundation (SNSF))</t>
  </si>
  <si>
    <t>We thank the French Polar Institute, which logistically supported the Antarctic Precipitation: Remote Sensing from Surface and Space (APRES3) measurement campaign. We also thank the University of Wyoming Department of Atmospheric Science for their service in providing atmospheric sounding data and Meteo France for the soundings at Dumont d'Urville. We thank Florentin Lemonnier (Laboratoire de Meteoorologie Dynamique) for the LMDZ runs that he performed and the development team of LMDZ for their major contribution to the improvements of the code: Jean-Yves Grandpeix, Frederic Hourdin, Catherine Rio, and Etienne Vignon for their contributions to the parametrization of clouds and winds and all of the engineers who allowed LMDZ to run. We are also grateful to T. Battin and A. Rinaldo for their help on an earlier version of this manuscript. J.G. thanks the Swiss National Science Foundation (Grant 200021_163287) for financing his participation in the project. We also acknowledge the support of the French National Research Agency to the APRES3 project. The project Expecting Earth-Care, Learning from A-Train (EECLAT) funded by the Centre National d'Etudes Spatiales (CNES) also contributed support to this work. MAR simulations were performed using high performance computing resources from the French Big National Equipment Intensive Computing (GENCI) from the Institut du Developpement et des Ressources en Informatique Scientifique (IDRIS) (Grant 2017-1523) and the High-Performance Computing/Modeling/Numerical and Technological experimentation infrastructure (CIMENT), which is supported by the Rhone Alpes region (Grant CPER07_13 CIRA).</t>
  </si>
  <si>
    <t>10.1073/pnas.1707633114</t>
  </si>
  <si>
    <t>FJ3TD</t>
  </si>
  <si>
    <t>WOS:000412653900047</t>
  </si>
  <si>
    <t>Morris, DM; Pilcher, JJ; Powell, RB</t>
  </si>
  <si>
    <t>Morris, Drew M.; Pilcher, June J.; Powell, Robert B.</t>
  </si>
  <si>
    <t>Task-dependent cold stress during expeditions in Antarctic environments</t>
  </si>
  <si>
    <t>INTERNATIONAL JOURNAL OF CIRCUMPOLAR HEALTH</t>
  </si>
  <si>
    <t>Occupational health; cold stress; environmental stress; tourism; Antarctica</t>
  </si>
  <si>
    <t>DECISION-MAKING; WIND CHILL; EXPOSURE; HEALTH; PERFORMANCE; RISK; PAIN; HYPOTHERMIA; ATTENTION; RESPONSES</t>
  </si>
  <si>
    <t>This study seeks to understand the degree of body cooling, cold perception and physical discomfort during Antarctic tour excursions. Eight experienced expedition leaders across three Antarctic cruise voyages were monitored during occupational tasks: kayaking, snorkelling and zodiac outings. Subjective cold perception and discomfort were recorded using a thermal comfort assessment and skin temperature was recorded using a portable data logger. Indoor cabin temperature and outdoor temperature with wind velocity were used as measures of environmental stress. Physical activity level and clothing insulation were estimated using previous literature. Tour leaders experienced a 6 degrees C (2 degrees C wind chill) environment for an average of 6 hours each day. Leaders involved in kayaking reported feeling colder and more uncomfortable than other leaders, but zodiac leaders showed greater skin temperature cooling. Occupational experience did not predict body cooling or cold stress perception. These findings indicate that occupational cold stress varies by activity and measurement methodology. The current study effectively used objective and subjective measures of cold-stress to identify factors which can contribute to risk in the Antarctic tourism industry. Results suggest that the type of activity may moderate risk of hypothermia, but not discomfort, potentially putting individuals at risk for cognitive related mistakes and cold injuries.</t>
  </si>
  <si>
    <t>[Morris, Drew M.; Pilcher, June J.] Clemson Univ, Dept Psychol, 418 Brackett Hall, Clemson, SC 29634 USA; [Powell, Robert B.] Clemson Univ, Dept Parks Recreat &amp; Tourism Management, 418 Brackett Hall, Clemson, SC 29634 USA</t>
  </si>
  <si>
    <t>Clemson University; Clemson University</t>
  </si>
  <si>
    <t>Pilcher, JJ (corresponding author), Clemson Univ, Dept Psychol, 418 Brackett Hall, Clemson, SC 29634 USA.</t>
  </si>
  <si>
    <t>jpilche@clemson.edu</t>
  </si>
  <si>
    <t>TAYLOR &amp; FRANCIS LTD</t>
  </si>
  <si>
    <t>ABINGDON</t>
  </si>
  <si>
    <t>2-4 PARK SQUARE, MILTON PARK, ABINGDON OR14 4RN, OXON, ENGLAND</t>
  </si>
  <si>
    <t>1239-9736</t>
  </si>
  <si>
    <t>2242-3982</t>
  </si>
  <si>
    <t>INT J CIRCUMPOL HEAL</t>
  </si>
  <si>
    <t>Int. J. Circumpolar Health</t>
  </si>
  <si>
    <t>OCT 8</t>
  </si>
  <si>
    <t>10.1080/22423982.2017.1379306</t>
  </si>
  <si>
    <t>Public, Environmental &amp; Occupational Health</t>
  </si>
  <si>
    <t>FO9JR</t>
  </si>
  <si>
    <t>WOS:000417204300001</t>
  </si>
  <si>
    <t>Veit, RR; Harrison, NM</t>
  </si>
  <si>
    <t>Veit, Richard R.; Harrison, Nancy M.</t>
  </si>
  <si>
    <t>Positive Interactions among Foraging Seabirds, Marine Mammals and Fishes and Implications for Their Conservation</t>
  </si>
  <si>
    <t>FRONTIERS IN ECOLOGY AND EVOLUTION</t>
  </si>
  <si>
    <t>coevolution; conservation; facilitation; foraging behavior; interspecific associations; local enhancement; marine predators; seabird</t>
  </si>
  <si>
    <t>SUCCESSIVE PREDATOR ATTACKS; ANTARCTIC KRILL; INFORMATION-TRANSFER; FEEDING ASSOCIATION; DIMETHYL SULFIDE; STABLE-ISOTOPES; SENSORY ECOLOGY; DIVING DEPTHS; PREY; DOLPHINS</t>
  </si>
  <si>
    <t>There is increasing recognition of the importance of positive interactions among species in structuring communities. For seabirds, an important kind of positive interaction is the use of birds of the same species, birds of other species, and other marine predators such as cetaceans, seals and fishes as cues to the presence of prey. The process by which a single bird uses, say, a feeding flock of birds as a cue to the presence of prey is called local enhancement or facilitation. There are subtly different uses of each of these terms, but the issue we address here is the ubiquity of positive interactions between seabirds and other marine predators when foraging at sea, and whether as a result of their associations the feeding success, and therefore presumably the fitness, of individual seabirds is increased. If this contention is true, then it implies that conservation of any one species of seabird must take into consideration the status and possible conservation of those species that the focal species uses as a cue while foraging. For example, conservation of great shearwaters (Ardenna gravis), which often feed over tuna (e.g., Thunnus) schools, should take in to consideration conservation of tuna. Ecosystem management depends on understanding the importance of such processes; the loss of biodiversity, and the consequent threat to foraging success, may be a substantial threat to the stability of marine ecosystems.</t>
  </si>
  <si>
    <t>[Veit, Richard R.] CUNY Coll Staten Isl, Dept Biol, Staten Isl, NY 10314 USA; [Harrison, Nancy M.] Anglia Ruskin Univ, Dept Life Sci, Cambridge, England</t>
  </si>
  <si>
    <t>City University of New York (CUNY) System; College of Staten Island (CUNY); Anglia Ruskin University</t>
  </si>
  <si>
    <t>Veit, RR (corresponding author), CUNY Coll Staten Isl, Dept Biol, Staten Isl, NY 10314 USA.</t>
  </si>
  <si>
    <t>rrveit23@gmail.com</t>
  </si>
  <si>
    <t>National Science Foundation</t>
  </si>
  <si>
    <t>Review funded through institutions employing authors. RV's participation was in part supported by a National Science Foundation grant to John H. Steele.</t>
  </si>
  <si>
    <t>2296-701X</t>
  </si>
  <si>
    <t>FRONT ECOL EVOL</t>
  </si>
  <si>
    <t>Front. Ecol. Evol.</t>
  </si>
  <si>
    <t>OCT 6</t>
  </si>
  <si>
    <t>10.3389/fevo.2017.00121</t>
  </si>
  <si>
    <t>Ecology</t>
  </si>
  <si>
    <t>Environmental Sciences &amp; Ecology</t>
  </si>
  <si>
    <t>HC1WP</t>
  </si>
  <si>
    <t>WOS:000451594300002</t>
  </si>
  <si>
    <t>Correia, E; Spogli, L; Alfonsi, L; Cesaroni, C; Gulisano, AM; Thomas, EG; Ramirez, RFH; Rodel, AA</t>
  </si>
  <si>
    <t>Correia, Emilia; Spogli, Luca; Alfonsi, Lucilla; Cesaroni, Claudio; Gulisano, Adriana M.; Thomas, Evan G.; Hidalgo Ramirez, Ray F.; Rodel, Alexandre A.</t>
  </si>
  <si>
    <t>Ionospheric F-region response to the 26 September 2011 geomagnetic storm in the Antarctica American and Australian sectors</t>
  </si>
  <si>
    <t>ANNALES GEOPHYSICAE</t>
  </si>
  <si>
    <t>Ionosphere (Ionospheric disturbances)</t>
  </si>
  <si>
    <t>GPS PHASE SCINTILLATION; HIGH-LATITUDES; ELECTRIC-FIELD; POSSIBLE EXPLANATION; MILLSTONE HILL; DYNAMICS; MIDDLE; THERMOSPHERE; DISTURBANCE; IRREGULARITIES</t>
  </si>
  <si>
    <t>The ionospheric response at middle and high latitudes in the Antarctica American and Australian sectors to the 26-27 September 2011 moderately intense geomagnetic storm was investigated using instruments including an ionosonde, riometer, and GNSS receivers. The multi-instrument observations permitted us to characterize the ionospheric storm-enhanced density (SED) and tongues of ionization (TOIs) as a function of storm time and location, considering the effect of prompt penetration electric fields (PPEFs). During the main phase of the geomagnetic storm, dayside SEDs were observed at middle latitudes, and in the nightside only density depletions were observed from middle to high latitudes. Both the increase and decrease in ionospheric density at middle latitudes can be attributed to a combination of processes, including the PPEF effect just after the storm onset, dominated by disturbance dynamo processes during the evolution of the main phase. Two SEDs-TOIs were identified in the Southern Hemisphere, but only the first episode had a counterpart in the Northern Hemisphere. This difference can be explained by the interhemispheric asymmetry caused by the high-latitude coupling between solar wind and the magnetosphere, which drives the dawn-to-dusk component of the interplanetary magnetic field. The formation of polar TOI is a function of the SED plume location that might be near the dayside cusp from which it can enter the polar cap, which was the case in the Southern Hemisphere. Strong GNSS scintillations were observed at stations collocated with SED plumes at middle latitudes and cusp on the dayside and at polar cap TOIs on the nightside.</t>
  </si>
  <si>
    <t>[Correia, Emilia] INPE, Sao Jose Dos Campos, Brazil; [Correia, Emilia; Hidalgo Ramirez, Ray F.; Rodel, Alexandre A.] Univ Presbiteriana Mackenzie, Ctr Radio Astron &amp; Astrofis Mackenzie, BR-01302907 Sao Paulo, Brazil; [Spogli, Luca; Alfonsi, Lucilla; Cesaroni, Claudio] Ist Nazl Geofis &amp; Vulcanol, Rome, Italy; [Spogli, Luca] SpacEarth Technol Srl, Rome, Italy; [Gulisano, Adriana M.] Direcc Nacl Antartico, Inst Antartico Argentino, Buenos Aires, DF, Argentina; [Gulisano, Adriana M.] Inst Astron &amp; Fis Espacio UBA CONICET, Buenos Aires, DF, Argentina; [Gulisano, Adriana M.] Univ Buenos Aires, FCEyN, Dept Fis, Buenos Aires, DF, Argentina; [Thomas, Evan G.] Dartmouth Coll, Thayer Sch Engn, Hanover, NH 03755 USA</t>
  </si>
  <si>
    <t>Instituto Nacional de Pesquisas Espaciais (INPE); Universidade Presbiteriana Mackenzie; Istituto Nazionale Geofisica e Vulcanologia (INGV); Instituto Antartico Argentino; Instituto de Astronomia y Fisica del Espacio (IAFE); Consejo Nacional de Investigaciones Cientificas y Tecnicas (CONICET); University of Buenos Aires; University of Buenos Aires; Dartmouth College</t>
  </si>
  <si>
    <t>Correia, E (corresponding author), INPE, Sao Jose Dos Campos, Brazil.;Correia, E (corresponding author), Univ Presbiteriana Mackenzie, Ctr Radio Astron &amp; Astrofis Mackenzie, BR-01302907 Sao Paulo, Brazil.</t>
  </si>
  <si>
    <t>ecorreia@craam.mackenzie.br</t>
  </si>
  <si>
    <t>Spogli, Luca/AAD-1980-2021; Alfonsi, Lucilla/V-2969-2018; Gulisano, Adriana M./AAD-9554-2021; Cesaroni, Claudio/AAF-1075-2020; Gulisano, AM/HTQ-2717-2023; Correia, Emilia/F-6802-2012; Thomas, Evan/B-3921-2017</t>
  </si>
  <si>
    <t>Gulisano, Adriana M./0000-0002-2234-4432; Correia, Emilia/0000-0003-4778-3834; SPOGLI, Luca/0000-0003-2310-0306; Thomas, Evan/0000-0001-8036-8793; Hidalgo Ramirez, Ray Fernando/0000-0002-2430-3909; Alfonsi, Lucilla/0000-0002-1806-9327</t>
  </si>
  <si>
    <t>National Council for Research and Development (CNPq) [556872/2009-6, 406690/2013-8, 306142/2013-9]; Brazilian Ministry of Science, Technology and Innovation (MCTI); Ministry of the Environment (MMA); Inter-Ministry Commission for Sea Resources (CIRM); CNPq [574018/2008-5]; Carlos Chagas Research Support Foundation of the State of Rio de Janeiro (FAPERJ) [E-16/170.023/2008]; national scientific funding agency of Australia; national scientific funding agency of Canada; national scientific funding agency of China; national scientific funding agency of France; national scientific funding agency of Japan; national scientific funding agency of South Africa; national scientific funding agency of UK; national scientific funding agency of United States of America; [PNRA14_00133]; [PNRA14_00110]; Directorate For Geosciences; Div Atmospheric &amp; Geospace Sciences [1524667] Funding Source: National Science Foundation; Div Atmospheric &amp; Geospace Sciences; Directorate For Geosciences [1242204] Funding Source: National Science Foundation</t>
  </si>
  <si>
    <t>National Council for Research and Development (CNPq)(Conselho Nacional de Desenvolvimento Cientifico e Tecnologico (CNPQ)); Brazilian Ministry of Science, Technology and Innovation (MCTI); Ministry of the Environment (MMA); Inter-Ministry Commission for Sea Resources (CIRM); CNPq(Conselho Nacional de Desenvolvimento Cientifico e Tecnologico (CNPQ)); Carlos Chagas Research Support Foundation of the State of Rio de Janeiro (FAPERJ)(Fundacao Carlos Chagas Filho de Amparo a Pesquisa do Estado do Rio De Janeiro (FAPERJ)); national scientific funding agency of Australia; national scientific funding agency of Canada; national scientific funding agency of China; national scientific funding agency of France; national scientific funding agency of Japan; national scientific funding agency of South Africa; national scientific funding agency of UK; national scientific funding agency of United States of America; ; ; Directorate For Geosciences; Div Atmospheric &amp; Geospace Sciences(National Science Foundation (NSF)NSF - Directorate for Geosciences (GEO)); Div Atmospheric &amp; Geospace Sciences; Directorate For Geosciences(National Science Foundation (NSF)NSF - Directorate for Geosciences (GEO))</t>
  </si>
  <si>
    <t>Emilia Correia thanks the National Council for Research and Development (CNPq) for individual research support (process nos. 556872/2009-6, 406690/2013-8, and 306142/2013-9) and the National Institute for Space Research (INPE/MCTI). The authors also acknowledge the support of the Brazilian Ministry of Science, Technology and Innovation (MCTI), the Ministry of the Environment (MMA), and the Inter-Ministry Commission for Sea Resources (CIRM). This work integrates the National Institute of Science and Technology Antarctic Environmental Research (INCT-APA) under scientific and financial support from the CNPq (process no. 574018/2008-5) and the Carlos Chagas Research Support Foundation of the State of Rio de Janeiro (FAPERJ no. E-16/170.023/2008). DMC and BTN data have been acquired in the framework of the projects PNRA14_00133 and PNRA14_00110. The authors acknowledge the GRAPE Expert Group endorsed by SCAR to facilitate the collaboration (http://www.grape.scar.org/). The DMSP particle detectors were designed by Dave Hardy of the Air Force Research Laboratory, and the data were obtained from the Johns Hopkins University Applied Research Laboratory (http://ssusi.jhuapl.edu). The TEC maps were obtained using the plotting tools available online at the Space@VT SuperDARN website (http://vt.superdarn.org). The TEC data were downloaded through the Madrigal database at Haystack Observatory. The authors acknowledge the use of SuperDARN data. SuperDARN is a collection of radars funded by the national scientific funding agencies of Australia, Canada, China, France, Japan, South Africa, the UK, and the United States of America. The authors also thank the two anonymous referees for their valuable comments and suggestions.</t>
  </si>
  <si>
    <t>0992-7689</t>
  </si>
  <si>
    <t>1432-0576</t>
  </si>
  <si>
    <t>ANN GEOPHYS-GERMANY</t>
  </si>
  <si>
    <t>Ann. Geophys.</t>
  </si>
  <si>
    <t>OCT 5</t>
  </si>
  <si>
    <t>10.5194/angeo-35-1113-2017</t>
  </si>
  <si>
    <t>Astronomy &amp; Astrophysics; Geosciences, Multidisciplinary; Meteorology &amp; Atmospheric Sciences</t>
  </si>
  <si>
    <t>Astronomy &amp; Astrophysics; Geology; Meteorology &amp; Atmospheric Sciences</t>
  </si>
  <si>
    <t>FI9IX</t>
  </si>
  <si>
    <t>WOS:000412321400001</t>
  </si>
  <si>
    <t>Concha-Marambio, L; Maldonado, P; Lagos, R; Monasterio, O; Montecinos-Franjola, F</t>
  </si>
  <si>
    <t>Concha-Marambio, Luis; Maldonado, Paula; Lagos, Rosalba; Monasterio, Octavio; Montecinos-Franjola, Felipe</t>
  </si>
  <si>
    <t>Thermal adaptation of mesophilic and thermophilic FtsZ assembly by modulation of the critical concentration</t>
  </si>
  <si>
    <t>DIVISION PROTEIN FTSZ; BACTERIAL-CELL DIVISION; ESCHERICHIA-COLI; GTPASE ACTIVITY; THERMODYNAMIC ANALYSIS; STRUCTURAL INSIGHTS; NUCLEOTIDE TURNOVER; LIGHT-SCATTERING; ANTARCTIC FISHES; IN-VITRO</t>
  </si>
  <si>
    <t>Cytokinesis is the last stage in the cell cycle. In prokaryotes, the protein FtsZ guides cell constriction by assembling into a contractile ring-shaped structure termed the Z-ring. Constriction of the Z-ring is driven by the GTPase activity of FtsZ that overcomes the energetic barrier between two protein conformations having different propensities to assemble into polymers. FtsZ is found in psychrophilic, mesophilic and thermophilic organisms thereby functioning at temperatures ranging from subzero to &gt;100 degrees C. To gain insight into the functional adaptations enabling assembly of FtsZ in distinct environmental conditions, we analyzed the energetics of FtsZ function from mesophilic Escherichia coli in comparison with FtsZ from thermophilic Methanocaldococcus jannaschii. Presumably, the assembly may be similarly modulated by temperature for both FtsZ orthologs. The temperature dependence of the first-order rates of nucleotide hydrolysis and of polymer disassembly, indicated an entropy-driven destabilization of the FtsZ-GTP intermediate. This destabilization was true for both mesophilic and thermophilic FtsZ, reflecting a conserved mechanism of disassembly. From the temperature dependence of the critical concentrations for polymerization, we detected a change of opposite sign in the heat capacity, that was partially explained by the specific changes in the solvent-accessible surface area between the free and polymerized states of FtsZ. At the physiological temperature, the assembly of both FtsZ orthologs was found to be driven by a small positive entropy. In contrast, the assembly occurred with a negative enthalpy for mesophilic FtsZ and with a positive enthalpy for thermophilic FtsZ. Notably, the assembly of both FtsZ orthologs is characterized by a critical concentration of similar value (1-2 mu M) at the environmental temperatures of their host organisms. These findings suggest a simple but robust mechanism of adaptation of FtsZ, previously shown for eukaryotic tubulin, by adjustment of the critical concentration for polymerization.</t>
  </si>
  <si>
    <t>[Concha-Marambio, Luis; Maldonado, Paula; Lagos, Rosalba; Monasterio, Octavio; Montecinos-Franjola, Felipe] Univ Chile, Lab Biol Estruct &amp; Mol, Dept Biol, Fac Ciencias, Santiago, Chile; [Concha-Marambio, Luis] Ampr Inc, 11175 Flintkote Ave, San Diego, CA 92121 USA; [Maldonado, Paula] Francis Crick Inst, Lymphocyte Biol Lab, 1 Midland Rd, London NW1 1AT, England; [Montecinos-Franjola, Felipe] Eunice Kennedy Shriver Natl Inst Child Hlth &amp; Hum, Unit Cytoskeletal Dynam, Div Basic &amp; Translat Biophys, NIH, Bethesda, MD 20892 USA</t>
  </si>
  <si>
    <t>Universidad de Chile; Francis Crick Institute; National Institutes of Health (NIH) - USA; NIH Eunice Kennedy Shriver National Institute of Child Health &amp; Human Development (NICHD)</t>
  </si>
  <si>
    <t>Monasterio, O; Montecinos-Franjola, F (corresponding author), Univ Chile, Lab Biol Estruct &amp; Mol, Dept Biol, Fac Ciencias, Santiago, Chile.;Montecinos-Franjola, F (corresponding author), Eunice Kennedy Shriver Natl Inst Child Hlth &amp; Hum, Unit Cytoskeletal Dynam, Div Basic &amp; Translat Biophys, NIH, Bethesda, MD 20892 USA.</t>
  </si>
  <si>
    <t>monaster@uchile.cl; felipe.montecinos@nih.gov</t>
  </si>
  <si>
    <t>Montecinos, Felipe/R-3907-2017; Montecinos, Felipe/HHS-7232-2022; Concha-Marambio, Luis/IQT-8370-2023; Concha-Marambio, Luis/V-3247-2019</t>
  </si>
  <si>
    <t>Montecinos, Felipe/0000-0002-1823-103X; Montecinos, Felipe/0000-0002-1823-103X; Concha-Marambio, Luis/0000-0002-9454-8389; Concha-Marambio, Luis/0000-0002-9454-8389</t>
  </si>
  <si>
    <t>Becas Chile and Programa de Mejoramiento de la Calidad y Equidad de la Educacion; Comision Nacional de Investigacion Cientifica y Tecnologica [24090139]; Fondo Nacional de Desarrollo Cientifico y Tecnologico [1130711]</t>
  </si>
  <si>
    <t>Becas Chile and Programa de Mejoramiento de la Calidad y Equidad de la Educacion; Comision Nacional de Investigacion Cientifica y Tecnologica; Fondo Nacional de Desarrollo Cientifico y Tecnologico(Comision Nacional de Investigacion Cientifica y Tecnologica (CONICYT)CONICYT FONDECYT)</t>
  </si>
  <si>
    <t>FMF received funding from Becas Chile and Programa de Mejoramiento de la Calidad y Equidad de la Educacion, and was supported by Comision Nacional de Investigacion Cientifica y Tecnologica grant 24090139. OM received financial support from Fondo Nacional de Desarrollo Cientifico y Tecnologico grant 1130711. The funders had no role in study design, data collection and analysis, decision to publish, or preparation of the manuscript.</t>
  </si>
  <si>
    <t>e0185707</t>
  </si>
  <si>
    <t>10.1371/journal.pone.0185707</t>
  </si>
  <si>
    <t>FI9WM</t>
  </si>
  <si>
    <t>Green Submitted, Green Published, gold</t>
  </si>
  <si>
    <t>WOS:000412360300060</t>
  </si>
  <si>
    <t>Lee, MR; Canales-Aguirre, CB; Nuñez, D; Pérez, K; Hernández, CE; Brante, A</t>
  </si>
  <si>
    <t>Lee, Matthew R.; Canales-Aguirre, Cristian B.; Nunez, Daniela; Perez, Karla; Hernandez, Crisitan E.; Brante, Antonio</t>
  </si>
  <si>
    <t>The identification of sympatric cryptic free-living nematode species in the Antarctic intertidal</t>
  </si>
  <si>
    <t>POPULATION GENETIC-STRUCTURE; MARINA COMPLEX NEMATODA; DNA-SEQUENCES; SSU RDNA; DIVERSITY; EVOLUTION; DISTINCT; BIODIVERSITY; DELIMITATION; COMMUNITIES</t>
  </si>
  <si>
    <t>The diversity of free-living nematodes in the beaches of two Antarctic islands, King George and Deception islands was investigated. We used morphological and molecular (LSU, and two fragments of SSU sequences) approaches to evaluate 236 nematodes. Specimens were assigned to at least genera using morphology and were assessed for the presence of cryptic speciation. The following genera were identified: Halomonhystera, Litoditis, Enoploides, Chromadorita, Theristus, Oncholaimus, Viscosia, Gammanema, Bathylaimus, Choanolaimus, and Paracanthonchus; along with specimens from the families Anticomidae and Linhomoeidae. Cryptic speciation was identified within the genera Halomonhystera and Litoditis. All of the cryptic species identified live sympatrically. The two cryptic species of Halomonhystera exhibited no significant morphological differences. However, Litoditis species 2 was significantly larger than Litoditis species 1. The utility of molecular data in confirming the identifications of some of the morphologically more challenging families of nematodes was demonstrated. In terms of which molecular sequences to use for the identification of free-living nematodes, the SSU sequences were more variable than the LSU sequences, and thus provided more resolution in the identification of cryptic speciation. Finally, despite the considerable amount of time and effort required to put together genetic and morphological data, the resulting advance in our understanding of diversity and ecology of free-living marine nematodes, makes that effort worthwhile.</t>
  </si>
  <si>
    <t>[Lee, Matthew R.; Canales-Aguirre, Cristian B.; Nunez, Daniela] Univ Lagos, Ctr I Mar, Puerto Montt, Chile; [Perez, Karla; Brante, Antonio] Univ Catolica Santisima Concepcion, Dept Ecol, Concepcion, Chile; [Hernandez, Crisitan E.] Univ Concepcion, Fac Ciencias Nat &amp; Oceanog, Dept Zool, Lab Ecol Evolut &amp; Filoinformat, Concepcion, Chile; [Brante, Antonio] Univ Catolica Santisima Concepcion, CIBAS, Concepcion, Chile</t>
  </si>
  <si>
    <t>Universidad de Los Lagos; Universidad Catolica de la Santisima Concepcion; Universidad de Concepcion; Universidad Catolica de la Santisima Concepcion</t>
  </si>
  <si>
    <t>Lee, MR (corresponding author), Univ Lagos, Ctr I Mar, Puerto Montt, Chile.</t>
  </si>
  <si>
    <t>matthew.lee@ulagos.cl</t>
  </si>
  <si>
    <t>Hernández, Cristián E./AAS-1286-2020; Nuñez, Daniela/IYJ-1443-2023; Canales-Aguirre, Cristian B./K-4034-2019; Hernández, Cristián E./GLS-1111-2022; Lee, Matthew/B-6360-2008</t>
  </si>
  <si>
    <t>Hernández, Cristián E./0000-0002-9811-2881; Nuñez, Daniela/0000-0002-8056-9461; Canales-Aguirre, Cristian B./0000-0002-8468-6139; Hernández, Cristián E./0000-0002-9811-2881; Lee, Matthew/0000-0001-9675-9908; Brante, Antonio/0000-0002-2699-9700; Perez-Araneda, karla/0000-0002-5073-5975</t>
  </si>
  <si>
    <t>Instituto Antartico Chileno (INACH) Project [T_13-10]; Fondo Nacional de Desarrollo Cientifico y Tecnologico (FONDECYT) [1140692, 3150456]; INACh Project [T_13-10]; FONDECYT [1140692, 3150456]</t>
  </si>
  <si>
    <t>Instituto Antartico Chileno (INACH) Project; Fondo Nacional de Desarrollo Cientifico y Tecnologico (FONDECYT)(Comision Nacional de Investigacion Cientifica y Tecnologica (CONICYT)CONICYT FONDECYT); INACh Project; FONDECYT(Comision Nacional de Investigacion Cientifica y Tecnologica (CONICYT)CONICYT FONDECYT)</t>
  </si>
  <si>
    <t>This project was funded by Instituto Antartico Chileno (INACH) Project T_13-10, to M. R.L, C.E.H. and A.B. C.E.H. and C.B.C.A. are grateful for funding from Fondo Nacional de Desarrollo Cientifico y Tecnologico (FONDECYT) grants 1140692 and 3150456 respectiviely. The Institute Antartico Chileno provided logistical support in Antarctica. Fondo Nacional de Desarrollo Cientifico y Tecnologico had no role in study design, data collection and analysis, decision to publish, or preparation of the manuscript.; Thanks to Marcela Riveros and Jorge Avaria-Llautureo for help in the field. Thanks to the Instituto Nacional de Antartica Chilena (INACh) staff, both in Punta Arenas and in Antarctica for their logistical support. Thanks to the Comandante and Crew of the Chilean Navy Ice-breaker AP-46 Almirante Oscar Viel. This project was funded by INACh Project T_13-10. C.E.H. is grateful for funding from FONDECYT grant 1140692, C.B.C.A. was funded by FONDECYT grant 3150456.</t>
  </si>
  <si>
    <t>e0186140</t>
  </si>
  <si>
    <t>10.1371/journal.pone.0186140</t>
  </si>
  <si>
    <t>gold, Green Published, Green Submitted</t>
  </si>
  <si>
    <t>WOS:000412360300128</t>
  </si>
  <si>
    <t>Browne, IM; Moy, CM; Riesselman, CR; Neil, HL; Curtin, LG; Gorman, AR; Wilson, GS</t>
  </si>
  <si>
    <t>Browne, Imogen M.; Moy, Christopher M.; Riesselman, Christina R.; Neil, Helen L.; Curtin, Lorelei G.; Gorman, Andrew R.; Wilson, Gary S.</t>
  </si>
  <si>
    <t>Late Holocene intensification of the westerly winds at the subantarctic Auckland Islands (51° S), New Zealand</t>
  </si>
  <si>
    <t>SOUTHERN ANNULAR MODE; CIRCUMPOLAR DEEP-WATER; BENTHIC FORAMINIFERA; SCALE VARIABILITY; SUBTROPICAL FRONT; CARBON ISOTOPES; ATMOSPHERIC CO2; ORGANIC-MATTER; ENDERBY-ISLAND; LEVEL CHANGES</t>
  </si>
  <si>
    <t>The Southern Hemisphere westerly winds (SHWWs) play a major role in controlling wind-driven upwelling of Circumpolar Deep Water (CDW) and out-gassing of CO2 in the Southern Ocean, on interannual to glacial-interglacial timescales. Despite their significance in the global carbon cycle, our understanding of millennial- and centennial-scale changes in the strength and latitudinal position of the westerlies during the Holocene (especially since 5000 yr BP) is limited by a scarcity of palaeoclimate records from comparable latitudes. Here, we reconstruct middle to late Holocene SHWW variability using a fjord sediment core collected from the subantarctic Auckland Islands (51 degrees S, 166 degrees E), located in the modern centre of the westerly wind belt. Changes in drainage basin response to variability in the strength of the SHWW at this latitude are interpreted from downcore variations in magnetic susceptibility (MS) and bulk organic delta C-13 and atomic C = N, which monitor influxes of lithogenous and terrestrial vs. marine organic matter, respectively. The fjord water column response to SHWW variability is evaluated using benthic foraminifer delta O-18 and delta C-13, both of which are influenced by the isotopic composition of shelf water masses entering the fjord. Using these data, we provide marine and terrestrial-based evidence for increased wind strength from similar to 1600 to 900 yr BP at subantarctic latitudes that is broadly consistent with previous studies of climate-driven vegetation change at the Auckland Islands. Comparison with a SHWW reconstruction using similar proxies from Fiordland suggests a northward migration of the SHWW over New Zealand during the first half of the last millennium. Comparison with palaeoclimate and palaeoceanographic records from southern South America and West Antarctica indicates a late Holocene strengthening of the SHWW after similar to 1600 yr BP that appears to be broadly symmetrical across the Pacific Basin. Contemporaneous increases in SHWW at localities on either side of the Pacific in the late Holocene are likely controlled atmospheric teleconnections between the low and high latitudes, and by variability in the Southern Annular Mode and El Nino-Southern Oscillation.</t>
  </si>
  <si>
    <t>[Browne, Imogen M.; Moy, Christopher M.; Riesselman, Christina R.; Curtin, Lorelei G.; Gorman, Andrew R.; Wilson, Gary S.] Univ Otago, Dept Geol, Dunedin 9016, New Zealand; [Riesselman, Christina R.; Wilson, Gary S.] Univ Otago, Dept Marine Sci, Dunedin 9016, New Zealand; [Neil, Helen L.] Natl Inst Water &amp; Atmospher Res NIWA, Wellington 6021, New Zealand; [Wilson, Gary S.] NZARI, Christchurch 8053, New Zealand; [Browne, Imogen M.] Univ S Florida, Coll Marine Sci, St Petersburg, FL 33701 USA; [Curtin, Lorelei G.] Columbia Univ, Lamont Doherty Earth Observ, Palisades, NY 10964 USA</t>
  </si>
  <si>
    <t>University of Otago; University of Otago; National Institute of Water &amp; Atmospheric Research (NIWA) - New Zealand; State University System of Florida; University of South Florida; Columbia University</t>
  </si>
  <si>
    <t>Browne, IM (corresponding author), Univ Otago, Dept Geol, Dunedin 9016, New Zealand.;Browne, IM (corresponding author), Univ S Florida, Coll Marine Sci, St Petersburg, FL 33701 USA.</t>
  </si>
  <si>
    <t>imogenbrowne@mail.usf.edu</t>
  </si>
  <si>
    <t>Riesselman, Christina R/H-5037-2012; Gorman, Andrew R/B-9674-2008; Wilson, Gary S/B-3803-2010</t>
  </si>
  <si>
    <t>Wilson, Gary/0000-0003-0025-3641; Curtin, Lorelei/0000-0001-8696-4908; Gorman, Andrew/0000-0002-8581-0197; Moy, Christopher/0000-0002-2177-5265; Riesselman, Christina/0000-0002-2436-4306</t>
  </si>
  <si>
    <t>Royal Society of New Zealand [UOO1118]; New Zealand Antarctic Research Institute [NZARI 2014-7]</t>
  </si>
  <si>
    <t>Royal Society of New Zealand(Royal Society of New Zealand); New Zealand Antarctic Research Institute</t>
  </si>
  <si>
    <t>The authors gratefully acknowledge support from a Royal Society of New Zealand Marsden Fast Start (#UOO1118) and New Zealand Antarctic Research Institute (NZARI 2014-7) funding to Christopher M. Moy. Seismic data were processed using an academic licence for GLOBE Claritas by Ben Ross and Andrew R. Gorman. NCEP Reanalysis data provided by the NOAA/OAR/ESRL PSD, Boulder, Colorado, USA, from their website at http://www.esrl.noaa.gov/psd/. We would like to thank Bruce Hayward for help with identification of benthic foraminifera, Thomas Max at NIWA for analysing foraminifer stable isotopes, and Robert Van Hale, Kim Currie, and Chris Aebig at the University of Otago for analysing the isotopic composition of water, particulates, and sediment. We thank Claudia Aracena and an anonymous reviewer for helpful comments on an earlier version of the manuscript. We also thank Patricio Moreno for providing pollen data from Lago Cipreses, and Rolf Kilian for providing MA-1 delta18O data. Special thanks to the crew and scientific party on Auckland Islands cruises 14PL001 and 15PL001, the Young Blake Expedition members, and Bob Dagg, whose coring expertise was fundamental to the achievement of this work.</t>
  </si>
  <si>
    <t>OCT 4</t>
  </si>
  <si>
    <t>10.5194/cp-13-1301-2017</t>
  </si>
  <si>
    <t>FI9ZW</t>
  </si>
  <si>
    <t>gold, Green Submitted</t>
  </si>
  <si>
    <t>WOS:000412369300001</t>
  </si>
  <si>
    <t>Cohen, BE; Mark, DF; Cassata, WS; Lee, MR; Tomkinson, T; Smith, CL</t>
  </si>
  <si>
    <t>Cohen, Benjamin E.; Mark, Darren F.; Cassata, William S.; Lee, Martin R.; Tomkinson, Tim; Smith, Caroline L.</t>
  </si>
  <si>
    <t>Taking the pulse of Mars via dating of a plume-fed volcano</t>
  </si>
  <si>
    <t>MARTIAN SHERGOTTITES; ISOTOPIC COMPOSITION; NOBLE-GASES; NAKHLITE; AGES; CONVECTION; METEORITES; ATMOSPHERE; COMPONENTS; EVOLUTION</t>
  </si>
  <si>
    <t>Mars hosts the solar system's largest volcanoes. Although their size and impact crater density indicate continued activity over billions of years, their formation rates are poorly understood. Here we quantify the growth rate of a Martian volcano by 40Ar/39Ar and cosmogenic exposure dating of six nakhlites, meteorites that were ejected from Mars by a single impact event at 10.7 +/- 0.8 Ma (2 sigma). We find that the nakhlites sample a layered volcanic sequence with at least four discrete eruptive events spanning 93 +/- 12 Ma (1416 +/- 7Ma to 1322 +/- 10 Ma (2 sigma)). A non-radiogenic trapped 40Ar/Ar-36 value of 1511 +/- 74 (2 sigma) provides a precise and robust constraint for the mid-Amazonian Martian atmosphere. Our data show that the nakhlite-source volcano grew at a rate of ca. 0.4-0.7 m Ma(-1)-three orders of magnitude slower than comparable volcanoes on Earth, and necessitating that Mars was far more volcanically active earlier in its history.</t>
  </si>
  <si>
    <t>[Cohen, Benjamin E.; Mark, Darren F.; Tomkinson, Tim] Scottish Univ Environm Res Ctr, Isotope Geosci Unit, Rankine Ave, E Kilbride G75 0QF, Lanark, Scotland; [Cohen, Benjamin E.; Lee, Martin R.] Univ Glasgow, Sch Geog &amp; Earth Sci, Glasgow G12 8QQ, Lanark, Scotland; [Mark, Darren F.] Univ St Andrews, Dept Earth &amp; Environm Sci, St Andrews KY16 9AJ, Fife, Scotland; [Cassata, William S.] Lawrence Livermore Natl Lab, Nucl &amp; Chem Sci Div, 7000 East Ave,L-231, Livermore, CA 94550 USA; [Smith, Caroline L.] Nat Hist Museum, Dept Earth Sci, London SW7 5BD, England</t>
  </si>
  <si>
    <t>Scottish Universities Research &amp; Reactor Center; University of Glasgow; University of St Andrews; United States Department of Energy (DOE); Lawrence Livermore National Laboratory; Natural History Museum London</t>
  </si>
  <si>
    <t>Cohen, BE (corresponding author), Scottish Univ Environm Res Ctr, Isotope Geosci Unit, Rankine Ave, E Kilbride G75 0QF, Lanark, Scotland.;Cohen, BE (corresponding author), Univ Glasgow, Sch Geog &amp; Earth Sci, Glasgow G12 8QQ, Lanark, Scotland.</t>
  </si>
  <si>
    <t>ben.cohen@glasgow.ac.uk</t>
  </si>
  <si>
    <t>Smith, Caroline/AAO-3652-2020; Lee, Martin/Q-1040-2019</t>
  </si>
  <si>
    <t>Smith, Caroline/0000-0001-7005-6470; Lee, Martin/0000-0002-6004-3622; Cohen, Benjamin/0000-0002-1634-8998</t>
  </si>
  <si>
    <t>Science and Technology Facilities Council [ST/H002472/1, ST/H002960/1, ST/K000918/1]; NASA Mars Fundamental Research Program [NNH14AX56I]; U.S. Department of Energy by Lawrence Livermore National Laboratory [DE-AC52-07NA27344]; Argon Isotope Facility at SUERC; STFC [ST/H002960/1, ST/K000918/1, ST/H002472/1] Funding Source: UKRI; Science and Technology Facilities Council [ST/H002472/1, ST/H002960/1, ST/K000918/1] Funding Source: researchfish</t>
  </si>
  <si>
    <t>Science and Technology Facilities Council(UK Research &amp; Innovation (UKRI)Science &amp; Technology Facilities Council (STFC)); NASA Mars Fundamental Research Program(National Aeronautics &amp; Space Administration (NASA)); U.S. Department of Energy by Lawrence Livermore National Laboratory(United States Department of Energy (DOE)); Argon Isotope Facility at SUERC; STFC(UK Research &amp; Innovation (UKRI)Science &amp; Technology Facilities Council (STFC)); Science and Technology Facilities Council(UK Research &amp; Innovation (UKRI)Science &amp; Technology Facilities Council (STFC))</t>
  </si>
  <si>
    <t>We thank the following institutions for providing the meteorite samples: Smithsonian Museum, NASA Meteorite Working Group, Natural History Museum London, Macovich Collection and the Japanese Antarctic Meteorite Research Centre. This work was funded by the Science and Technology Facilities Council (grants ST/H002472/1, ST/H002960/1 and ST/K000918/1 to D.F.M. and M.R.L.) and the NASA Mars Fundamental Research Program (grant NNH14AX56I to W.S.C.). Portions of this work were performed under the auspices of the U.S. Department of Energy by Lawrence Livermore National Laboratory under Contract DE-AC52-07NA27344. NERC are thanked for continued funding of the Argon Isotope Facility at SUERC. R. Dymock and J. Imlach (SUERC), P. Lindgren and P. Chung (University of Glasgow) assisted with 40Ar/39Ar and scanning electron microscopy, respectively. We thank F. Jourdan and W.S. Kiefer for reviews.</t>
  </si>
  <si>
    <t>OCT 3</t>
  </si>
  <si>
    <t>10.1038/s41467-017-00513-8</t>
  </si>
  <si>
    <t>FI6UV</t>
  </si>
  <si>
    <t>WOS:000412133200001</t>
  </si>
  <si>
    <t>Day, RD; McCauley, RD; Fitzgibbon, QP; Hartmann, K; Semmens, JM</t>
  </si>
  <si>
    <t>Day, Ryan D.; McCauley, Robert D.; Fitzgibbon, Quinn P.; Hartmann, Klaas; Semmens, Jayson M.</t>
  </si>
  <si>
    <t>Exposure to seismic air gun signals causes physiological harm and alters behavior in the scallop Pecten fumatus</t>
  </si>
  <si>
    <t>aquatic noise; acoustic stress; hemolymph; reflex behavior; bivalve</t>
  </si>
  <si>
    <t>HALIOTIS-DIVERSICOLOR-SUPERTEXTA; CRASSOSTREA-GIGAS THUNBERG; ABDOMINAL SENSE ORGAN; ACID-BASE STATUS; IMMUNE FUNCTION; UNDERSIZED SCALLOPS; SEASONAL-VARIATIONS; JUVENILE SCALLOPS; CHLAMYS-ISLANDICA; SIPUNCULUS-NUDUS</t>
  </si>
  <si>
    <t>Seismic surveys map the seabed using intense, low-frequency sound signals that penetrate kilometers into the Earth's crust. Little is known regarding how invertebrates, including economically and ecologically important bivalves, are affected by exposure to seismic signals. In a series of field-based experiments, we investigate the impact of exposure to seismic surveys on scallops, using measurements of physiological and behavioral parameters to determine whether exposure may cause mass mortality or result in other sublethal effects. Exposure to seismic signals was found to significantly increase mortality, particularly over a chronic (months postexposure) time scale, though not beyond naturally occurring rates of mortality. Exposure did not elicit energetically expensive behaviors, but scallops showed significant changes in behavioral patterns during exposure, through a reduction in classic behaviors and demonstration of a nonclassic flinch response to air gun signals. Furthermore, scallops showed persistent alterations in recessing reflex behavior following exposure, with the rate of recessing increasing with repeated exposure. Hemolymph (blood analog) physiology showed a compromised capacity for homeostasis and potential immunodeficiency, as a range of hemolymph biochemistry parameters were altered and the density of circulating hemocytes (blood cell analog) was significantly reduced, with effects observed over acute (hours to days) and chronic (months) scales. The size of the air gun had no effect, but repeated exposure intensified responses. We postulate that the observed impacts resulted from high seabed ground accelerations driven by the air gun signal. Given the scope of physiological disruption, we conclude that seismic exposure can harm scallops.</t>
  </si>
  <si>
    <t>[Day, Ryan D.; Fitzgibbon, Quinn P.; Hartmann, Klaas; Semmens, Jayson M.] Univ Tasmania, Inst Marine &amp; Antarctic Studies, Fisheries &amp; Aquaculture Ctr, Hobart, Tas 7001, Australia; [McCauley, Robert D.] Curtin Univ, Ctr Marine Sci &amp; Technol, Perth, WA 6845, Australia</t>
  </si>
  <si>
    <t>University of Tasmania; Curtin University</t>
  </si>
  <si>
    <t>Semmens, JM (corresponding author), Univ Tasmania, Inst Marine &amp; Antarctic Studies, Fisheries &amp; Aquaculture Ctr, Hobart, Tas 7001, Australia.</t>
  </si>
  <si>
    <t>Jayson.Semmens@utas.edu.au</t>
  </si>
  <si>
    <t>Day, Ryan D/J-7715-2014; Hartmann, Klaas/B-3991-2008</t>
  </si>
  <si>
    <t>Day, Ryan/0000-0002-1834-6945; Semmens, Jayson/0000-0003-1742-6692; Fitzgibbon, Quinn/0000-0002-1104-3052</t>
  </si>
  <si>
    <t>Australian Government through the Fisheries Research and Development Corporation; Origin Energy; CarbonNet Project; Victorian Department of Economic Development, Jobs, Transport and Resources</t>
  </si>
  <si>
    <t>Australian Government through the Fisheries Research and Development Corporation(Fisheries R&amp;D Corp); Origin Energy; CarbonNet Project; Victorian Department of Economic Development, Jobs, Transport and Resources</t>
  </si>
  <si>
    <t>The authors acknowledge the fieldwork contributions of University of Tasmania's Institute for Marine and Antarctic Studies (IMAS) technical staff, particularly Michael Porteus, and Curtin University's Centre for Marine Science and Technology technical staff, particularly Malcom Perry and Dave Minchin. We also thank Andrea Walters (IMAS) for her efforts as our marine mammal observer. We express gratitude to Craig Bailey and his staff at Spring Bay Seafoods for their assistance to the project through the deployment and recovery of scallops on their mussel mariculture lines. Funding for this project was provided by the Australian Government through the Fisheries Research and Development Corporation, Origin Energy, the CarbonNet Project, and the Victorian Department of Economic Development, Jobs, Transport and Resources.</t>
  </si>
  <si>
    <t>E8537</t>
  </si>
  <si>
    <t>E8546</t>
  </si>
  <si>
    <t>10.1073/pnas.1700564114</t>
  </si>
  <si>
    <t>FI6TX</t>
  </si>
  <si>
    <t>Green Published, Bronze</t>
  </si>
  <si>
    <t>WOS:000412130500027</t>
  </si>
  <si>
    <t>Uenzelmann-Neben, G; Weber, T; Grützner, J; Thomas, M</t>
  </si>
  <si>
    <t>Uenzelmann-Neben, Gabriele; Weber, Tobias; Gruetzner, Jens; Thomas, Maik</t>
  </si>
  <si>
    <t>Transition from the Cretaceous ocean to Cenozoic circulation in the western South Atlantic - A twofold reconstruction</t>
  </si>
  <si>
    <t>South Atlantic; Oceanic circulation; Numerical simulation; Seismic reflection data; Oceanic gateways</t>
  </si>
  <si>
    <t>CARBON-DIOXIDE CONCENTRATIONS; DEEP-WATER CIRCULATION; ANTARCTIC GLACIATION; BOUNDARY-CONDITIONS; AGULHAS PLATEAU; DRAKE PASSAGE; PALEOBOTANICAL EVIDENCE; ATMOSPHERIC CO2; COMPONENT WATER; CLIMATE-CHANGE</t>
  </si>
  <si>
    <t>The Cretaceous oceanic circulation has been quite different from the modern with a different distribution of the continents on the globe. This has resulted in a much lower temperature gradient between poles and equator. We have studied seismic reflection data and used numerical simulations of atmosphere and ocean dynamics to identify important steps in modifications of the oceanic circulation in the South Atlantic from the Cretaceous to the Cenozoic and the major factors controlling them. Starting in the Albian we could not identify any traces of an overturning circulation for the South Atlantic although a weak proto-Antarctic Circumpolar Current (ACC) was simulated. No change in circulation was observed for the Paleocene/early Eocene South Atlantic, which indicated that this period has witnessed a circulation similar to the Albian and Cenomanian/Turonian circulation. The most drastic modifications were observed for the Eocene/Oligocene boundary and the Oligocene/early Miocene with the onset of an ACC and Atlantic meridional overturning circulation (AMOC) and hence southern sourced deep and bottom water masses in the western South Atlantic. A modern AMOC, which intensified in strength after closure of the Central American Seaway (CAS), and a strong ACC have resulted in current controlled sedimentary features and wide spread hiatusses in the South Atlantic since the middle Miocene. The opening of Drake Passage in early Oligocene times and the closure of the CAS at similar to 6 Ma, i.e., tectonic processes, have been identified as the key triggers for the observed most severe changes in oceanic circulation in the South Atlantic. (C) 2016 Elsevier B.V. All rights reserved.</t>
  </si>
  <si>
    <t>[Uenzelmann-Neben, Gabriele; Gruetzner, Jens] Zentrum Polar &amp; Meeresforsch, Alfred Wegener Inst Helmholtz, Alten Hafen 26, D-27568 Bremerhaven, Germany; [Weber, Tobias; Thomas, Maik] Deutsch Geoforschungszentrum, Helmholtz Zentrum Potsdam, D-14473 Potsdam, Germany</t>
  </si>
  <si>
    <t>Helmholtz Association; Alfred Wegener Institute, Helmholtz Centre for Polar &amp; Marine Research; Helmholtz Association; Helmholtz-Center Potsdam GFZ German Research Center for Geosciences</t>
  </si>
  <si>
    <t>Uenzelmann-Neben, G (corresponding author), Zentrum Polar &amp; Meeresforsch, Alfred Wegener Inst Helmholtz, Alten Hafen 26, D-27568 Bremerhaven, Germany.</t>
  </si>
  <si>
    <t>Gabriele.Uenzelmann-Neben@awi.de</t>
  </si>
  <si>
    <t>Uenzelmann-Neben, Gabriele/AAI-8618-2020</t>
  </si>
  <si>
    <t>Uenzelmann-Neben, Gabriele/0000-0002-0115-5923; Gruetzner, Jens/0000-0001-5445-2393</t>
  </si>
  <si>
    <t>Priority Program SAMPLE (South Atlantic Margin Processes and Links with onshore Evolution) of the Deutsche Forschungsgemeinschaft (DFG) [Ue 49/11-1, 49/11-2, Ue 49/15-1, TH 864/11-1, TH 864/11-2]</t>
  </si>
  <si>
    <t>Priority Program SAMPLE (South Atlantic Margin Processes and Links with onshore Evolution) of the Deutsche Forschungsgemeinschaft (DFG)(German Research Foundation (DFG))</t>
  </si>
  <si>
    <t>This research was funded within the scope of the Priority Program SAMPLE (South Atlantic Margin Processes and Links with onshore Evolution) of the Deutsche Forschungsgemeinschaft (DFG) under contracts no. Ue 49/11-1, 49/11-2, Ue 49/15-1, TH 864/11-1, and -2. The model experiments were carried out on the supercomputing system of the German Climate Computation Centre (DKRZ) in Hamburg, Germany. We would like to thank two reviewers and the guest editor M. Scheck-Wenderoth for the helpful comments.</t>
  </si>
  <si>
    <t>OCT 2</t>
  </si>
  <si>
    <t>SI</t>
  </si>
  <si>
    <t>10.1016/j.tecto.2016.05.036</t>
  </si>
  <si>
    <t>FN7JV</t>
  </si>
  <si>
    <t>WOS:000416195400016</t>
  </si>
  <si>
    <t>Cao, SN; He, JF; Zhang, F; Tian, HM; Liu, CP; Wang, HY; Zhou, QM</t>
  </si>
  <si>
    <t>Cao, Shunan; He, Jianfeng; Zhang, Fang; Tian, Huimin; Liu, Chuanpeng; Wang, Haiying; Zhou, Qiming</t>
  </si>
  <si>
    <t>Baeomyces lotiformis sp nov from China</t>
  </si>
  <si>
    <t>MYCOTAXON</t>
  </si>
  <si>
    <t>Ascomycota; Baeomycetaceae; chemistry; molecular systematics; morphology</t>
  </si>
  <si>
    <t>LICHEN PRODUCTS; ASCOMYCOTA; IDENTIFICATION; CLASSIFICATION; FUNGI</t>
  </si>
  <si>
    <t>A new species of lichenized fungus, Baeomyces lotiformis, is described and illustrated. It is distinguished by its short podetia and wide apothecium discs, and its affinity was confirmed by ITS sequence analysis.</t>
  </si>
  <si>
    <t>[Cao, Shunan; He, Jianfeng; Zhang, Fang] Polar Res Inst China, Key Lab Polar Sci SOA, 451 JinQiao Rd, Shanghai 200136, Peoples R China; [Tian, Huimin] Chifeng Univ, Med Fac, 1 YingBin Rd, Chifeng 024000, Inner Mongolia, Peoples R China; [Liu, Chuanpeng; Zhou, Qiming] Harbin Inst Technol, Sch Life Sci &amp; Technol, 2 Yikuang St, Harbin 150001, Heilongjiang, Peoples R China; [Wang, Haiying] Shandong Normal Univ, Coll Life Sci, Key Lab Plant Stress Res, 88 Wenhua Rd, Jinan 250014, Shandong, Peoples R China</t>
  </si>
  <si>
    <t>Polar Research Institute of China; Chifeng University; Harbin Institute of Technology; Shandong Normal University</t>
  </si>
  <si>
    <t>Zhou, QM (corresponding author), Harbin Inst Technol, Sch Life Sci &amp; Technol, 2 Yikuang St, Harbin 150001, Heilongjiang, Peoples R China.;Wang, HY (corresponding author), Shandong Normal Univ, Coll Life Sci, Key Lab Plant Stress Res, 88 Wenhua Rd, Jinan 250014, Shandong, Peoples R China.</t>
  </si>
  <si>
    <t>biowhy@sina.com; genbank@vip.sina.com</t>
  </si>
  <si>
    <t>Zhou, Qi/JTT-3417-2023; zhou, qi/JEF-7253-2023</t>
  </si>
  <si>
    <t>zhou, qi ming/0000-0002-2892-6329</t>
  </si>
  <si>
    <t>Chinese Arctic and Antarctic Administration [2011GW12016]; Program for Scientific Research Innovation Team in Colleges and Universities of Shandong Province; National Natural Science Foundation of China [31270059]; Science Foundation of Jinan [201202024]; National innovation Fund [201310445082]</t>
  </si>
  <si>
    <t>Chinese Arctic and Antarctic Administration; Program for Scientific Research Innovation Team in Colleges and Universities of Shandong Province; National Natural Science Foundation of China(National Natural Science Foundation of China (NSFC)); Science Foundation of Jinan; National innovation Fund</t>
  </si>
  <si>
    <t>Our thanks are due in the first place to the Chinese Arctic and Antarctic Administration (2011GW12016). Our project was financially supported by the Program for Scientific Research Innovation Team in Colleges and Universities of Shandong Province, the National Natural Science Foundation of China (31270059), the Science Foundation of Jinan (201202024), and the National innovation Fund for college students (201310445082). We thank Prof. Jae-Seoun Hur, Prof. Sergey Kondratyuk, and Dr. Harrie Sipman for presubmission reviews. We also thank Dr. Shaun Pennycook for valuable comments and nomenclature reviews.</t>
  </si>
  <si>
    <t>MYCOTAXON LTD</t>
  </si>
  <si>
    <t>ITHACA</t>
  </si>
  <si>
    <t>PO BOX 264, ITHACA, NY 14851-0264 USA</t>
  </si>
  <si>
    <t>0093-4666</t>
  </si>
  <si>
    <t>Mycotaxon</t>
  </si>
  <si>
    <t>OCT-DEC</t>
  </si>
  <si>
    <t>10.5248/132.831</t>
  </si>
  <si>
    <t>Mycology</t>
  </si>
  <si>
    <t>FV1QX</t>
  </si>
  <si>
    <t>WOS:000424340600013</t>
  </si>
  <si>
    <t>Zhang, XJ; Artemyev, A; Angelopoulos, V; Horne, RB</t>
  </si>
  <si>
    <t>Zhang, X. -J.; Artemyev, A.; Angelopoulos, V.; Horne, R. B.</t>
  </si>
  <si>
    <t>Kinetics of sub-ion scale magnetic holes in the near-Earth plasma sheet</t>
  </si>
  <si>
    <t>JOURNAL OF GEOPHYSICAL RESEARCH-SPACE PHYSICS</t>
  </si>
  <si>
    <t>ELECTRIC-FIELD; CLUSTER OBSERVATIONS; SOLITARY WAVES; MAGNETOTAIL; THEMIS; RECONNECTION; MAGNETOSPHERE; INSTABILITIES; INSTRUMENT; GENERATION</t>
  </si>
  <si>
    <t>In collisionless space plasmas, the energy cascade from larger to smaller scales requires effective interactions between ions and electrons. These interactions are organized by sub-ion scale plasma structures in which strong electric fields connect demagnetized ions to magnetized electrons. We consider one such structure, magnetic holes, observed by THEMIS spacecraft in the dipolarized hot plasma sheet. Magnetic holes are localized depressions of the magnetic field with strong currents at their boundaries. Taking advantage of slow plasma convection (similar to 10-20 km/s), we reconstruct the electron velocity distribution within magnetic holes and demonstrate that the current at their boundaries is predominantly carried by magnetized thermal electrons. The motion of these electrons is the combination of diamagnetic drift and E x B drift in a Hall electric field. Magnetic holes can effectively modulate the intensity of electron cyclotron harmonic waves, and thus the spatial distribution of thermal electron precipitation. They may also contain field-aligned currents with magnitudes of similar to 5 nA/m(2) (1 order of magnitude smaller than the cross-field current density). Therefore, sub-ion scale magnetic holes can be important for ionosphere-magnetosphere coupling.</t>
  </si>
  <si>
    <t>[Zhang, X. -J.; Artemyev, A.; Angelopoulos, V.] Univ Calif Los Angeles, Dept Earth Planetary &amp; Space Sci, Los Angeles, CA 90095 USA; [Zhang, X. -J.] Univ Calif Los Angeles, Dept Atmospher &amp; Ocean Sci, Los Angeles, CA 90095 USA; [Artemyev, A.] Russian Acad Sci, Space Res Inst, Moscow, Russia; [Horne, R. B.] British Antarctic Survey, Nat Environm Res Council, Cambridge, England</t>
  </si>
  <si>
    <t>University of California System; University of California Los Angeles; University of California System; University of California Los Angeles; Russian Academy of Sciences; Space Research Institute of the Russian Academy of Sciences; UK Research &amp; Innovation (UKRI); Natural Environment Research Council (NERC); NERC British Antarctic Survey</t>
  </si>
  <si>
    <t>Zhang, XJ (corresponding author), Univ Calif Los Angeles, Dept Earth Planetary &amp; Space Sci, Los Angeles, CA 90095 USA.;Zhang, XJ (corresponding author), Univ Calif Los Angeles, Dept Atmospher &amp; Ocean Sci, Los Angeles, CA 90095 USA.</t>
  </si>
  <si>
    <t>xjzhang@ucla.edu</t>
  </si>
  <si>
    <t>Artemyev, Anton/AAO-8011-2020; Horne, Richard B/U-3764-2019</t>
  </si>
  <si>
    <t>Horne, Richard B/0000-0002-0412-6407; Zhang, Xiao-Jia/0000-0002-4185-5465; Angelopoulos, Vassilis/0000-0001-7024-1561</t>
  </si>
  <si>
    <t>NASA [NAS5-02099]; German Ministry for Economy and Technology; German Aerospace Center (DLR) [50 OC 0302]; NERC [bas0100031] Funding Source: UKRI; Natural Environment Research Council [bas0100031] Funding Source: researchfish</t>
  </si>
  <si>
    <t>NASA(National Aeronautics &amp; Space Administration (NASA)); German Ministry for Economy and Technology; German Aerospace Center (DLR)(Helmholtz AssociationGerman Aerospace Centre (DLR)); NERC(UK Research &amp; Innovation (UKRI)Natural Environment Research Council (NERC)); Natural Environment Research Council(UK Research &amp; Innovation (UKRI)Natural Environment Research Council (NERC))</t>
  </si>
  <si>
    <t>We thank J. Hohl for her help with editing and F.S. Mozer for important comments about electric field measurements. We acknowledge NASA contract NAS5-02099 for use of data from the THEMIS Mission. We thank J.W. Bonnell and F.S. Mozer for use of EFI data, C.W. Carlson and J.P. McFadden for use of ESA data, D.E. Larson for use of SST data, K.H. Glassmeier, U. Auster, and W. Baumjohann for the use of FGM data provided under the lead of the Technical University of Braunschweig and with financial support through the German Ministry for Economy and Technology and the German Aerospace Center (DLR) under contract 50 OC 0302. All data can be accessed from http://themis.ssl.berkeley.edu/.</t>
  </si>
  <si>
    <t>2169-9380</t>
  </si>
  <si>
    <t>2169-9402</t>
  </si>
  <si>
    <t>J GEOPHYS RES-SPACE</t>
  </si>
  <si>
    <t>J. Geophys. Res-Space Phys.</t>
  </si>
  <si>
    <t>OCT</t>
  </si>
  <si>
    <t>10.1002/2017JA024197</t>
  </si>
  <si>
    <t>FS6VZ</t>
  </si>
  <si>
    <t>Green Accepted</t>
  </si>
  <si>
    <t>WOS:000419937800038</t>
  </si>
  <si>
    <t>De Michelis, P; Consolini, G; Tozzi, R; Marcucci, MF</t>
  </si>
  <si>
    <t>De Michelis, Paola; Consolini, Giuseppe; Tozzi, Roberta; Marcucci, Maria Federica</t>
  </si>
  <si>
    <t>Scaling Features of High-Latitude Geomagnetic Field Fluctuations at Swarm Altitude: Impact of IMF Orientation</t>
  </si>
  <si>
    <t>MAGNETIC-FIELD; ALIGNED CURRENTS; ELECTRIC-FIELDS; TURBULENCE; VELOCITY; IRREGULARITIES; CONVECTION; COMPLEXITY; PATTERNS; FLOWS</t>
  </si>
  <si>
    <t>This paper attempts to explore the statistical scaling features of high-latitude geomagnetic field fluctuations at Swarm altitude. Data for this study are low-resolution (1 Hz) magnetic data recorded by the vector field magnetometer on board Swarm A satellite over 1 year (from 15 April 2014 to 15 April 2015). The first-and second-order structure function scaling exponents and the degree of intermittency of the fluctuations of the intensity of the horizontal component of the magnetic field at high northern latitudes have been evaluated for different interplanetary magnetic field orientations in the GSM Y-Z plane and seasons. In the case of the first-order structure function scaling exponent, a comparison between the average spatial distributions of the obtained values and the statistical convection patterns obtained using a Super Dual Auroral Radar Network dynamic model (CS10 model) has been also considered. The obtained results support the idea that the knowledge of the scaling features of the geomagnetic field fluctuations can help in the characterization of the different ionospheric turbulence regimes of the medium crossed by Swarm A satellite. This study shows that different turbulent regimes of the geomagnetic field fluctuations exist in the regions characterized by a double-cell convection pattern and in those regions near the border of the convective structures.</t>
  </si>
  <si>
    <t>[De Michelis, Paola; Tozzi, Roberta] Ist Nazl Geofis &amp; Vulcanol, Rome, Italy; [Consolini, Giuseppe; Marcucci, Maria Federica] INAF Ist Astrofis &amp; Planetol Spaziali, Rome, Italy</t>
  </si>
  <si>
    <t>Istituto Nazionale Geofisica e Vulcanologia (INGV); Istituto Nazionale Astrofisica (INAF)</t>
  </si>
  <si>
    <t>De Michelis, P (corresponding author), Ist Nazl Geofis &amp; Vulcanol, Rome, Italy.</t>
  </si>
  <si>
    <t>paola.demichelis@ingv.it</t>
  </si>
  <si>
    <t>Marcucci, Maria federica/HNJ-5276-2023; Tozzi, Roberta/ABP-8925-2022</t>
  </si>
  <si>
    <t>Tozzi, Roberta/0000-0002-1836-4078; CONSOLINI, Giuseppe/0000-0002-3403-647X; Marcucci, Maria Federica/0000-0002-5002-6060; DE MICHELIS, Paola/0000-0002-2708-0739</t>
  </si>
  <si>
    <t>Italian National Program for Antarctic Research (PNRA) [2013/AC3.08]; Italian MIUR-PRIN [2012P2HRCR]</t>
  </si>
  <si>
    <t>Italian National Program for Antarctic Research (PNRA); Italian MIUR-PRIN(Ministry of Education, Universities and Research (MIUR)Research Projects of National Relevance (PRIN))</t>
  </si>
  <si>
    <t>This work is supported by the Italian National Program for Antarctic Research (PNRA) Research Project 2013/AC3.08 and the Italian MIUR-PRIN grant 2012P2HRCR on The active Sun and its effects on Space and Earth climate. The results presented in this paper rely on data collected by one of the three satellites of the Swarm constellation. We thank the European Space Agency that supports the Swarm mission. We kindly acknowledge N. Papitashvili and J. King at the National Space Science Data Center of the Goddard Space Flight Center for the use permission of 1 min OMNI data and the NASA CDAWeb team for making these data available. The authors acknowledge the use of the SuperDARN dynamic model made available at http://sdnet.thayer.dartmouth.edu/models/dynamicmodel.php. The elaborated data for this paper are available by contacting the corresponding author (paola.demichelis@ingv.it).</t>
  </si>
  <si>
    <t>10.1002/2017JA024156</t>
  </si>
  <si>
    <t>WOS:000419937800055</t>
  </si>
  <si>
    <t>Baba, K; Renwick, J</t>
  </si>
  <si>
    <t>Baba, Kenji; Renwick, James</t>
  </si>
  <si>
    <t>Aspects of intraseasonal variability of Antarctic sea ice in austral winter related to ENSO and SAM events</t>
  </si>
  <si>
    <t>JOURNAL OF GLACIOLOGY</t>
  </si>
  <si>
    <t>atmosphere/ice/ocean interactions; climate change; sea ice</t>
  </si>
  <si>
    <t>SURFACE TEMPERATURE; SOUTHERN-HEMISPHERE; PACIFIC; PROPAGATION; CIRCULATION; IMPACTS; ZONE</t>
  </si>
  <si>
    <t>We performed an Empirical Orthogonal Function (EOF) analysis to assess the intraseasonal variability of 5-60 day band-pass filtered Antarctic sea-ice concentration in austral winter using a 20-year daily dataset from 1995 to 2014. Zonal wave number 3 dominated in the Antarctic, especially so across the west Antarctic. Results showed the coexistence of stationary and propagating wave components. A spectral analysis of the first two principal components (PCs) showed a similar structure for periods up to 15 days but generally more power in PC1 at longer periods. Regression analysis upon atmospheric fields using the first two PCs of sea-ice concentration showed a coherent wave number 3 pattern. The spatial phase delay between the sea-ice and mean sea-level pressure patterns suggests that meridional flow and associated temperature advection are important for modulating the sea-ice field. EOF analyses carried out separately for El Nino, La Nina and neutral years, and for Southern Annular Mode positive, negative and neutral periods, suggest that the spatial patterns of wave number 3 shift between subsets. The results also indicate that El Nino-Southern Oscillation and Southern Annular Mode affect stationary wave interactions between sea-ice and atmospheric fields on intraseasonal timescales.</t>
  </si>
  <si>
    <t>[Baba, Kenji] Rakuno Gakuen Univ, Coll Agr Food &amp; Environm Sci, Ebetsu, Hokkaido, Japan; [Baba, Kenji; Renwick, James] Victoria Univ Wellington, Sch Geog Environm &amp; Earth Sci, Wellington, New Zealand; [Baba, Kenji] Rakuno Gakuen Univ, Ebetsu, Hokkaido, Japan</t>
  </si>
  <si>
    <t>Rakuno Gakuen University; Victoria University Wellington; Rakuno Gakuen University</t>
  </si>
  <si>
    <t>Baba, K (corresponding author), Rakuno Gakuen Univ, Coll Agr Food &amp; Environm Sci, Ebetsu, Hokkaido, Japan.;Baba, K (corresponding author), Victoria Univ Wellington, Sch Geog Environm &amp; Earth Sci, Wellington, New Zealand.;Baba, K (corresponding author), Rakuno Gakuen Univ, Ebetsu, Hokkaido, Japan.</t>
  </si>
  <si>
    <t>kbaba@rakuno.ac.jp</t>
  </si>
  <si>
    <t>BABA, Kenji/0000-0002-3515-7695</t>
  </si>
  <si>
    <t>CAMBRIDGE UNIV PRESS</t>
  </si>
  <si>
    <t>EDINBURGH BLDG, SHAFTESBURY RD, CB2 8RU CAMBRIDGE, ENGLAND</t>
  </si>
  <si>
    <t>0022-1430</t>
  </si>
  <si>
    <t>1727-5652</t>
  </si>
  <si>
    <t>J GLACIOL</t>
  </si>
  <si>
    <t>J. Glaciol.</t>
  </si>
  <si>
    <t>10.1017/jog.2017.49</t>
  </si>
  <si>
    <t>FR1TV</t>
  </si>
  <si>
    <t>gold</t>
  </si>
  <si>
    <t>WOS:000418851100007</t>
  </si>
  <si>
    <t>Lucianetti, G; Cianfarra, P; Mazza, R</t>
  </si>
  <si>
    <t>Lucianetti, G.; Cianfarra, P.; Mazza, R.</t>
  </si>
  <si>
    <t>Lineament domain analysis to infer groundwater flow paths: Clues from the Pale di San Martino fractured aquifer, Eastern Italian Alps</t>
  </si>
  <si>
    <t>GEOSPHERE</t>
  </si>
  <si>
    <t>SOUTHERN ALPS; FLUID-FLOW; STRESS MAP; CENOZOIC EXTENSION; ANTARCTIC CRATON; DOLOMITES; FAULT; CARBONATES; SYSTEM; PERMEABILITY</t>
  </si>
  <si>
    <t>An automatic lineament extraction was carried out on a processed digital elevation model of a high-altitude Alpine fractured reservoir, the Pale di San Martino area (Dolomites) located in the southern sector of the Eastern Italian Alps. The strike of the main lineament domain indicates the direction of the principal crustal stress. This direction was compared with earthquake focal mechanisms to confirm the orientation of the regional crustal stress. The two data sets provide similar results and show a NNW-SSE maximum horizontal crustal stress orientation, compatible with the direction of the last Alpine compression reported by previous studies in the investigated region. The orientation of the maximum horizontal compressive stress was then used to explore the ability of specific fracture and fault sets to enhance ground-water flow. Subvertical strike-slip faults and joints oriented NW-SE to north-south provide the greater contribution to the groundwater flow. The location of the main springs and evidence from a dye tracer test conducted in the area confirm this main drainage direction. This study demonstrates that automatic lineament analysis is an efficient and inexpensive method to identify the trajectories of groundwater flow in fractured aquifers.</t>
  </si>
  <si>
    <t>[Lucianetti, G.; Cianfarra, P.; Mazza, R.] Univ Roma Tre, Dipartimento Sci, I-00146 Rome, Italy</t>
  </si>
  <si>
    <t>Roma Tre University</t>
  </si>
  <si>
    <t>Cianfarra, P (corresponding author), Univ Roma Tre, Dipartimento Sci, I-00146 Rome, Italy.</t>
  </si>
  <si>
    <t>paola.cianfarra@uniroma3.it</t>
  </si>
  <si>
    <t>Lucianetti, Giorgia/ABD-7978-2020; CIANFARRA, Paola/JCE-5168-2023; CIANFARRA, Paola/AAQ-5641-2020</t>
  </si>
  <si>
    <t>Lucianetti, Giorgia/0000-0003-0895-9163; CIANFARRA, Paola/0000-0001-9396-4519; MAZZA, Roberto/0000-0001-6155-1955</t>
  </si>
  <si>
    <t>GEOLOGICAL SOC AMER, INC</t>
  </si>
  <si>
    <t>BOULDER</t>
  </si>
  <si>
    <t>PO BOX 9140, BOULDER, CO 80301-9140 USA</t>
  </si>
  <si>
    <t>1553-040X</t>
  </si>
  <si>
    <t>Geosphere</t>
  </si>
  <si>
    <t>10.1130/GES01500.1</t>
  </si>
  <si>
    <t>FQ5WC</t>
  </si>
  <si>
    <t>WOS:000418430700018</t>
  </si>
  <si>
    <t>Fu, DK; Bridle, A; Leef, M; dos Santos, CN; Nowak, B</t>
  </si>
  <si>
    <t>Fu, Dingkun; Bridle, Andrew; Leef, Melanie; dos Santos, Catarina Norte; Nowak, Barbara</t>
  </si>
  <si>
    <t>Hepatic expression of metal-related genes and gill histology in sand flathead (Platycephalus bassensis) from a metal contaminated estuary</t>
  </si>
  <si>
    <t>MARINE ENVIRONMENTAL RESEARCH</t>
  </si>
  <si>
    <t>Biomarkers; Metal contamination; Histology; Gene expression</t>
  </si>
  <si>
    <t>FRESH-WATER FISH; PORT-PHILLIP BAY; HEAVY-METALS; HISTOPATHOLOGICAL BIOMARKERS; RAINBOW-TROUT; RIVER ESTUARY; EXPOSURE; LIVER; MERCURY; TOXICITY</t>
  </si>
  <si>
    <t>Hepatic gene expression and gill histology were measured in sand flathead (Platycephalus bassensis) from a metal polluted estuary. The gene expression analyses were conducted on fish from two most polluted sites and a reference site. The metal-related genes were metal-regulatory transcription factor 1 (MTF1), transferrin (TF), ferriportini (FPN1), ferritin and metallothionein. The transcripts of MTF1, TF, and FPN1 were significantly higher in the liver of fish caught at polluted sites, suggesting these genes are potential biomarkers for environmental exposure to metal. Strong correlations were found between the transcripts of these three genes. Four types of gill lesions such as hyperplasia and lamellar fusion, epitheliocystis, telangiectasis, and deformed filament were observed in sampled fish. There was significant difference in the prevalence of epitheliocystis and telangiectasis between the fish from the polluted areas and reference area. Gill parasites were less prevalent in the flathead from polluted sites. The gill histopathological results indicated, both pollutants and infections could contribute to gill lesions. (C) 2017 Elsevier Ltd. All rights reserved.</t>
  </si>
  <si>
    <t>[Fu, Dingkun; Bridle, Andrew; Leef, Melanie; dos Santos, Catarina Norte; Nowak, Barbara] Univ Tasmania, Inst Marine &amp; Antarctic Studies, Locked Bag 1370, Launceston, Tas 7250, Australia</t>
  </si>
  <si>
    <t>University of Tasmania</t>
  </si>
  <si>
    <t>Fu, DK (corresponding author), Univ Tasmania, Inst Marine &amp; Antarctic Studies, Locked Bag 1370, Launceston, Tas 7250, Australia.</t>
  </si>
  <si>
    <t>fudingkun@gmail.com</t>
  </si>
  <si>
    <t>Leef, Melanie J/C-6655-2013; Bridle, Andrew R/B-4117-2013; Nowak, Barbara/J-7261-2014</t>
  </si>
  <si>
    <t>Norte dos Santos, Catarina do Carmo/0000-0002-1562-1921; Bridle, Andrew/0000-0002-5788-1297; Nowak, Barbara/0000-0002-0347-643X</t>
  </si>
  <si>
    <t>John Bicknell Scholarship; IPRS</t>
  </si>
  <si>
    <t>We thank the Nyrstar, Hobart, for allowing us to sample on their heavy metal survey program and for providing access to the heavy metals dataset. Mark Stalker, Stuart Dick, Vicky Warnock and Neil Linton Warnock are thanked for their help in the field. This work was funded by John Bicknell Scholarship and IPRS.</t>
  </si>
  <si>
    <t>0141-1136</t>
  </si>
  <si>
    <t>1879-0291</t>
  </si>
  <si>
    <t>MAR ENVIRON RES</t>
  </si>
  <si>
    <t>Mar. Environ. Res.</t>
  </si>
  <si>
    <t>10.1016/j.marenvres.2017.09.014</t>
  </si>
  <si>
    <t>Environmental Sciences; Marine &amp; Freshwater Biology; Toxicology</t>
  </si>
  <si>
    <t>Environmental Sciences &amp; Ecology; Marine &amp; Freshwater Biology; Toxicology</t>
  </si>
  <si>
    <t>FQ2XX</t>
  </si>
  <si>
    <t>WOS:000418222400008</t>
  </si>
  <si>
    <t>Arcarons, N; Vendrell, M; Yeste, M; López-Béjar, M; Mercade, E; Mogas, T</t>
  </si>
  <si>
    <t>Arcarons, N.; Vendrell, M.; Yeste, M.; Lopez-Bejar, M.; Mercade, E.; Mogas, T.</t>
  </si>
  <si>
    <t>Developmental competence of in vitro matured bovine oocytes vitrified and warmed in media supplemented with a biopolymer produced by an Antarctic bacterium</t>
  </si>
  <si>
    <t>REPRODUCTION IN DOMESTIC ANIMALS</t>
  </si>
  <si>
    <t>14th International Congress of the Spanish-Association-for-Animal=Reproduction (AERA)</t>
  </si>
  <si>
    <t>NOV 09-11, 2017</t>
  </si>
  <si>
    <t>Barcelona, SPAIN</t>
  </si>
  <si>
    <t>[Arcarons, N.; Vendrell, M.; Lopez-Bejar, M.; Mogas, T.] Univ Autonoma Barcelona, Barcelona, Spain; [Yeste, M.] Univ Girona, Girona, Spain; [Mercade, E.] Univ Barcelona, Barcelona, Spain</t>
  </si>
  <si>
    <t>Autonomous University of Barcelona; Universitat de Girona; University of Barcelona</t>
  </si>
  <si>
    <t>Lopez-Bejar, Manel/S-2429-2019; Yeste, Marc/G-5945-2012; Mogas, Teresa/M-3746-2015</t>
  </si>
  <si>
    <t>Lopez-Bejar, Manel/0000-0001-9490-6126; Yeste, Marc/0000-0002-2209-340X;</t>
  </si>
  <si>
    <t>[AGL2016-79802-P]; [CTQ2014-59632-R]</t>
  </si>
  <si>
    <t>;</t>
  </si>
  <si>
    <t>This study was supported by Project AGL2016-79802-P and grant CTQ2014-59632-R.</t>
  </si>
  <si>
    <t>WILEY</t>
  </si>
  <si>
    <t>HOBOKEN</t>
  </si>
  <si>
    <t>111 RIVER ST, HOBOKEN 07030-5774, NJ USA</t>
  </si>
  <si>
    <t>0936-6768</t>
  </si>
  <si>
    <t>1439-0531</t>
  </si>
  <si>
    <t>REPROD DOMEST ANIM</t>
  </si>
  <si>
    <t>Reprod. Domest. Anim.</t>
  </si>
  <si>
    <t>P 27</t>
  </si>
  <si>
    <t>Agriculture, Dairy &amp; Animal Science; Reproductive Biology; Veterinary Sciences</t>
  </si>
  <si>
    <t>Science Citation Index Expanded (SCI-EXPANDED); Conference Proceedings Citation Index - Science (CPCI-S)</t>
  </si>
  <si>
    <t>Agriculture; Reproductive Biology; Veterinary Sciences</t>
  </si>
  <si>
    <t>FP8OS</t>
  </si>
  <si>
    <t>WOS:000417905500055</t>
  </si>
  <si>
    <t>van Hooijdonk, IGS; Clercx, HJH; Abraham, C; Holdsworth, AM; Monahan, AH; Vignon, E; Moene, AF; Baas, P; van de Wiel, BJH</t>
  </si>
  <si>
    <t>van Hooijdonk, Ivo G. S.; Clercx, Herman J. H.; Abraham, Carsten; Holdsworth, Amber M.; Monahan, Adam H.; Vignon, Etienne; Moene, Arnold F.; Baas, Peter; van de Wiel, Bas J. H.</t>
  </si>
  <si>
    <t>Near-Surface Temperature Inversion Growth Rate during the Onset of the Stable Boundary Layer</t>
  </si>
  <si>
    <t>JOURNAL OF THE ATMOSPHERIC SCIENCES</t>
  </si>
  <si>
    <t>CONVECTIVE TURBULENCE; SUNSET TURBULENCE; ANTARCTIC PLATEAU; WIND-SPEED; DOME C; LAND; AFTERNOON; SCALES; MODEL; DECAY</t>
  </si>
  <si>
    <t>This study aims to find the typical growth rate of the temperature inversion during the onset of the stable boundary layer around sunset. The sunset transition is a very challenging period for numerical weather prediction, since neither accepted theories for the convective boundary layer nor those for the stable boundary layer appear to be applicable. To gain more insight in this period, a systematic investigation of the temperature inversion growth rate is conducted. A statistical procedure is used to analyze almost 16 years of observations from the Cabauw observational tower, supported by observations from two additional sites (Dome C and Karlsruhe). The results show that, on average, the growth rate of the temperature inversion (normalized by the maximum inversion during the night) weakly declines with increasing wind speed. The observed growth rate is quantitatively consistent among the sites, and it appears insensitive to various other parameters. The results were also insensitive to the afternoon decay rate of the net radiation except when this decay rate was very weak. These observations are compared to numerical solutions of three models with increasing complexity: a bulk model, an idealized single-column model (SCM), and an operational-level SCM. It appears only the latter could reproduce qualitative features of the observations using a first-order closure. Moreover, replacing this closure with a prognostic TKE scheme substantially improved the quantitative performance. This suggests that idealized models assuming instantaneous equilibrium flux-profile relations may not aid in understanding this period, since history effects may qualitatively affect the dynamics.</t>
  </si>
  <si>
    <t>[van Hooijdonk, Ivo G. S.; Clercx, Herman J. H.] Eindhoven Univ Technol, Fluid Dynam Lab, Eindhoven, Netherlands; [van Hooijdonk, Ivo G. S.; Clercx, Herman J. H.] Eindhoven Univ Technol, JM Burgersctr, Eindhoven, Netherlands; [Abraham, Carsten; Holdsworth, Amber M.; Monahan, Adam H.] Univ Victoria, Sch Earth &amp; Ocean Sci, Victoria, BC, Canada; [Vignon, Etienne] Grenoble Alps Univ, CNRS, IRD, IGE, Grenoble, France; [Moene, Arnold F.] Wageningen Univ &amp; Res, Meteorol &amp; Air Qual Grp, Wageningen, Netherlands; [Baas, Peter; van de Wiel, Bas J. H.] Delft Univ Technol, Dept Geosci &amp; Remote Sensing, Fac Civil Engn &amp; Geosci, Delft, Netherlands</t>
  </si>
  <si>
    <t>Eindhoven University of Technology; Eindhoven University of Technology; University of Victoria; Centre National de la Recherche Scientifique (CNRS); Institut de Recherche pour le Developpement (IRD); Wageningen University &amp; Research; Delft University of Technology</t>
  </si>
  <si>
    <t>van Hooijdonk, IGS (corresponding author), Eindhoven Univ Technol, Fluid Dynam Lab, Eindhoven, Netherlands.;van Hooijdonk, IGS (corresponding author), Eindhoven Univ Technol, JM Burgersctr, Eindhoven, Netherlands.</t>
  </si>
  <si>
    <t>i.g.s.v.hooijdonk@tue.nl</t>
  </si>
  <si>
    <t>Moene, Arnold F./B-3212-2010; Abraham, Carsten/AIA-0631-2022; Clercx, Herman J.H./A-1081-2015</t>
  </si>
  <si>
    <t>Abraham, Carsten/0000-0003-2532-5365; VIGNON, Etienne/0000-0003-3801-9367; Moene, Arnold/0000-0003-3614-8544; Clercx, Herman J.H./0000-0001-8769-0435; Holdsworth, Amber/0000-0002-6857-7258</t>
  </si>
  <si>
    <t>Netherlands Organisation for Scientific Research (NWO) [832010110]; Natural Sciences and Engineering Research Council Canada; ERC [648666]; European Research Council (ERC) [648666] Funding Source: European Research Council (ERC)</t>
  </si>
  <si>
    <t>Netherlands Organisation for Scientific Research (NWO)(Netherlands Organization for Scientific Research (NWO)); Natural Sciences and Engineering Research Council Canada(Natural Sciences and Engineering Research Council of Canada (NSERC)); ERC(European Research Council (ERC)); European Research Council (ERC)(European Research Council (ERC)Spanish Government)</t>
  </si>
  <si>
    <t>The authors thank Christoph Genthon for providing the Dome C meteorological data, the French polar institute (IPEV, CALVA program 1013) for the logistical support, and the WRMC-BSRN network, Angelo Lupi, and Christian Lanconelli for dissemination of the Dome C radiation data. We also thank Martin Kohler and the Institute for Meteorology and Climate Research of Karlsruhe Institute of Technology (KIT) for providing the Karlsruhe observations. Fred Bosveld and the Royal Dutch Meteorological Institute (KMNI) are thanked for the freely available Cabauw observations. The following funding agencies are acknowledged for their contribution: IvH is supported by the Netherlands Organisation for Scientific Research (NWO, ALW Grant 832010110); AHM, AH, and CA are supported by the Natural Sciences and Engineering Research Council Canada; and BvdW and PB are supported by an ERC Consolidator grant (648666). Finally, the University of Victoria is thanked for hosting IvH during several weeks for this research.</t>
  </si>
  <si>
    <t>AMER METEOROLOGICAL SOC</t>
  </si>
  <si>
    <t>BOSTON</t>
  </si>
  <si>
    <t>45 BEACON ST, BOSTON, MA 02108-3693 USA</t>
  </si>
  <si>
    <t>0022-4928</t>
  </si>
  <si>
    <t>1520-0469</t>
  </si>
  <si>
    <t>J ATMOS SCI</t>
  </si>
  <si>
    <t>J. Atmos. Sci.</t>
  </si>
  <si>
    <t>10.1175/JAS-D-17-0084.1</t>
  </si>
  <si>
    <t>FP9UL</t>
  </si>
  <si>
    <t>Green Published, Green Submitted, hybrid</t>
  </si>
  <si>
    <t>WOS:000417993900007</t>
  </si>
  <si>
    <t>Sun, XL; Abshire, JB; Borsa, AA; Fricker, HA; Yi, DH; DiMarzio, JP; Paolo, FS; Brunt, KM; Harding, DJ; Neumann, GA</t>
  </si>
  <si>
    <t>Sun, Xiaoli; Abshire, James B.; Borsa, Adrian A.; Fricker, Helen Amanda; Yi, Donghui; DiMarzio, John P.; Paolo, Fernando S.; Brunt, Kelly M.; Harding, David J.; Neumann, Gregory A.</t>
  </si>
  <si>
    <t>ICESAT/GLAS Altimetry Measurements: Received Signal Dynamic Range and Saturation Correction</t>
  </si>
  <si>
    <t>IEEE TRANSACTIONS ON GEOSCIENCE AND REMOTE SENSING</t>
  </si>
  <si>
    <t>Ice sheets; laser ranging; lidar; remote sensing; satellite laser altimetry</t>
  </si>
  <si>
    <t>LASER ALTIMETERS; PERFORMANCE; REFLECTANCE; SURFACE; BOLIVIA; UYUNI; OCEAN; SALAR; LIDAR; ICE</t>
  </si>
  <si>
    <t>NASA's Ice, Cloud, and land Elevation Satellite (ICESat), which operated between 2003 and 2009, made the first satellite-based global lidar measurement of earth's ice sheet elevations, sea-ice thickness, and vegetation canopy structure. The primary instrument on ICESat was the Geoscience Laser Altimeter System (GLAS), which measured the distance from the spacecraft to the earth's surface via the roundtrip travel time of individual laser pulses. GLAS utilized pulsed lasers and a direct detection receiver consisting of a silicon avalanche photodiode and a waveform digitizer. Early in the mission, the peak power of the received signal from snow and ice surfaces was found to span a wider dynamic range than anticipated, often exceeding the linear dynamic range of the GLAS 1064-nm detector assembly. The resulting saturation of the receiver distorted the recorded signal and resulted in range biases as large as similar to 50 cm for ice-and snow-covered surfaces. We developed a correction for this saturation range bias based on laboratory tests using a spare flight detector, and refined the correction by comparing GLAS elevation estimates with those derived from Global Positioning System surveys over the calibration site at the salar de Uyuni, Bolivia. Applying the saturation correction largely eliminated the range bias due to receiver saturation for affected ICESat measurements over Uyuni and significantly reduced the discrepancies at orbit crossovers located on flat regions of the Antarctic ice sheet.</t>
  </si>
  <si>
    <t>[Sun, Xiaoli; Abshire, James B.; Neumann, Gregory A.] NASA, Goddard Space Flight Ctr, Solar Explorat Div, Greenbelt, MD 20771 USA; [Borsa, Adrian A.; Fricker, Helen Amanda; Paolo, Fernando S.] Univ Calif San Diego, Scripps Inst Oceanog, La Jolla, CA 92093 USA; [Yi, Donghui; DiMarzio, John P.] Stinger Ghaffarian Technol Inc, Greenbelt, MD 20770 USA; [Brunt, Kelly M.] Univ Maryland, Earth Syst Sci Interdisciplinary Ctr, College Pk, MD 20740 USA; [Harding, David J.] NASA, Goddard Space Flight Ctr, Div Earth Sci, Greenbelt, MD 20771 USA</t>
  </si>
  <si>
    <t>National Aeronautics &amp; Space Administration (NASA); NASA Goddard Space Flight Center; University of California System; University of California San Diego; Scripps Institution of Oceanography; Stinger Ghaffarian Technologies, Inc. (SGT); University System of Maryland; University of Maryland College Park; National Aeronautics &amp; Space Administration (NASA); NASA Goddard Space Flight Center</t>
  </si>
  <si>
    <t>Sun, XL (corresponding author), NASA, Goddard Space Flight Ctr, Solar Explorat Div, Greenbelt, MD 20771 USA.</t>
  </si>
  <si>
    <t>xiaoli.sun-1@nasa.gov</t>
  </si>
  <si>
    <t>Sun, Xiaoli/B-5120-2013; Borsa, Adrian/AAH-2158-2019; Paolo, Fernando/AGQ-9348-2022; Neumann, Gregory A/I-5591-2013</t>
  </si>
  <si>
    <t>Paolo, Fernando/0000-0002-6439-2918; Yi, Donghui/0000-0001-6363-5538; Borsa, Adrian/0000-0002-9939-1480; Fricker, Helen Amanda/0000-0002-0921-1432</t>
  </si>
  <si>
    <t>Intramural NASA [N-999999] Funding Source: Medline; Goddard Space Flight Center NASA Funding Source: Medline</t>
  </si>
  <si>
    <t>Intramural NASA; Goddard Space Flight Center NASA</t>
  </si>
  <si>
    <t>IEEE-INST ELECTRICAL ELECTRONICS ENGINEERS INC</t>
  </si>
  <si>
    <t>PISCATAWAY</t>
  </si>
  <si>
    <t>445 HOES LANE, PISCATAWAY, NJ 08855-4141 USA</t>
  </si>
  <si>
    <t>0196-2892</t>
  </si>
  <si>
    <t>1558-0644</t>
  </si>
  <si>
    <t>IEEE T GEOSCI REMOTE</t>
  </si>
  <si>
    <t>IEEE Trans. Geosci. Remote Sensing</t>
  </si>
  <si>
    <t>10.1109/TGRS.2017.2702126</t>
  </si>
  <si>
    <t>Geochemistry &amp; Geophysics; Engineering, Electrical &amp; Electronic; Remote Sensing; Imaging Science &amp; Photographic Technology</t>
  </si>
  <si>
    <t>Geochemistry &amp; Geophysics; Engineering; Remote Sensing; Imaging Science &amp; Photographic Technology</t>
  </si>
  <si>
    <t>FK6ZH</t>
  </si>
  <si>
    <t>WOS:000413653200002</t>
  </si>
  <si>
    <t>Felikson, D; Urban, TJ; Gunter, BC; Pie, N; Pritchard, HD; Harpold, R; Schutz, BE</t>
  </si>
  <si>
    <t>Felikson, Denis; Urban, Timothy J.; Gunter, Brian C.; Pie, Nadege; Pritchard, Hamish D.; Harpold, Robert; Schutz, Bob E.</t>
  </si>
  <si>
    <t>Comparison of Elevation Change Detection Methods From ICESat Altimetry Over the Greenland Ice Sheet</t>
  </si>
  <si>
    <t>Altimetry; change detection algorithms; Greenland; ice thickness; remote sensing</t>
  </si>
  <si>
    <t>MASS-BALANCE; LASER ALTIMETRY; ANTARCTICA; DYNAMICS; CLIMATE; IMPACT; VOLUME; LAND</t>
  </si>
  <si>
    <t>Estimation of the surface elevation change of the Greenland Ice Sheet (GrIS) is essential for understanding its response to recent and future climate change. Laser measurements from the NASA's Ice, Cloud, and land Elevation Satellite (ICESat) created altimetric surveys of GrIS surface elevations over the 2003-2009 operational period of the mission. This paper compares four change detection methods using Release 634 ICESat laser altimetry data: repeat tracks (RTs), crossovers (XOs), overlapping footprints (OFPs), and triangulated irregular networks (TINs). All four methods begin with a consistently edited data set and yield estimates of volumetric loss of ice from the GrIS ranging from -193 to -269 km(3)/yr. Using a uniform approach for quantifying uncertainties, we find that volume change rates at the drainage system scale from the four methods can be reconciled within 1-sigma uncertainties in just 5 of 19 drainage systems. Ice-sheet-wide volume change estimates from the four methods cannot be reconciled within 1-sigma uncertainties. Our volume change estimates lie within the range of previously published estimates, highlighting that the choice of method plays a dominant role in the scatter of volume change estimates. We find that for much of the GrIS, the OFP and TIN methods yield the lowest volume change uncertainties because of their superior spatial distribution of elevation change rate estimates. However, the RT and XO methods offer inherent advantages, and the future work to combine the elevation change detection methods to produce better estimates is warranted.</t>
  </si>
  <si>
    <t>[Felikson, Denis; Urban, Timothy J.; Pie, Nadege; Schutz, Bob E.] Univ Texas Austin, Austin, TX 78712 USA; [Gunter, Brian C.] Georgia Inst Technol, Atlanta, GA 30332 USA; [Pritchard, Hamish D.] British Antarctic Survey, Cambridge CB3 0ET, England; [Harpold, Robert] NOAA, Silver Spring, MD 20910 USA</t>
  </si>
  <si>
    <t>University of Texas System; University of Texas Austin; University System of Georgia; Georgia Institute of Technology; UK Research &amp; Innovation (UKRI); Natural Environment Research Council (NERC); NERC British Antarctic Survey; National Oceanic Atmospheric Admin (NOAA) - USA</t>
  </si>
  <si>
    <t>Felikson, D (corresponding author), Univ Texas Austin, Austin, TX 78712 USA.</t>
  </si>
  <si>
    <t>denis.felikson@utexas.edu</t>
  </si>
  <si>
    <t>Pritchard, Hamish Daniel/AAU-4696-2021; Urban, Timothy/HTO-2064-2023; Gunter, Brian C/C-7841-2014; Felikson, Denis/M-2397-2016</t>
  </si>
  <si>
    <t>Felikson, Denis/0000-0002-3785-5112; Gunter, Brian/0000-0002-4743-6173</t>
  </si>
  <si>
    <t>National Aeronautics and Space Administration [NNX10AG20G]; Natural Environment Research Council [bas0100034] Funding Source: researchfish; NERC [bas0100034] Funding Source: UKRI</t>
  </si>
  <si>
    <t>National Aeronautics and Space Administration(National Aeronautics &amp; Space Administration (NASA)); Natural Environment Research Council(UK Research &amp; Innovation (UKRI)Natural Environment Research Council (NERC)); NERC(UK Research &amp; Innovation (UKRI)Natural Environment Research Council (NERC))</t>
  </si>
  <si>
    <t>This work was supported by the National Aeronautics and Space Administration under Grant NNX10AG20G.</t>
  </si>
  <si>
    <t>10.1109/TGRS.2017.2709303</t>
  </si>
  <si>
    <t>WOS:000413653200006</t>
  </si>
  <si>
    <t>Milillo, P; Minchew, B; Simons, M; Agram, P; Riel, B</t>
  </si>
  <si>
    <t>Milillo, Pietro; Minchew, Brent; Simons, Mark; Agram, Piyush; Riel, Bryan</t>
  </si>
  <si>
    <t>Geodetic Imaging of Time-Dependent Three-Component Surface Deformation: Application to Tidal-Timescale Ice Flow of Rutford Ice Stream, West Antarctica</t>
  </si>
  <si>
    <t>3-D analysis; ocean tides; pixel offsets (POs); Rutford ice stream (RIS); synthetic aperture radar (SAR); time-series analysis</t>
  </si>
  <si>
    <t>VELOCITY; INTERFEROMETRY; LANDSLIDE; GLACIER; EARTHQUAKE; MOTION; DAM</t>
  </si>
  <si>
    <t>We present a method for inferring time-dependent three-component surface deformation fields given a set of geodetic images of displacements collected from multiple viewing geometries. Displacements are parameterized in time with a dictionary of displacement functions. The algorithm extends an earlier single-component (i.e., single line of sight) framework for time-series analysis to three spatial dimensions using combinations of multitemporal, multigeometry interferometic synthetic aperture radar (InSAR) and/or pixel offset (PO) maps. We demonstrate this method with a set of 101 pairs of azimuth and range PO maps generated for a portion of the Rutford Ice Stream, West Antarctica, derived from data collected by the COSMO-SkyMed satellite constellation. We compare our results with previously published InSAR mean velocity fields and selected GPS time series and show that our resulting three-component surface displacements resolve both secular motion and tidal variability.</t>
  </si>
  <si>
    <t>[Milillo, Pietro; Agram, Piyush; Riel, Bryan] CALTECH, Jet Prop Lab, 4800 Oak Grove Dr, Pasadena, CA 91109 USA; [Minchew, Brent; Simons, Mark; Riel, Bryan] CALTECH, Seismol Lab, Pasadena, CA 91125 USA; [Minchew, Brent] British Antarctic Survey, Cambridge CB3 0ET, England</t>
  </si>
  <si>
    <t>National Aeronautics &amp; Space Administration (NASA); NASA Jet Propulsion Laboratory (JPL); California Institute of Technology; California Institute of Technology; UK Research &amp; Innovation (UKRI); Natural Environment Research Council (NERC); NERC British Antarctic Survey</t>
  </si>
  <si>
    <t>Milillo, P (corresponding author), CALTECH, Jet Prop Lab, 4800 Oak Grove Dr, Pasadena, CA 91109 USA.</t>
  </si>
  <si>
    <t>pietro.milillo@jpl.nasa.gov</t>
  </si>
  <si>
    <t>Milillo, Pietro/H-6691-2019; Simons, Mark/N-4397-2015</t>
  </si>
  <si>
    <t>Milillo, Pietro/0000-0002-1171-3976;</t>
  </si>
  <si>
    <t>National Aeronautics and Space Administration; NASA Cyospheric Sciences [NNX14AH80G]; National Science Foundation [1452587]; Albert Parvin Foundation; ARCS LA Chapter Foundation; NASA; Directorate For Geosciences; Division Of Earth Sciences [1452587] Funding Source: National Science Foundation</t>
  </si>
  <si>
    <t>National Aeronautics and Space Administration(National Aeronautics &amp; Space Administration (NASA)); NASA Cyospheric Sciences; National Science Foundation(National Science Foundation (NSF)); Albert Parvin Foundation; ARCS LA Chapter Foundation; NASA(National Aeronautics &amp; Space Administration (NASA)); Directorate For Geosciences; Division Of Earth Sciences(National Science Foundation (NSF)NSF - Directorate for Geosciences (GEO))</t>
  </si>
  <si>
    <t>The work of P. Milillo was supported by the National Aeronautics and Space Administration Postdoctoral Program. The work of B. Minchew was supported in part by NASA Cyospheric Sciences under Award NNX14AH80G, in part by National Science Foundation Earth Sciences Postdoctoral Fellowship under Award 1452587, and in part by Albert Parvin and ARCS LA Chapter Foundations. The work of B. Riel was supported by NASA Earth and Space Sciences Fellowship.</t>
  </si>
  <si>
    <t>10.1109/TGRS.2017.2709783</t>
  </si>
  <si>
    <t>WOS:000413653200008</t>
  </si>
  <si>
    <t>Goddard, PB; Dufour, CO; Yin, JJ; Griffies, SM; Winton, M</t>
  </si>
  <si>
    <t>Goddard, Paul B.; Dufour, Carolina O.; Yin, Jianjun; Griffies, Stephen M.; Winton, Michael</t>
  </si>
  <si>
    <t>CO2-Induced Ocean Warming of the Antarctic Continental Shelf in an Eddying Global Climate Model</t>
  </si>
  <si>
    <t>JOURNAL OF GEOPHYSICAL RESEARCH-OCEANS</t>
  </si>
  <si>
    <t>eddying climate model; Antarctica shelf warming; Antarctica shelf freshening</t>
  </si>
  <si>
    <t>CIRCUMPOLAR DEEP-WATER; BASAL MELT RATES; SOUTHERN-OCEAN; MESOSCALE EDDIES; ICE SHELVES; CIRCULATION; TRANSPORT; HEAT; SIMULATIONS; EXCHANGE</t>
  </si>
  <si>
    <t>Ocean warming near the Antarctic ice shelves has critical implications for future ice sheet mass loss and global sea level rise. A global climate model with an eddying ocean is used to quantify the mechanisms contributing to ocean warming on the Antarctic continental shelf in an idealized 2xCO(2) experiment. The results indicate that relatively large warm anomalies occur both in the upper 100 m and at depths above the shelf floor, which are controlled by different mechanisms. The near-surface ocean warming is primarily a response to enhanced onshore advective heat transport across the shelf break. The deep shelf warming is initiated by onshore intrusions of relatively warm Circumpolar Deep Water (CDW), in density classes that access the shelf, as well as the reduction of the vertical mixing of heat. CO2-induced shelf freshening influences both warming mechanisms. The shelf freshening slows vertical mixing by limiting gravitational instabilities and the upward diffusion of heat associated with CDW, resulting in the buildup of heat at depth. Meanwhile, freshening near the shelf break enhances the lateral density gradient of the Antarctic Slope Front (ASF) and disconnect isopycnals between the shelf and CDW, making cross-ASF heat exchange more difficult. However, at several locations along the ASF, the cross-ASF heat transport is less inhibited and heat can move onshore. Once onshore, lateral and vertical heat advection work to disperse the heat anomalies across the shelf region. Understanding the inhomogeneous Antarctic shelf warming will lead to better projections of future ice sheet mass loss.</t>
  </si>
  <si>
    <t>[Goddard, Paul B.; Yin, Jianjun] Univ Arizona, Dept Geosci, Tucson, AZ 85721 USA; [Dufour, Carolina O.] Princeton Univ, Atmospher &amp; Ocean Sci Program, Princeton, NJ 08544 USA; [Dufour, Carolina O.] McGill Univ, Dept Atmospher &amp; Ocean Sci, Montreal, PQ, Canada; [Griffies, Stephen M.; Winton, Michael] NOAA, Geophys Fluid Dynam Lab, Princeton, NJ USA</t>
  </si>
  <si>
    <t>University of Arizona; Princeton University; National Oceanic Atmospheric Admin (NOAA) - USA; McGill University; National Oceanic Atmospheric Admin (NOAA) - USA</t>
  </si>
  <si>
    <t>Goddard, PB (corresponding author), Univ Arizona, Dept Geosci, Tucson, AZ 85721 USA.</t>
  </si>
  <si>
    <t>pgoddard@email.arizona.edu</t>
  </si>
  <si>
    <t>Dufour, Carolina/GZA-9986-2022; Griffies, Stephen Matthew/N-9144-2019</t>
  </si>
  <si>
    <t>Dufour, Carolina/0000-0002-1441-3880; Griffies, Stephen Matthew/0000-0002-3711-236X; Goddard, Paul/0000-0002-4954-8988; Winton, Michael/0000-0001-7982-0260</t>
  </si>
  <si>
    <t>National Oceanic and Atmospheric Administration (NOAA) CPO project [NA13OAR4310128]; National Science Foundation [OPP-1513411]; University of Arizona faculty startup funding; University of Arizona Department of Geosciences; National Aeronautics and Space Administration (NASA) [NNX14AL40G]; Princeton Environmental Institute (PEI) Grand Challenge initiative; Southern Ocean Carbon and Climate Observations and Modeling (SOCCOM) project under the National Science Foundation [PLR-1425989]</t>
  </si>
  <si>
    <t>National Oceanic and Atmospheric Administration (NOAA) CPO project; National Science Foundation(National Science Foundation (NSF)); University of Arizona faculty startup funding; University of Arizona Department of Geosciences; National Aeronautics and Space Administration (NASA)(National Aeronautics &amp; Space Administration (NASA)); Princeton Environmental Institute (PEI) Grand Challenge initiative; Southern Ocean Carbon and Climate Observations and Modeling (SOCCOM) project under the National Science Foundation</t>
  </si>
  <si>
    <t>P. B. Goddard and J. Yin were supported by the National Oceanic and Atmospheric Administration (NOAA) CPO project (NA13OAR4310128), the National Science Foundation award OPP-1513411, and the University of Arizona faculty startup funding. P. B. Goddard was also funded by the University of Arizona Department of Geosciences Paul Martin and Sulzer Scholarships. C. O. Dufour was supported by the National Aeronautics and Space Administration (NASA) under award NNX14AL40G and by the Princeton Environmental Institute (PEI) Grand Challenge initiative. The Southern Ocean Carbon and Climate Observations and Modeling (SOCCOM) project, supported under the National Science Foundation award PLR-1425989, provided a favorable environment to present our work and some travel support for this work. We thank Matthew H. England, Gustavo Marques, and an anonymous reviewer for useful comments that greatly improved this paper. The observational and reanalysis data used in this study can be accessed from the URLs provided in the corresponding figure captions. For all other data requests, please contact Paul Goddard (pgoddard@email.arizona.edu).</t>
  </si>
  <si>
    <t>2169-9275</t>
  </si>
  <si>
    <t>2169-9291</t>
  </si>
  <si>
    <t>J GEOPHYS RES-OCEANS</t>
  </si>
  <si>
    <t>J. Geophys. Res.-Oceans</t>
  </si>
  <si>
    <t>10.1002/2017JC012849</t>
  </si>
  <si>
    <t>Oceanography</t>
  </si>
  <si>
    <t>FN3JA</t>
  </si>
  <si>
    <t>WOS:000415893300017</t>
  </si>
  <si>
    <t>DeJong, HB; Dunbar, RB</t>
  </si>
  <si>
    <t>DeJong, Hans B.; Dunbar, Robert B.</t>
  </si>
  <si>
    <t>Air-Sea CO2 Exchange in the Ross Sea, Antarctica</t>
  </si>
  <si>
    <t>Antarctica; Ross Sea; air-sea CO2 exchange; Terra Nova Bay; net community production; late summer</t>
  </si>
  <si>
    <t>NET COMMUNITY PRODUCTION; TERRA-NOVA BAY; PHYTOPLANKTON DYNAMICS; CARBON-DIOXIDE; SOUTHERN-OCEAN; AMUNDSEN SEA; GAS-EXCHANGE; ANNUAL CYCLE; MIXED-LAYER; WIND-SPEED</t>
  </si>
  <si>
    <t>Although the Ross Sea is one of the most productive regions in Antarctica, it is not clear to what extent this region is an atmospheric CO2 sink. We calculate instantaneous CO2 flux rates with in situ pCO(2) and wind speed data from 20 cruises in the Ross Sea. In addition, we estimate annual CO2 fluxes into the Ross Sea with nutrient budgets from a late summer cruise. We find that the Ross Sea is a lesser atmospheric CO2 sink (-7.50.5 TgCyr(-1), -1.30.1 molCm(-2)yr(-1)) than previously reported (-13 TgCyr(-1), -1.7 to -4.2 molCm(-2)yr(-1)). One exception is Terra Nova Bay (TNB) in the western Ross Sea, with CO2 flux rates (-4.80.3 molCm(-2), January-March) that are 3-4 times greater than the Ross Sea mean. The majority of the CO2 flux into TNB occurs during the late summer with instantaneous CO2 flux rates up to -246 mmolCm(-2)d(-1). These extraordinary CO2 flux rates are caused by the unique coupling of strong katabatic winds and low surface pCO(2) values. Although strong katabatic winds deepen the mixed layer and entrain CO2-rich water from below, late season net community productivity maintains low surface water pCO(2) levels. While TNB only covers approximate to 1% (3,600 km(2)) of the Ross Sea continental shelf, extraordinary air-to-sea CO2 fluxes during the late summer may be regular features in many of the major sea ice production polynyas (148,000 km(2) combined), including Antarctic Bottom Water formation regions.</t>
  </si>
  <si>
    <t>[DeJong, Hans B.; Dunbar, Robert B.] Stanford Univ, Dept Earth Syst Sci, Stanford, CA 94305 USA</t>
  </si>
  <si>
    <t>Stanford University</t>
  </si>
  <si>
    <t>DeJong, HB (corresponding author), Stanford Univ, Dept Earth Syst Sci, Stanford, CA 94305 USA.</t>
  </si>
  <si>
    <t>hdejong@stanford.edu</t>
  </si>
  <si>
    <t>Dunbar, Robert/0000-0002-9728-5609</t>
  </si>
  <si>
    <t>U.S. NSF [OPP-1142044]; NSF Graduate Research Fellowship grant [DGE-114747]</t>
  </si>
  <si>
    <t>U.S. NSF(National Science Foundation (NSF)); NSF Graduate Research Fellowship grant</t>
  </si>
  <si>
    <t>This research was supported by the U.S. NSF (OPP-1142044 to R. B. Dunbar) and a NSF Graduate Research Fellowship grant (DGE-114747 to H. B. DeJong). We thank the captain and crew of the R/V Nathaniel B Palmer. Additional thanks to David Koweek and David Mucciarone for help with the DIC measurements and Sarah Bercovici for help with the nitrate measurements. We thank two anonymous reviewers for their valuable feedback. Data from this study are available at the Biological and Chemical Oceanography Data Management Office (BCO-DMO) repository (http://www.bco-dmo.org/project/547771).</t>
  </si>
  <si>
    <t>10.1002/2017JC012853</t>
  </si>
  <si>
    <t>WOS:000415893300021</t>
  </si>
  <si>
    <t>Liang, XF; Spall, M; Wunsch, C</t>
  </si>
  <si>
    <t>Liang, Xinfeng; Spall, Michael; Wunsch, Carl</t>
  </si>
  <si>
    <t>Global Ocean Vertical Velocity From a Dynamically Consistent Ocean State Estimate</t>
  </si>
  <si>
    <t>vertical velocity; vertical transport; vertical exchange; ocean state estimate; climate change; Southern Ocean</t>
  </si>
  <si>
    <t>ANTARCTIC CIRCUMPOLAR CURRENT; OVERTURNING CIRCULATION; SVERDRUP BALANCE; SOUTHERN-OCEAN; GENERAL-CIRCULATION; DATA ASSIMILATION; ATMOSPHERIC CO2; PACIFIC; ABYSSAL; HEAT</t>
  </si>
  <si>
    <t>Estimates of the global ocean vertical velocities (Eulerian, eddy-induced, and residual) from a dynamically consistent and data-constrained ocean state estimate are presented and analyzed. Conventional patterns of vertical velocity, Ekman pumping, appear in the upper ocean, with topographic dominance at depth. Intense and vertically coherent upwelling and downwelling occur in the Southern Ocean, which are likely due to the interaction of the Antarctic Circumpolar Current and large-scale topographic features and are generally canceled out in the conventional zonally averaged results. These elevators at high latitudes connect the upper to the deep and abyssal oceans and working together with isopycnal mixing are likely a mechanism, in addition to the formation of deep and abyssal waters, for fast responses of the deep and abyssal oceans to the changing climate. Also, Eulerian and parameterized eddy-induced components are of opposite signs in numerous regions around the global ocean, particularly in the ocean interior away from surface and bottom. Nevertheless, residual vertical velocity is primarily determined by the Eulerian component, and related to winds and large-scale topographic features. The current estimates of vertical velocities can serve as a useful reference for investigating the vertical exchange of ocean properties and tracers, and its complex spatial structure ultimately permits regional tests of basic oceanographic concepts such as Sverdrup balance and coastal upwelling/downwelling.</t>
  </si>
  <si>
    <t>[Liang, Xinfeng] Univ S Florida, Coll Marine Sci, St Petersburg, FL 33701 USA; [Spall, Michael] Woods Hole Oceanog Inst, Dept Phys Oceanog, Woods Hole, MA 02543 USA; [Wunsch, Carl] MIT, Dept Earth Atmospher &amp; Planetary Sci, Cambridge, MA USA; [Wunsch, Carl] Harvard Univ, Dept Earth &amp; Planetary Sci, 20 Oxford St, Cambridge, MA 02138 USA</t>
  </si>
  <si>
    <t>State University System of Florida; University of South Florida; Woods Hole Oceanographic Institution; Massachusetts Institute of Technology (MIT); Harvard University</t>
  </si>
  <si>
    <t>Liang, XF (corresponding author), Univ S Florida, Coll Marine Sci, St Petersburg, FL 33701 USA.</t>
  </si>
  <si>
    <t>liang@usf.edu</t>
  </si>
  <si>
    <t>Spall, Michael A/F-9001-2010; Liang, Xinfeng/B-4716-2014</t>
  </si>
  <si>
    <t>Spall, Michael/0000-0003-1966-3122; Liang, Xinfeng/0000-0002-5628-4896</t>
  </si>
  <si>
    <t>National Science Foundation [OCE-1736633, OCE-1534618, OCE-0961713]; National Oceanic and Atmospheric Administration [NA10OAR4310135]; Directorate For Geosciences; Division Of Ocean Sciences [1534618] Funding Source: National Science Foundation</t>
  </si>
  <si>
    <t>National Science Foundation(National Science Foundation (NSF)); National Oceanic and Atmospheric Administration(National Oceanic Atmospheric Admin (NOAA) - USA); Directorate For Geosciences; Division Of Ocean Sciences(National Science Foundation (NSF)NSF - Directorate for Geosciences (GEO))</t>
  </si>
  <si>
    <t>Data for this paper are available from ecco-group.org. Comments and suggestions from three anonymous reviewers help us greatly improve this paper. X.L. was grateful for the support from National Science Foundation through grant OCE-1736633. M.A.S. was supported by National Science Foundation grant OCE-1534618. C.W. was supported in part by National Science Foundation through grant OCE-0961713 and National Oceanic and Atmospheric Administration through grant NA10OAR4310135.</t>
  </si>
  <si>
    <t>10.1002/2017JC012985</t>
  </si>
  <si>
    <t>WOS:000415893300024</t>
  </si>
  <si>
    <t>Bart, PJ; Anderson, JB; Nitsche, F</t>
  </si>
  <si>
    <t>Bart, Philip J.; Anderson, John B.; Nitsche, Frank</t>
  </si>
  <si>
    <t>Post-LGM Grounding-Line Positions of the Bindschadler Paleo Ice Stream in the Ross Sea Embayment, Antarctica</t>
  </si>
  <si>
    <t>JOURNAL OF GEOPHYSICAL RESEARCH-EARTH SURFACE</t>
  </si>
  <si>
    <t>West Antarctic Ice Sheet; Bindschadler Ice Stream; grounding zone wedges; megascale glacial lineastion</t>
  </si>
  <si>
    <t>PLEISTOCENE-HOLOCENE RETREAT; SCALE GLACIAL LINEATIONS; WEST ANTARCTICA; SUBGLACIAL BEDFORMS; CONTINENTAL-SHELF; SHEET SYSTEM; SEDIMENTATION; COLLAPSE; QUATERNARY; BENEATH</t>
  </si>
  <si>
    <t>The West Antarctic Ice Sheet (WAIS) retreated more than 1,000 km since last grounding at the Ross Sea outer continental shelf. Here we show an interpretation of former grounding line positions from a new large-area multibeam survey and a regional grid of chirp cross-sectional data from the Whales Deep Basin in eastern Ross Sea. The basin is a paleo-glacial trough that was occupied by the Bindschadler Ice Stream when grounded ice advanced to the shelf edge during the Last Glacial Maximum. These new geophysical data provide unambiguous evidence that the WAIS occupied at least seven grounding line positions within 60 km of the shelf edge. Four of seven grounding zone wedges (GZWs) are partly exposed over large areas of the trough. The overlapping stratal arrangement created a large-volume compound GZW. Some of the groundings involved local readvance of the grounding line. Subsequent to these seven outer continental shelf groundings, the ice sheet retreated more than 200 km towards Roosevelt Island on the middle continental shelf. The major retreat across the middle continental shelf is recorded by small-scale moraine ridges that mantle the top of GZW7, and these are suggestive of relatively continuous grounding line recession. The results indicate that retreat was considerably more complex than was possible to reconstruct with reconnaissance-level data. The added details are important to climate models, which must first be able to reproduce the recent retreat pattern in all of its complexities to improve confidence in model predictions of the system's future response.</t>
  </si>
  <si>
    <t>[Bart, Philip J.] Louisiana State Univ, Dept Geol &amp; Geophys, E235 Howe Russell Kniffen Geosci Complex, Baton Rouge, LA 70803 USA; [Anderson, John B.] Rice Univ, Dept Earth Sci, Houston, TX USA; [Nitsche, Frank] Columbia Univ, Lamont Doherty Earth Observ, 61 Route 9W, Palisades, NY USA</t>
  </si>
  <si>
    <t>Louisiana State University System; Louisiana State University; Rice University; Columbia University</t>
  </si>
  <si>
    <t>Bart, PJ (corresponding author), Louisiana State Univ, Dept Geol &amp; Geophys, E235 Howe Russell Kniffen Geosci Complex, Baton Rouge, LA 70803 USA.</t>
  </si>
  <si>
    <t>pbart@lsu.edu</t>
  </si>
  <si>
    <t>Nitsche, Frank O/A-9343-2009</t>
  </si>
  <si>
    <t>Nitsche, Frank O/0000-0002-4137-547X; Anderson, John/0000-0002-3104-5557</t>
  </si>
  <si>
    <t>NSF [1246357]; NSF-PLR [124635]; [NBP1502]; Office of Polar Programs (OPP); Directorate For Geosciences [1246357, 1246353] Funding Source: National Science Foundation</t>
  </si>
  <si>
    <t>NSF(National Science Foundation (NSF)); NSF-PLR; ; Office of Polar Programs (OPP); Directorate For Geosciences(National Science Foundation (NSF)NSF - Directorate for Geosciences (GEO))</t>
  </si>
  <si>
    <t>This study was funded by NSF grant 1246357 to P.J. Bart and NSF-PLR 124635 to J.B. Anderson. We thank the captain and crew of the Nathaniel B. Palmer RVIB for their help in acquiring seismic and multibeam data during expedition NBP1502B. We also thank the members of NBP1502 shipboard party for assisting our efforts in the field. We thank three reviewers including Stephen Livingstone for comments that improved the manuscript. Bart acquired the seismic data during expeditions NBP1502B and NBP0802. Other seismic data used in the project were acquired by John Anderson and Lou Bartek during PD90/NBP9902 and NBP9307. We thank Kathleen Gallahan, who supervised ping editing of multibeam data, and Madeline Meyers and Dan Mullally, who processed the seismic data. The multibeam and seismic data used in this study are from project NBP1502. The project data are hosted with the Lamont-Doherty Earth Observatory, Antarctic-Southern Ocean Data Portal of the IEDA Marine Geoscience Data System. The data are under an NSF proprietary hold until the project expires on 4/1/2018.</t>
  </si>
  <si>
    <t>2169-9003</t>
  </si>
  <si>
    <t>2169-9011</t>
  </si>
  <si>
    <t>J GEOPHYS RES-EARTH</t>
  </si>
  <si>
    <t>J. Geophys. Res.-Earth Surf.</t>
  </si>
  <si>
    <t>10.1002/2017JF004259</t>
  </si>
  <si>
    <t>FM6GT</t>
  </si>
  <si>
    <t>WOS:000415149000005</t>
  </si>
  <si>
    <t>Erdmann, S; Tschitschko, B; Zhong, L; Raftery, MJ; Cavicchioli, R</t>
  </si>
  <si>
    <t>Erdmann, Susanne; Tschitschko, Bernhard; Zhong, Ling; Raftery, Mark J.; Cavicchioli, Ricardo</t>
  </si>
  <si>
    <t>A plasmid from an Antarctic haloarchaeon uses specialized membrane vesicles to disseminate and infect plasmid-free cells</t>
  </si>
  <si>
    <t>NATURE MICROBIOLOGY</t>
  </si>
  <si>
    <t>MICROBIAL ECOLOGY; DEEP LAKE; ARCHAEA; PROTEIN; EVOLUTION; VIRUSES; COMPLEX; ARCHITECTURE; SULFOLOBUS; PRINCIPLES</t>
  </si>
  <si>
    <t>The major difference between viruses and plasmids is the mechanism of transferring their genomic information between host cells. Here, we describe the archaeal plasmid pR1SE from an Antarctic species of haloarchaea that transfers via a mechanism similar to a virus. pR1SE encodes proteins that are found in regularly shaped membrane vesicles, and the vesicles enclose the plasmid DNA. The released vesicles are capable of infecting a plasmid-free strain, which then gains the ability to produce plasmid-containing vesicles. pR1SE can integrate and replicate as part of the host genome, resolve out with fragments of host DNA incorporated or portions of the plasmid left behind, form vesicles and transfer to new hosts. The pR1SE mechanism of transfer of DNA could represent the predecessor of a strategy used by viruses to pass on their genomic DNA and fulfil roles in gene exchange, supporting a strong evolutionary connection between plasmids and viruses.</t>
  </si>
  <si>
    <t>[Erdmann, Susanne; Tschitschko, Bernhard; Cavicchioli, Ricardo] Univ New South Wales, Sch Biotechnol &amp; Biomol Sci, Sydney, NSW 2052, Australia; [Zhong, Ling; Raftery, Mark J.] Univ New South Wales, Bioanalyt Mass Spectrometry Facil, Sydney, NSW 2052, Australia</t>
  </si>
  <si>
    <t>University of New South Wales Sydney; University of New South Wales Sydney</t>
  </si>
  <si>
    <t>Cavicchioli, R (corresponding author), Univ New South Wales, Sch Biotechnol &amp; Biomol Sci, Sydney, NSW 2052, Australia.</t>
  </si>
  <si>
    <t>r.cavicchioli@unsw.edu.au</t>
  </si>
  <si>
    <t>Erdmann, Susanne/Q-8771-2019; Erdmann, Susanne/O-7736-2017; Cavicchioli, Ricardo/D-4341-2013</t>
  </si>
  <si>
    <t>Erdmann, Susanne/0000-0003-3190-4451; Tschitschko, Bernhard/0000-0002-0379-3187; Cavicchioli, Ricardo/0000-0001-8989-6402</t>
  </si>
  <si>
    <t>Australian Research Council [DP150100244]; Australian Antarctic Science program [4031]; EMBO [ALTF 188-2014]; European Commission (EMBOCOFUND) [GA-2012-600394]; Marie Curie Actions</t>
  </si>
  <si>
    <t>Australian Research Council(Australian Research Council); Australian Antarctic Science program; EMBO(European Molecular Biology Organization (EMBO)); European Commission (EMBOCOFUND); Marie Curie Actions(European Union (EU)Marie Curie Actions)</t>
  </si>
  <si>
    <t>This work was supported by the Australian Research Council (DP150100244) and the Australian Antarctic Science program (project 4031). S.E. was supported by the EMBO Long-Term Fellowship ALTF 188-2014, which is co-funded by the European Commission (EMBOCOFUND2012, GA-2012-600394) and supported by Marie Curie Actions. Mass spectrometry results were obtained at the Bioanalytical Mass Spectrometry Facility (BMSF) and electron microscopy at the Electron Microscope Unit, both within the Analytical Centre of the University of New South Wales. Subsidized access to the BMSF is acknowledged. The authors thank the PRIDE team and ProteomeXchange for efficiently processing and hosting the mass spectrometry data. The authors thank A. Hancock for providing the image of Rauer 1 Lake, the Landsat Image Mosaic of Antarctica (LIMA) project for making satellite images available, S. Payne and A. Hancock for collecting Antarctic water samples, M. Allen for providing uncharacterized strains of Hrr. lacusprofundi, R. Kuchel for assistance with electron microscopy, D. Baker and I. Anishchanka for attempting structural predictions and T. Williams for comments about the manuscript.</t>
  </si>
  <si>
    <t>2058-5276</t>
  </si>
  <si>
    <t>NAT MICROBIOL</t>
  </si>
  <si>
    <t>NAT. MICROBIOL</t>
  </si>
  <si>
    <t>10.1038/s41564-017-0009-2</t>
  </si>
  <si>
    <t>FM7PO</t>
  </si>
  <si>
    <t>WOS:000415272500008</t>
  </si>
  <si>
    <t>Keane, A; Scanlan, J; Lock, A; Ferraro, M; Spillane, P; Breen, J</t>
  </si>
  <si>
    <t>Keane, A.; Scanlan, J.; Lock, A.; Ferraro, M.; Spillane, P.; Breen, J.</t>
  </si>
  <si>
    <t>Maritime flight trials of the Southampton University laser sintered aircraft-Project Albatross</t>
  </si>
  <si>
    <t>AERONAUTICAL JOURNAL</t>
  </si>
  <si>
    <t>UAV; Flight Trials; Laser Sintered; 3D printing</t>
  </si>
  <si>
    <t>As part of the ongoing development of small unmanned air systems by the University of Southampton, an all laser sintered aircraft has been test flown from the Royal Navy's ice patrol ship HMS Protector to assist with navigating through the Antarctic. These flights were carried out with pre-planned autopilot control with oversight from Andrew Lock, acting as the pilot embarked on HMS Protector. This is the first time the Royal Navy has used unmanned aerial vehicles in this part of the world. In this paper, we set out the trial reports and lessons learnt from this series of test flights.</t>
  </si>
  <si>
    <t>[Keane, A.; Scanlan, J.; Lock, A.; Ferraro, M.] Univ Southampton, Southampton, Hants, England; [Spillane, P.] HMS Collingwood, Maritime Warfare Ctr, Fareham, England; [Breen, J.] RNAS Culdrose, AEO NAS 700X, Helston, England</t>
  </si>
  <si>
    <t>University of Southampton</t>
  </si>
  <si>
    <t>Keane, A (corresponding author), Univ Southampton, Southampton, Hants, England.</t>
  </si>
  <si>
    <t>ajk@soton.ac.uk</t>
  </si>
  <si>
    <t>Keane, Andy/0000-0001-7993-1569</t>
  </si>
  <si>
    <t>0001-9240</t>
  </si>
  <si>
    <t>2059-6464</t>
  </si>
  <si>
    <t>AERONAUT J</t>
  </si>
  <si>
    <t>Aeronaut. J.</t>
  </si>
  <si>
    <t>10.1017/aer.2017.71</t>
  </si>
  <si>
    <t>Engineering, Aerospace</t>
  </si>
  <si>
    <t>Engineering</t>
  </si>
  <si>
    <t>FM6KK</t>
  </si>
  <si>
    <t>WOS:000415160800005</t>
  </si>
  <si>
    <t>Downes, SM; Langlais, C; Brook, JP; Spence, P</t>
  </si>
  <si>
    <t>Downes, Stephanie M.; Langlais, Clothilde; Brook, Jordan P.; Spence, Paul</t>
  </si>
  <si>
    <t>Regional Impacts of the Westerly Winds on Southern Ocean Mode and Intermediate Water Subduction</t>
  </si>
  <si>
    <t>JOURNAL OF PHYSICAL OCEANOGRAPHY</t>
  </si>
  <si>
    <t>DRIVEN; MASSES; SINK</t>
  </si>
  <si>
    <t>Subduction processes in the Southern Ocean transfer oxygen, heat, and anthropogenic carbon into the ocean interior. The future response of upper-ocean subduction, in the Subantarctic Mode Water (SAMW) and Antarctic Intermediate Water (AAIW) classes, is dependent on the evolution of the combined surface buoyancy forcing and overlying westerly wind stress. Here, the recently observed pattern of a poleward intensification of the westerly winds is divided into its shift and increase components. SAMW and AAIW formation occurs in regional hot spots'' in deep mixed layer zones, primarily in the southeast Indian and Pacific. It is found that the mixed layer depth responds differently to wind stress perturbations across these regional formation zones. An increase only in the westerly winds in the Indian sector steepens isopycnals and increases the local circulation, driving deeper mixed layers and increased subduction. Conversely, in the same region, a poleward shift and poleward intensification of the westerly winds reduces heat loss and increases freshwater input, thus decreasing the mixed layer depth and consequently the associated SAMW and AAIW subduction. In the Pacific sector, all wind stress perturbations lead to increases in heat loss and decreases in freshwater input, resulting in a net increase in SAMW and AAIW subduction. Overall, the poleward shift in the westerly wind stress dominates the SAMW subduction changes, rather than the increase in wind stress. The net decrease in SAMW subduction across all basins would likely decrease anthropogenic carbon sequestration; however, the net AAIW subduction changes across the Southern Ocean are overall minor.</t>
  </si>
  <si>
    <t>[Downes, Stephanie M.] Univ Tasmania, Antarctic Climate &amp; Ecosyst Cooperat Res Ctr, Hobart, Tas, Australia; [Langlais, Clothilde] CSIRO Climate &amp; Sci Ctr, Oceans &amp; Atmosphere, Hobart, Tas, Australia; [Brook, Jordan P.] Univ Queensland, Brisbane, Qld, Australia; [Spence, Paul] Univ New South Wales, Ctr Excellence Climate Syst Sci, Sydney, NSW, Australia</t>
  </si>
  <si>
    <t>Antarctic Climate &amp; Ecosystems Cooperative Research Centre (ACE CRC); University of Tasmania; Commonwealth Scientific &amp; Industrial Research Organisation (CSIRO); University of Queensland; University of New South Wales Sydney</t>
  </si>
  <si>
    <t>Downes, SM (corresponding author), Univ Tasmania, Antarctic Climate &amp; Ecosyst Cooperat Res Ctr, Hobart, Tas, Australia.</t>
  </si>
  <si>
    <t>s.downes@utas.edu.au</t>
  </si>
  <si>
    <t>Downes, Stephanie/A-1424-2012; Spence, Paul/IZE-7366-2023; Langlais, Clothilde/AAI-9859-2021</t>
  </si>
  <si>
    <t>Spence, Paul/0000-0001-5156-2204; Langlais, Clothilde/0000-0002-6423-7678; Brook, Jordan/0000-0001-8079-8734</t>
  </si>
  <si>
    <t>Australian Government's Business Cooperative Research Centres Program through the Antarctic Climate and Ecosystems Cooperative Research Centre (ACECRC); CSIRO Office of Chief Executive postdoctoral fellowship; Australian Research Council DECRA Fellowship [DE150100223]</t>
  </si>
  <si>
    <t>Australian Government's Business Cooperative Research Centres Program through the Antarctic Climate and Ecosystems Cooperative Research Centre (ACECRC); CSIRO Office of Chief Executive postdoctoral fellowship; Australian Research Council DECRA Fellowship(Australian Research Council)</t>
  </si>
  <si>
    <t>The authors thank S. Rintoul for discussion of water mass classes and mixed layer depths and V. Pellichero for mixed layer depth observations, particularly around the Antarctic coastline. SMD and JPB were supported by the Australian Government's Business Cooperative Research Centres Program through the Antarctic Climate and Ecosystems Cooperative Research Centre (ACECRC). CL was supported by the CSIRO Office of Chief Executive postdoctoral fellowship. PS was supported by an Australian Research Council DECRA Fellowship DE150100223.</t>
  </si>
  <si>
    <t>45 BEACON ST, BOSTON, MA 02108-3693, UNITED STATES</t>
  </si>
  <si>
    <t>0022-3670</t>
  </si>
  <si>
    <t>1520-0485</t>
  </si>
  <si>
    <t>J PHYS OCEANOGR</t>
  </si>
  <si>
    <t>J. Phys. Oceanogr.</t>
  </si>
  <si>
    <t>10.1175/JPO-D-17-0106.1</t>
  </si>
  <si>
    <t>FL3VT</t>
  </si>
  <si>
    <t>Green Accepted, Green Submitted, hybrid</t>
  </si>
  <si>
    <t>WOS:000414154400007</t>
  </si>
  <si>
    <t>Stewart, AL; Hogg, AM</t>
  </si>
  <si>
    <t>Stewart, Andrew L.; Hogg, Andrew McC.</t>
  </si>
  <si>
    <t>Reshaping the Antarctic Circumpolar Current via Antarctic Bottom Water Export</t>
  </si>
  <si>
    <t>MERIDIONAL OVERTURNING CIRCULATION; OCEAN STATE ESTIMATE; SOUTHERN-OCEAN; OBSCURANTIST PHYSICS; MOMENTUM BALANCE; FORM DRAG; ZONAL MOMENTUM; WIND-DRIVEN; MODEL; CHANNEL</t>
  </si>
  <si>
    <t>Zonal momentum input into the Antarctic Circumpolar Current (ACC) by westerly winds is ultimately removed via topographic form stress induced by large bathymetric features that obstruct the path of the current. These bathymetric features also support the export of Antarctic Bottom Water (AABW) across the ACC via deep, geostrophically balanced, northward flows. These deep geostrophic currents modify the topographic form stress, implying that changes in AABW export will alter the ocean bottom pressure and require a rearrangement of the ACC in order to preserve its zonal momentum balance. A conceptual model of the ACC momentum balance is used to derive a relationship between the volume export of AABW and the shape of the sea surface across the ACC's standing meanders. This prediction is tested using an idealized eddy-resolving ACC/Antarctic shelf channel model that includes both the upper and lower cells of the Southern Ocean meridional overturning circulation, using two different topographic configurations to obstruct the flow of the ACC. Eliminating AABW production leads to a shallowing of the sea surface elevation within the standing meander. To quantify this response, the authors introduce the surface-induced topographic form stress,'' the topographic form stress that would result from the shape of the sea surface if the ocean were barotropic. Eliminating AABW production also reduces the magnitude of the eddy kinetic energy generated downstream of the meander and the surface speed of the ACC within the meander. These findings raise the possibility that ongoing changes in AABW export may be detectable via satellite altimetry.</t>
  </si>
  <si>
    <t>[Stewart, Andrew L.] Univ Calif Los Angeles, Dept Atmospher &amp; Ocean Sci, Los Angeles, CA 90095 USA; [Hogg, Andrew McC.] Australian Natl Univ, Res Sch Earth Sci, Canberra, ACT, Australia; [Hogg, Andrew McC.] Australian Natl Univ, Australian Res Council Ctr Excellence Climate Sys, Canberra, ACT, Australia</t>
  </si>
  <si>
    <t>University of California System; University of California Los Angeles; Australian National University; Australian National University</t>
  </si>
  <si>
    <t>Stewart, AL (corresponding author), Univ Calif Los Angeles, Dept Atmospher &amp; Ocean Sci, Los Angeles, CA 90095 USA.</t>
  </si>
  <si>
    <t>astewart@atmos.ucla.edu</t>
  </si>
  <si>
    <t>Hogg, Andy/AAZ-8733-2021; Hogg, Andy McC./A-7553-2011</t>
  </si>
  <si>
    <t>Hogg, Andy/0000-0001-5898-7635; Hogg, Andy McC./0000-0001-5898-7635; Stewart, Andrew/0000-0001-5861-4070</t>
  </si>
  <si>
    <t>NSF [PLR-1543388]; Directorate For Geosciences; Office of Polar Programs (OPP) [1543388] Funding Source: National Science Foundation</t>
  </si>
  <si>
    <t>NSF(National Science Foundation (NSF)); Directorate For Geosciences; Office of Polar Programs (OPP)(National Science Foundation (NSF)NSF - Directorate for Geosciences (GEO))</t>
  </si>
  <si>
    <t>ALS's research was supported by NSF Award PLR-1543388. The model output data presented in this article are available from A. Stewart on request. The authors thank Andy Thompson for useful discussions and compliment him on his given name. The authors gratefully acknowledge the modeling efforts of the MITgcm team. The authors thank Matthew Mazloff, an anonymous reviewer, and editor Ilker Fer for constructive comments that improved the manuscript.</t>
  </si>
  <si>
    <t>10.1175/JPO-D-17-0007.1</t>
  </si>
  <si>
    <t>WOS:000414154400011</t>
  </si>
  <si>
    <t>Sikes, EL; Allen, KA; Lund, DC</t>
  </si>
  <si>
    <t>Sikes, Elisabeth L.; Allen, Katherine A.; Lund, David C.</t>
  </si>
  <si>
    <t>Enhanced δ13C and δ18O Differences Between the South Atlantic and South Pacific During the Last Glaciation: The Deep Gateway Hypothesis</t>
  </si>
  <si>
    <t>PALEOCEANOGRAPHY</t>
  </si>
  <si>
    <t>oxygen isotopes; carbon isotopes; Southern Ocean; glacial ocean circulation; intermediate water</t>
  </si>
  <si>
    <t>MERIDIONAL OVERTURNING CIRCULATION; ANTARCTIC INTERMEDIATE WATER; ATMOSPHERIC CO2; NORTH-ATLANTIC; OCEAN CIRCULATION; BOTTOM-WATER; NEW-ZEALAND; RESERVOIR AGES; CARBON-CYCLE; INDIAN-OCEAN</t>
  </si>
  <si>
    <t>Enhanced vertical gradients in benthic foraminiferal C-13 and O-18 in the Atlantic and Pacific during the last glaciation have revealed that ocean overturning circulation was characterized by shoaling of North Atlantic sourced interior waters; nonetheless, our understanding of the specific mechanisms driving these glacial isotope patterns remains incomplete. Here we compare high-resolution depth transects of Cibicidoides spp. C-13 and O-18 from the Southwest Pacific and the Southwest Atlantic to examine relative changes in northern and southern sourced deep waters during the Last Glacial Maximum (LGM) and deglaciation. During the LGM, our transects show that water mass properties and boundaries in the South Atlantic and Pacific were different from one another. The Atlantic between similar to 1.0 and 2.5km was more than 1 enriched in C-13 relative to the Pacific and remained more enriched through the deglaciation. During the LGM, Atlantic O-18 was similar to 0.5 more enriched than the Pacific, particularly below 2.5km. This compositional difference between the deep portions of the basins implies independent deep water sources during the glaciation. We attribute these changes to a deep gateway effect whereby northern sourced waters shallower than the Drake Passage sill were unable to flow southward into the Southern Ocean because a net meridional geostrophic transport cannot be supported in the absence of a net east-west circumpolar pressure gradient above the sill depth. We surmise that through the LGM and early deglaciation, shoaled northern sourced waters were unable to escape the Atlantic and contribute to deep water formation in the Southern Ocean.</t>
  </si>
  <si>
    <t>[Sikes, Elisabeth L.] State Univ New Jersey Rutgers, Inst Marine &amp; Coastal Sci, New Brunswick, NJ 08901 USA; [Allen, Katherine A.] Univ Maine, Sch Earth &amp; Climate Sci, Orono, ME USA; [Lund, David C.] Univ Connecticut, Dept Marine Sci, Groton, CT USA</t>
  </si>
  <si>
    <t>Rutgers University System; Rutgers University New Brunswick; University of Maine System; University of Maine Orono; University of Connecticut</t>
  </si>
  <si>
    <t>Sikes, EL (corresponding author), State Univ New Jersey Rutgers, Inst Marine &amp; Coastal Sci, New Brunswick, NJ 08901 USA.</t>
  </si>
  <si>
    <t>sikes@marine.rutgers.edu</t>
  </si>
  <si>
    <t>Sikes, Elisabeth/HPE-8194-2023; IPO, PAGES/JXY-7546-2024</t>
  </si>
  <si>
    <t>Allen, Katherine/0000-0002-1362-5400; Sikes, Elisabeth/0000-0003-2900-3283</t>
  </si>
  <si>
    <t>PAGES; NSF [OCE-0823487, 0823549-03, OCE-1003500]; Hanse-Wissenschaftskolleg; NOAA Climate and Global Change Program; PAGES; NSF [OCE-0823487, 0823549-03, OCE-1003500]; Hanse-Wissenschaftskolleg; NOAA Climate and Global Change Program; Directorate For Geosciences [0823549] Funding Source: National Science Foundation; Directorate For Geosciences; Division Of Earth Sciences [1440015] Funding Source: National Science Foundation; Division Of Ocean Sciences [0823549] Funding Source: National Science Foundation</t>
  </si>
  <si>
    <t>PAGES; NSF(National Science Foundation (NSF)); Hanse-Wissenschaftskolleg; NOAA Climate and Global Change Program(National Oceanic Atmospheric Admin (NOAA) - USA); PAGES; NSF(National Science Foundation (NSF)); Hanse-Wissenschaftskolleg; NOAA Climate and Global Change Program(National Oceanic Atmospheric Admin (NOAA) - USA); Directorate For Geosciences(National Science Foundation (NSF)NSF - Directorate for Geosciences (GEO)); Directorate For Geosciences; Division Of Earth Sciences(National Science Foundation (NSF)NSF - Directorate for Geosciences (GEO)); Division Of Ocean Sciences(National Science Foundation (NSF)NSF - Directorate for Geosciences (GEO))</t>
  </si>
  <si>
    <t>Discussions at the PAGES-sponsored IPODS/OC3 workshop in Bern, 2013, initiated the work in this paper, and all the authors wish to acknowledge travel support from PAGES that fostered the work presented here. We wholeheartedly thank Eli Hunter who produced all the figures and conducted the numerical analyses that went into them. Our great appreciation goes to John Wilkin for numerous discussions clarifying Southern Ocean physics on which the interpretations stand. Funding for this project came from NSF OCE-0823487 and 0823549-03 to E. L. S. and NSF OCE-1003500 to D. C. L. This work was also cultivated by fellowships from the Hanse-Wissenschaftskolleg to E. L. S. and K. A. A. Support was also provided by the NOAA Climate and Global Change Program to K. A. A., administered by the University Corporation for Atmospheric Research. All data used in this paper were archived under the original publication citations (Lund et al., 2015; Sikes, Elmore, et al., 2016) with the NOAA Centers for Environmental Information in the online paleoclimate database: http://www.ncdc.noaa.gov/data-access/paleoclimatology-data.</t>
  </si>
  <si>
    <t>0883-8305</t>
  </si>
  <si>
    <t>1944-9186</t>
  </si>
  <si>
    <t>Paleoceanography</t>
  </si>
  <si>
    <t>10.1002/2017PA003118</t>
  </si>
  <si>
    <t>Geosciences, Multidisciplinary; Oceanography; Paleontology</t>
  </si>
  <si>
    <t>Geology; Oceanography; Paleontology</t>
  </si>
  <si>
    <t>FM3MY</t>
  </si>
  <si>
    <t>WOS:000414911700001</t>
  </si>
  <si>
    <t>Stewart, JA; James, RH; Anand, P; Wilson, PA</t>
  </si>
  <si>
    <t>Stewart, Joseph A.; James, Rachael H.; Anand, Pallavi; Wilson, Paul A.</t>
  </si>
  <si>
    <t>Silicate Weathering and Carbon Cycle Controls on the Oligocene-Miocene Transition Glaciation</t>
  </si>
  <si>
    <t>planktonic foraminifera; silicate weathering; organic carbon; Mi-1; Li; Ca</t>
  </si>
  <si>
    <t>ANTARCTIC ICE-SHEET; PLANKTONIC-FORAMINIFERA; ISOTOPE COMPOSITION; ORGANIC-CARBON; INTERGLACIAL VARIATIONS; GLOBIGERINA-BULLOIDES; EQUATORIAL ATLANTIC; ORBULINA-UNIVERSA; CALCITE SHELLS; DEEP-WATER</t>
  </si>
  <si>
    <t>Changes in both silicate weathering rates and organic carbon burial have been proposed as drivers of the transient Mi-1 glaciation event at the Oligocene-Miocene transition (OMT; similar to 23Ma). However, detailed geochemical proxy data are required to test these hypotheses. Here we present records of Li/Ca, Mg/Ca, Cd/Ca, U/Ca, O-18, C-13, and shell weight in planktonic foraminifera from marine sediments spanning the OMT in the equatorial Atlantic Ocean. Li/Ca values increase by 1mol/mol across this interval. We interpret this to indicate an similar to 20% increase in silicate weathering rates, which would have lowered atmospheric CO2, potentially forcing the Antarctic glaciation similar to 23Ma. C-13 of thermocline dwelling planktonic foraminifera track the global increase in seawater C-13 across the OMT and during the Mi-1 event, hence supporting a hypothesized global increase in organic carbon burial rates. High C-13 previously measured in epipelagic planktonic foraminifera and high Cd/Ca ratios during Mi-1 are interpreted to represent locally enhanced primary productivity, stimulated by increased nutrients supply to surface waters. The fingerprint of high export production and associated organic carbon burial at this site is found in reduced bottom water oxygenation (inferred from high foraminiferal U/Ca) and enhanced respiratory dissolution of carbonates, characterized by reduced foraminiferal shell weight. Replication of our results elsewhere would strengthen the case that weathering-induced CO2 sequestration preconditioned climate for Antarctic ice sheet growth across the OMT, and increased burial of organic carbon acted as a feedback that intensified cooling at this time.</t>
  </si>
  <si>
    <t>[Stewart, Joseph A.; James, Rachael H.; Wilson, Paul A.] Univ Southampton, Natl Oceanog Ctr Southampton, Southampton, England; [Stewart, Joseph A.] Univ Bristol, Sch Earth Sci, Bristol, Avon, England; [Anand, Pallavi] Open Univ, Sch Environm Earth &amp; Ecosyst Sci, Walton Hall, Milton Keynes, Bucks, England</t>
  </si>
  <si>
    <t>NERC National Oceanography Centre; University of Southampton; University of Bristol; Open University - UK</t>
  </si>
  <si>
    <t>Stewart, JA (corresponding author), Univ Southampton, Natl Oceanog Ctr Southampton, Southampton, England.;Stewart, JA (corresponding author), Univ Bristol, Sch Earth Sci, Bristol, Avon, England.</t>
  </si>
  <si>
    <t>joseph.stewart@bristol.ac.uk</t>
  </si>
  <si>
    <t>James, Rachael H/G-8613-2011; Anand, Pallavi/Q-6725-2019</t>
  </si>
  <si>
    <t>Anand, Pallavi/0000-0002-3159-0096; Wilson, Paul/0000-0001-6425-8906; Stewart, Joseph/0000-0003-3092-5058; James, Rachael/0000-0001-7402-2315</t>
  </si>
  <si>
    <t>U.S. National Science Foundation; UK Natural Environment Research Council [NE/D005108/1, NE/K014137/1]; Royal Society Research Merit Award; Natural Environment Research Council [NE/K008390/1, NE/K006800/1, NE/K014137/1, NE/D005108/1] Funding Source: researchfish; NERC [NE/K006800/1, NE/K014137/1, NE/D005108/1, NE/K008390/1] Funding Source: UKRI</t>
  </si>
  <si>
    <t>U.S. National Science Foundation(National Science Foundation (NSF)); UK Natural Environment Research Council(UK Research &amp; Innovation (UKRI)Natural Environment Research Council (NERC)); Royal Society Research Merit Award; Natural Environment Research Council(UK Research &amp; Innovation (UKRI)Natural Environment Research Council (NERC)); NERC(UK Research &amp; Innovation (UKRI)Natural Environment Research Council (NERC))</t>
  </si>
  <si>
    <t>This work used samples provided by the Ocean Drilling Program (ODP). The ODP (now IODP) is sponsored by the U.S. National Science Foundation and participating countries under management of the Joint Oceanographic Institutions (JOI), Inc. We thank Walter Hale and staff at the Bremen Core Repository for their help obtaining core material and also Guy Rothwell of BOSCORF for providing core top material for production of foraminiferal calcite standards. We are indebted to Kirsty Edgar, Clive Trueman, Gavin Foster, and Carrie Lear for their advice and helpful discussion of the manuscript; we also thank Megan Spencer, Bastian Hambach, Darryl Green, and Matt Cooper for their help with laboratory work. We thank Jim Zachos the reviewer and Ellen Thomas the Editor who provided constructive feedback that improved an earlier version of the manuscript. Data from this study can be found in the supporting information. We acknowledge financial support by the UK Natural Environment Research Council, award NE/D005108/1 (RHJ) and NE/K014137/1 (PAW) and a Royal Society Research Merit Award (PAW).</t>
  </si>
  <si>
    <t>10.1002/2017PA003115</t>
  </si>
  <si>
    <t>Green Accepted, Green Published, hybrid</t>
  </si>
  <si>
    <t>WOS:000414911700005</t>
  </si>
  <si>
    <t>O'Connor, JJ; Booth, DJ; Swearer, SE; Fielder, DS; Leis, JM</t>
  </si>
  <si>
    <t>O'Connor, J. Jack; Booth, David J.; Swearer, Stephen E.; Fielder, D. Stewart; Leis, Jeffrey M.</t>
  </si>
  <si>
    <t>Ontogenetic milestones of chemotactic behaviour reflect innate species-specific response to habitat cues in larval fish</t>
  </si>
  <si>
    <t>ANIMAL BEHAVIOUR</t>
  </si>
  <si>
    <t>larval behaviour; olfaction; ontogenetic milestone; seagrass; sensory ecology</t>
  </si>
  <si>
    <t>MULLOWAY ARGYROSOMUS-JAPONICUS; DRUM SCIAENOPS-OCELLATUS; AUSTRALIAN BASS; MARINE; CONNECTIVITY; SETTLEMENT; ESTUARINE; ORIENTATION; TEMPERATE; SURVIVAL</t>
  </si>
  <si>
    <t>The distribution and connectivity of marine populations are largely dependent on biophysical factors affecting pelagic larval dispersal between spawning at adult spawning sites and settlement to juvenile nursery habitats. Behaviour and swimming ability of pelagic larvae are increasingly understood to influence patterns of dispersal, but it is unclear which sensory cues are involved and when during ontogeny these abilities first develop. Here we studied the early ontogenetic development of responses to olfactory cues from coastal and estuarine waters in larvae of two temperate estuarine-associated fish species, Australian bass, Macquaria novemaculeata, and mulloway, Argyrosomus japonicus, to determine when olfaction begins to influence dispersal. Olfactory responses to habitat-associated cues were not present when larvae first transitioned from nonswimming to swimming (indicated by flexion of the notochord), but emerged after ca. 7 days in a species-specific manner that was consistent across different cohorts. Based on general additive models (GAMs), age (in days posthatch) best explained the ontogenetic pattern in both species. The emergence of chemotactic responses coincides with an exponential increase in swimming endurance reported for these species. This suggests the existence of ontogenetic milestones during larval development that, once reached, trigger active influence on dispersal. Salinity and pH did not influence choice behaviour after these ontogenetic milestones; however, the presence of cues generated by seagrass harvested from the estuary habitat elicited strong responses in fish larvae consistent with species-specific habitat preferences, indicating an important role for aquatic vegetation in driving these behaviours. (C) 2017 The Association for the Study of Animal Behaviour. Published by Elsevier Ltd. All rights reserved.</t>
  </si>
  <si>
    <t>[O'Connor, J. Jack; Booth, David J.] Univ Technol Sydney, Sch Life Sci, Sydney, NSW, Australia; [O'Connor, J. Jack; Leis, Jeffrey M.] Australian Museum Res Inst, Ichthyol, Sydney, NSW, Australia; [Swearer, Stephen E.] Univ Melbourne, Sch Biosci, Melbourne, Vic, Australia; [Fielder, D. Stewart] NSW Dept Primary Ind, Port Stephens Fisheries Inst, Orange, Australia; [Leis, Jeffrey M.] Univ Tasmania, Inst Marine &amp; Antarctic Studies, Hobart, Tas, Australia</t>
  </si>
  <si>
    <t>University of Technology Sydney; Australian Museum; Melbourne Genomics Health Alliance; University of Melbourne; NSW Department of Primary Industries; University of Tasmania</t>
  </si>
  <si>
    <t>O'Connor, JJ (corresponding author), Univ Melbourne, Biosci 4, Royal Parade, Parkville, Vic 3052, Australia.</t>
  </si>
  <si>
    <t>jack.oconnor@unimelb.edu.au</t>
  </si>
  <si>
    <t>SWEARER, STEPHEN/AAC-1527-2020; Swearer, Stephen/X-4882-2018; Leis, Jeffrey M/JCE-0397-2023; Leis, Jeffrey M/E-7502-2012; Fielder, Donald/K-7911-2017</t>
  </si>
  <si>
    <t>SWEARER, STEPHEN/0000-0001-6381-9943; Swearer, Stephen/0000-0001-6381-9943; Leis, Jeffrey M/0000-0003-0603-3447; Leis, Jeffrey M/0000-0003-0603-3447; Booth, David/0000-0002-8256-1412; Fielder, Donald/0000-0002-4519-2769</t>
  </si>
  <si>
    <t>ARC [DP110100695]</t>
  </si>
  <si>
    <t>ARC(Australian Research Council)</t>
  </si>
  <si>
    <t>We thank L. Cheviot, L. Vandenburg and B. Morton at Port Stephens Fisheries Institute and L. Pedini and S. Bertin at UTS for their logistical and hatchery support. We also thank J. Morrongiello for assistance with data analysis. This research was supported by ARC Discovery grant DP110100695 to J.M.L.</t>
  </si>
  <si>
    <t>ACADEMIC PRESS LTD- ELSEVIER SCIENCE LTD</t>
  </si>
  <si>
    <t>24-28 OVAL RD, LONDON NW1 7DX, ENGLAND</t>
  </si>
  <si>
    <t>0003-3472</t>
  </si>
  <si>
    <t>1095-8282</t>
  </si>
  <si>
    <t>ANIM BEHAV</t>
  </si>
  <si>
    <t>Anim. Behav.</t>
  </si>
  <si>
    <t>10.1016/j.anbehav.2017.07.026</t>
  </si>
  <si>
    <t>Behavioral Sciences; Zoology</t>
  </si>
  <si>
    <t>FJ1BE</t>
  </si>
  <si>
    <t>WOS:000412445700006</t>
  </si>
  <si>
    <t>Corbett, DR; Crenshaw, J; Null, K; Peterson, RN; Peterson, LE; Lyons, WB</t>
  </si>
  <si>
    <t>Corbett, D. Reide; Crenshaw, Jared; Null, Kimberly; Peterson, Richard N.; Peterson, Leigha E.; Lyons, W. Berry</t>
  </si>
  <si>
    <t>Nearshore mixing and nutrient delivery along the western Antarctic Peninsula</t>
  </si>
  <si>
    <t>ANTARCTIC SCIENCE</t>
  </si>
  <si>
    <t>horizontal eddy diffusivity; land-ocean interface; meltwater; radium isotopes</t>
  </si>
  <si>
    <t>ICE-SHEET; SOUTHERN-OCEAN; CLIMATE-CHANGE; COASTAL; WATER; IRON; VARIABILITY; ECOSYSTEMS; MELTWATER; SURFACE</t>
  </si>
  <si>
    <t>The surface waters of the Southern Ocean play a key role in the global climate and carbon cycles by promoting growth of some of the world's largest phytoplankton blooms. Several studies have emphasized the importance of glacial and sediment inputs of Fe that fuel the primary production of the Fe-limited Southern Ocean. Although the fertile surface waters along the shelf of the western Antarctic Peninsula (WAP) are influenced by large inputs of freshwater, this freshwater may take multiple pathways (e.g. calving, streams, groundwater discharge) with different degrees of water-rock interactions leading to variable Fe flux to coastal waters. During the summers of 2012-13 and 2013-14, seawater samples were collected along the WAP, near Anvers Island, to observe water column dynamics in nearshore and offshore waters. Tracers (Ra-223,Ra-224, Rn-222, O-18, H-2) were used to evaluate the source and transport of water and nutrients in coastal fjords and across the shelf. Coastal waters are compared across two field seasons, with increased freshwater observed during 2014. Horizontal mixing rates of water masses along the WAP ranged from 110-3600 m(2)s(-1) s-1. These mixing rates suggest a rapid transport mechanism for moving meltwater offshore.</t>
  </si>
  <si>
    <t>[Corbett, D. Reide; Crenshaw, Jared; Null, Kimberly] East Carolina Univ, Greenville, NC 27858 USA; [Corbett, D. Reide] Univ N Carolina, Coastal Studies Inst, Wanchese, NC 27981 USA; [Null, Kimberly] Moss Landing Marine Labs, Moss Landing, CA 95039 USA; [Peterson, Richard N.; Peterson, Leigha E.] Coastal Carolina Univ, Dept Coastal &amp; Marine Syst Sci, Conway, SC 29526 USA; [Lyons, W. Berry] Ohio State Univ, Sch Earth Sci, Columbus, OH 43210 USA; [Lyons, W. Berry] Ohio State Univ, Byrd Polar &amp; Climate Res Ctr, Columbus, OH 43210 USA</t>
  </si>
  <si>
    <t>University of North Carolina; East Carolina University; University of North Carolina; Moss Landing Marine Laboratories; Coastal Carolina University; University System of Ohio; Ohio State University; University System of Ohio; Ohio State University</t>
  </si>
  <si>
    <t>Corbett, DR (corresponding author), East Carolina Univ, Greenville, NC 27858 USA.;Corbett, DR (corresponding author), Univ N Carolina, Coastal Studies Inst, Wanchese, NC 27981 USA.</t>
  </si>
  <si>
    <t>corbettd@ecu.edu</t>
  </si>
  <si>
    <t>Corbett, David/0000-0001-9205-8362</t>
  </si>
  <si>
    <t>National Science Foundation [ANT-1142090, ANT-1142059]; University of Wisconsin-Madison; NSF [ANT-1245663]</t>
  </si>
  <si>
    <t>National Science Foundation(National Science Foundation (NSF)); University of Wisconsin-Madison; NSF(National Science Foundation (NSF))</t>
  </si>
  <si>
    <t>We would like to thank the captain and crew of the RV Laurence M. Gould, the scientists and support staff of Palmer Station, the US Antarctic Program, and the many graduate students who not only assisted in sample analyses at ECU and CCU but devoted significant amounts of time to assist with field efforts in the Antarctic. We thank Sue Welch, Kelsey Dailey and Elsa Saelens for their help in the laboratory analysis at Ohio State University. This research was funded by the National Science Foundation, grant number ANT-1142090 (DRC/KN) and ANT-1142059 (WBL). The authors appreciate the support of the University of Wisconsin-Madison Automatic Weather Station Program for the dataset, data display and information, NSF grant number ANT-1245663. J.P. Walsh and two anonymous reviewers are acknowledged for suggestions that improved the manuscript.</t>
  </si>
  <si>
    <t>32 AVENUE OF THE AMERICAS, NEW YORK, NY 10013-2473 USA</t>
  </si>
  <si>
    <t>0954-1020</t>
  </si>
  <si>
    <t>1365-2079</t>
  </si>
  <si>
    <t>ANTARCT SCI</t>
  </si>
  <si>
    <t>Antarct. Sci.</t>
  </si>
  <si>
    <t>10.1017/S095410201700013X</t>
  </si>
  <si>
    <t>Environmental Sciences; Geography, Physical; Geosciences, Multidisciplinary</t>
  </si>
  <si>
    <t>Environmental Sciences &amp; Ecology; Physical Geography; Geology</t>
  </si>
  <si>
    <t>FJ4BM</t>
  </si>
  <si>
    <t>Green Published, hybrid</t>
  </si>
  <si>
    <t>WOS:000412678800002</t>
  </si>
  <si>
    <t>La Mesa, M; Riginella, E; Jones, CD</t>
  </si>
  <si>
    <t>La Mesa, Mario; Riginella, Emilio; Jones, Christopher D.</t>
  </si>
  <si>
    <t>Early life history traits and geographical distribution of Parachaenichthys charcoti</t>
  </si>
  <si>
    <t>age and growth; Antarctic Peninsula; bathydraconid; juveniles; larvae; zoogeography</t>
  </si>
  <si>
    <t>SOUTHERN SCOTIA ARC; AGE-DETERMINATION; ANTARCTIC FISHES; SUMMER; BRANSFIELD; ABUNDANCE; PRECISION; GEORGIA; GROWTH; REGION</t>
  </si>
  <si>
    <t>The geographical distribution of the two species of the genus Parachaenichthys is allopatric and restricted to the inner shelves of South Georgia-South Sandwich Islands (P. georgianus) and South Orkney Islands-South Shetland Islands (P. charcoti). To evaluate the consistency between the geographical patterns of adult distribution and early life history traits of P. charcoti, sagittal otoliths were used to estimate growth rate and pelagic duration in larvae and juveniles of this species collected in the Bransfield Strait in winter and summer, respectively. Individual age was determined through microincrement counts, assuming they were daily increments. The Gompertzmodel was fitted to age-length estimates, providing a mean growth rate of 0.22 mm day(-1) estimated for 28-204-day-old individuals. Larval hatching was spread over a relatively wide period, lasting from July throughout September. The pelagic larval duration of P. charcoti was about six months based on ageing data of larvae and juveniles, as reported for P. georgianus from South Georgia. The strong dependence of larvae on the inshore habitat may hamper their dispersal at large spatial scale limiting the connectivity among distant populations, providing clues to interpret the present geographical distribution of the two species.</t>
  </si>
  <si>
    <t>[La Mesa, Mario; Riginella, Emilio] UOS Ancona, Ist Sci Marine, CNR, ISMAR, I-60125 Ancona, Italy; [Riginella, Emilio] Univ Padua, Dept Biol, Via U Bassi 58-B, I-35131 Padua, Italy; [Jones, Christopher D.] NOAA, Southwest Fisheries Sci Ctr, Natl Marine Fisheries Serv, 8901 La Jolla Shores Dr, La Jolla, CA 92037 USA</t>
  </si>
  <si>
    <t>Consiglio Nazionale delle Ricerche (CNR); Istituto di Scienze Marine (ISMAR-CNR); University of Padua; National Oceanic Atmospheric Admin (NOAA) - USA</t>
  </si>
  <si>
    <t>La Mesa, M (corresponding author), UOS Ancona, Ist Sci Marine, CNR, ISMAR, I-60125 Ancona, Italy.</t>
  </si>
  <si>
    <t>m.lamesa@ismar.cnr.it</t>
  </si>
  <si>
    <t>Riginella, Emilio/Q-2987-2019</t>
  </si>
  <si>
    <t>Riginella, Emilio/0000-0002-1442-8310</t>
  </si>
  <si>
    <t>PNRA [2009/A1.07, 2013/C1.07]</t>
  </si>
  <si>
    <t>PNRA</t>
  </si>
  <si>
    <t>We thank the US AMLR and scientific staff, as well as the crew members and personnel aboard the RV Moana Wave and the RV Nathaniel B. Palmer for their support in sampling activities. We have greatly appreciated the comments raised by two anonymous reviewers, who greatly improved an earlier version of the manuscript. This study was carried out within the projects 2009/A1.07 and 2013/C1.07 funded by the PNRA.</t>
  </si>
  <si>
    <t>10.1017/S0954102017000189</t>
  </si>
  <si>
    <t>WOS:000412678800003</t>
  </si>
  <si>
    <t>Rees, WG; Brown, JA; Fretwell, PT; Trathan, PN</t>
  </si>
  <si>
    <t>Rees, W. G.; Brown, J. A.; Fretwell, P. T.; Trathan, P. N.</t>
  </si>
  <si>
    <t>What colour is penguin guano?</t>
  </si>
  <si>
    <t>hyperspectral; penguins; Pygoscelis; remote sensing</t>
  </si>
  <si>
    <t>ADELIE PENGUIN; SOUTHERN-OCEAN; CLIMATE-CHANGE; COLONIES; IMAGERY; ROOKERIES; BIRD</t>
  </si>
  <si>
    <t>The identification and quantification of Antarctic Pygoscelis penguin colonies depends increasingly on recognition of the characteristic optical properties of guano deposits, but almost all knowledge of these properties until now has been compromised by resolution and atmospheric propagation effects. Here we present hyperspectral reflectance data in the range 350-2500 nm, collected in situ from fresh guano deposits in Pygoscelis penguin colonies on Signy Island, South Orkney Islands. The period of data collection included the transition from predominantly white guano to the pink coloration characteristic of a krill-rich diet. The main identifiable features in the spectra are a broad absorption feature centred around 550 nm, responsible for the pink coloration and identified with the pigment astaxanthin, as well as several water absorption features. Variations in these features are responsible for differentiation between spectra. From these results we propose two spectral indices suitable for use with satellite data, one of which responds to the presence of astaxanthin in the guano and the other to water. Our results do not allow us to differentiate between penguin species from their guano, but do suggest that the breeding phenology of Pygoscelis penguins could be determined from a time series of multispectral imagery.</t>
  </si>
  <si>
    <t>[Rees, W. G.; Brown, J. A.] Univ Cambridge, Scott Polar Res Inst, Lensfield Rd, Cambridge CB2 1ER, England; [Brown, J. A.; Fretwell, P. T.; Trathan, P. N.] British Antarctic Survey, NERC, Madingley Rd, Cambridge CB3 0ET, England</t>
  </si>
  <si>
    <t>University of Cambridge; UK Research &amp; Innovation (UKRI); Natural Environment Research Council (NERC); NERC British Antarctic Survey</t>
  </si>
  <si>
    <t>Rees, WG (corresponding author), Univ Cambridge, Scott Polar Res Inst, Lensfield Rd, Cambridge CB2 1ER, England.</t>
  </si>
  <si>
    <t>wgr2@cam.ac.uk</t>
  </si>
  <si>
    <t>Rees, William Gareth/AAM-9701-2020</t>
  </si>
  <si>
    <t>Rees, William Gareth/0000-0001-6020-1232</t>
  </si>
  <si>
    <t>BAS [CGS-97]; NERC [NE/L501633/1]; Natural Environment Research Council [fsf010001, bas0100035, 1382692] Funding Source: researchfish; NERC [bas0100035, fsf010001] Funding Source: UKRI</t>
  </si>
  <si>
    <t>BAS; NERC(UK Research &amp; Innovation (UKRI)Natural Environment Research Council (NERC)); Natural Environment Research Council(UK Research &amp; Innovation (UKRI)Natural Environment Research Council (NERC)); NERC(UK Research &amp; Innovation (UKRI)Natural Environment Research Council (NERC))</t>
  </si>
  <si>
    <t>The fieldwork necessary for this work was supported by BAS through a Collaborative Gearing Scheme award CGS-97 to W.G. Rees and P.N. Trathan, and the ASD FieldSpec Pro was made available through an award (ref. 696.0614) from the UK NERC Field Spectroscopy Facility. We acknowledge with gratitude the support and companionship of the entire staff of the BAS research station at Signy, and especially of M. Jobson, the Base Commander. We gratefully acknowledge also the input of S. Adlard, who was generous in sharing her understanding of Signy's penguin population and her samples of penguin vomit. J.A. Brown is supported by a NERC PhD studentship NE/L501633/1. We gratefully acknowledge the constructive criticisms of a number of reviewers that have materially improved this paper.</t>
  </si>
  <si>
    <t>10.1017/S0954102017000190</t>
  </si>
  <si>
    <t>WOS:000412678800004</t>
  </si>
  <si>
    <t>Chaparro, MAE; Chaparro, MAE; Córdoba, FE; Lecomte, KL; Gargiulo, JD; Barrios, AM; Urán, GM; Czalbowski, NTM; Lavat, A; Böhnel, HN</t>
  </si>
  <si>
    <t>Chaparro, Marcos A. E.; Chaparro, Mauro A. E.; Cordoba, Francisco E.; Lecomte, Karina L.; Gargiulo, Jose D.; Barrios, Ana M.; Uran, Gimena M.; Manograsso Czalbowski, Nadia T.; Lavat, Araceli; Bohnel, Harald N.</t>
  </si>
  <si>
    <t>Sedimentary analysis and magnetic properties of Lake Anonima, Vega Island</t>
  </si>
  <si>
    <t>Antarctica; environmental magnetism; grain size analysis; hydrochemical studies; lake sediments; multivariate statistics</t>
  </si>
  <si>
    <t>JAMES-ROSS-ISLAND; ANTARCTIC PENINSULA; BACTERIAL MAGNETITE; VARIABILITY; CARBONATE; IGNITION</t>
  </si>
  <si>
    <t>During the summer Lake Anonima experiences important changes in salinity and lake level fluctuations. Physicochemical data and field observations indicate that evaporative processes are dominant and that the water inflow is mainly provided by snow meltwater and streams. A multiproxy analysis of data from lake bottom sediments suggests that the main surface stream located south-west of the lake controls the clastic input and the spatial variation of sediment composition. Through an integrated analysis (magnetic, X-ray diffraction and Fourier transform infrared spectroscopy studies) magnetite and greigite minerals were identified in these lake sediments. Such ferrimagnetic minerals have ultra-fine grain sizes (&lt; 0.1 mu m). Magnetic parameters and non-magnetic variables analysed by multivariate statistics reveal significant differences between silt facies (e.g. mass-specific susceptibility. chi = 109.6 x 10(-8)m(3)kg(-1), remanent coercivity H-cr = 49.2mT and total organic carbon (TOC) = 1.11%) and sand facies (e.g.. = 82.1 x 10(-8)m(3)kg(-1), Hcr = 44.7mT and TOC = 0.70%), and four recent depositional sub-environments were identified and characterized in Lake Anonima. This multiparameter analysis contributes to the understanding of present-day lacustrine dynamic and sedimentary processes. Lake Anonima may provide a useful analogue for the interpretation of other lacustrine basins in the Antarctic region.</t>
  </si>
  <si>
    <t>[Chaparro, Marcos A. E.; Gargiulo, Jose D.] UNCPBA, CONICET, Ctr Prov Buenos Aires, Ctr Invest Fis &amp; Ingn,CIFICEN, Pinto 399, Tandil 7000, Australia; [Chaparro, Mauro A. E.] Consejo Nacl Invest Cient &amp; Tecn, UNMDP, Fac Ciencias Exactas &amp; Nat, Ctr Marplatense Invest Matemat CEMIM, Mar Del Plata, Buenos Aires, Argentina; [Cordoba, Francisco E.] Univ Nacl Jujuy, CONICET, Inst Geol &amp; Mineria, Inst Ecorreg Andinas INECOA, Av Bolivia 1661, RA-4600 San Salvador De Jujuy, Argentina; [Lecomte, Karina L.] Consejo Nacl Invest Cient &amp; Tecn, Ctr Invest Ciencias Tierra CICTERRA, Av Velez Sarsfield 1611,X5016GCA, Cordoba, Argentina; [Lecomte, Karina L.; Uran, Gimena M.] Univ Nacl Cordoba, Fac Ciencias Exactas Fis &amp; Nat, Av Velez Sarsfield 1611,X5016CGA, Cordoba, Argentina; [Barrios, Ana M.] Univ Granada, Av Hosp S-N, Granada 18010, Spain; [Manograsso Czalbowski, Nadia T.] IAA, 25 Mayo 1143, San Martin, Buenos Aires, Argentina; [Lavat, Araceli] UNCPBA, CONICET, Ctr Prov Buenos Aires, Ctr Invest Fis &amp; Ingn,CIFICEN, Olavarria, Argentina; [Bohnel, Harald N.] UNAM, Ctr Geociencias, Blvd Juriquilla 3001, Queretaro 76230, Mexico</t>
  </si>
  <si>
    <t>Consejo Nacional de Investigaciones Cientificas y Tecnicas (CONICET); National University of Mar del Plata; Consejo Nacional de Investigaciones Cientificas y Tecnicas (CONICET); Consejo Nacional de Investigaciones Cientificas y Tecnicas (CONICET); National University of Cordoba; National University of Cordoba; University of Granada; Consejo Nacional de Investigaciones Cientificas y Tecnicas (CONICET); Universidad Nacional Autonoma de Mexico</t>
  </si>
  <si>
    <t>Chaparro, MAE (corresponding author), UNCPBA, CONICET, Ctr Prov Buenos Aires, Ctr Invest Fis &amp; Ingn,CIFICEN, Pinto 399, Tandil 7000, Australia.</t>
  </si>
  <si>
    <t>chapator@exa.unicen.edu.ar</t>
  </si>
  <si>
    <t>Chaparro, Marcos A.E./O-9042-2019; Lecomte, Karina/KHD-3796-2024</t>
  </si>
  <si>
    <t>Chaparro, Marcos A.E./0000-0003-2832-2151; LECOMTE, KARINA LETICIA/0000-0001-6901-0918; Chaparro, Mauro A.E./0009-0005-5983-8398; Bohnel, Harald/0000-0002-3833-225X; Cordoba, Francisco E./0000-0001-8341-4951; Gargiulo, Jose Daniel/0000-0002-8285-3634; Uran, Gimena Mariel/0000-0001-9571-1291</t>
  </si>
  <si>
    <t>UNCPBA; Consejo Nacional de Investigaciones Cientificas y Tecnicas (CONICET); ANPCYT project [PICTO-2010-0096]; Bilateral CONICET/CONACYT Project [207149, 1001/14-5131/15]; UNC; UNAM; DNA</t>
  </si>
  <si>
    <t>UNCPBA; Consejo Nacional de Investigaciones Cientificas y Tecnicas (CONICET)(Consejo Nacional de Investigaciones Cientificas y Tecnicas (CONICET)); ANPCYT project(ANPCyT); Bilateral CONICET/CONACYT Project; UNC; UNAM(Universidad Nacional Autonoma de Mexico); DNA</t>
  </si>
  <si>
    <t>The authors wish to thank UNCPBA, UNC and UNAM, DNA, and Consejo Nacional de Investigaciones Cientificas y Tecnicas (CONICET) for their financial support. They also thank Ing. J. Escalante (Tech. CGEO-UNAM) and P. Zubeldia (Tech. CICPBA). The authors thank the Editor and two anonymous reviewers whose comments greatly improved the manuscript. This contribution was supported by the ANPCYT project PICTO-2010-0096 and by the Bilateral CONICET/CONACYT Project No. 207149 (Harald Bohnel) and Res. 1001/14-5131/15 (Marcos Chaparro).</t>
  </si>
  <si>
    <t>10.1017/S0954102017000116</t>
  </si>
  <si>
    <t>WOS:000412678800006</t>
  </si>
  <si>
    <t>Gelfo, JN; López, GM; Santillana, SN</t>
  </si>
  <si>
    <t>Gelfo, Javier N.; Lopez, Guillermo M.; Santillana, Sergio N.</t>
  </si>
  <si>
    <t>Eocene ungulate mammals from West Antarctica: implications from their fossil record and a new species</t>
  </si>
  <si>
    <t>land mammal; Litopterna; Notiolofos; Seymour Island; Sparnotheriodontidae</t>
  </si>
  <si>
    <t>LA-MESETA FORMATION; SEYMOUR ISLAND; TERRESTRIAL VERTEBRATES; EVOLUTION</t>
  </si>
  <si>
    <t>Here we describe a new terrestrial mammal from the Eocene of Seymour Island (Isla Marambio) represented by a lower left third molar and assigned to a new species of Sparnotheriodontidae, an ungulate family with a broad palaeobiogeographical distribution in South America. The specimen was found in the Cucullaea I allomember of the La Meseta Formation, in a new mammalian locality (IAA 2/16). Notiolofos regueroi sp. nov. shares a brachyodont, lophoselenodont and bicrescentic molar pattern with N. arquinotiensis, recorded for a stratigraphic sequence of 17.5Ma in Antarctica. The criteria for the species differentiation are the absence of mesial and labial cingulids, the larger paraconid, the wider talonid basin, the accentuated distal projection of the hypoconulid, the centroconid development and the smaller size. Together with the astrapotherian Antarctodon sobrali, they represent the medium to large terrestrial mammals of the early Eocene Antarctic landscape that was mostly dominated by closed forests of Nothofagus. Dental wear facets and differences in their body mass are inferred and discussed as possible evidence of niche differentiation. Additionally, the presence of land mammals with Patagonian affinities in the Eocene of Antarctica reinforces the Cretaceous-Palaeocene presence of the Weddellian Isthmus, a functional land corridor between Antarctica and South America.</t>
  </si>
  <si>
    <t>[Gelfo, Javier N.] Consejo Nacl Invest Cient &amp; Tecn, Consejo Nacl Invest Cient &amp; Tecn, Buenos Aires, DF, Argentina; [Gelfo, Javier N.; Lopez, Guillermo M.] Museo La Plata, Div Paleontol Vertebrados, Paseo Bosque S-N B1900FWA, La Plata, Buenos Aires, Argentina; [Gelfo, Javier N.; Lopez, Guillermo M.] Univ Nacl La Plata, Fac Ciencias Nat &amp; Museo, La Plata, Buenos Aires, Argentina; [Santillana, Sergio N.] Direcc Nacl Antartico, Inst Antartico Argentino, 25 Mayo 1143, San Martin, Argentina</t>
  </si>
  <si>
    <t>Consejo Nacional de Investigaciones Cientificas y Tecnicas (CONICET); National University of La Plata; Museo La Plata; National University of La Plata; Museo La Plata; Instituto Antartico Argentino</t>
  </si>
  <si>
    <t>Gelfo, JN (corresponding author), Consejo Nacl Invest Cient &amp; Tecn, Consejo Nacl Invest Cient &amp; Tecn, Buenos Aires, DF, Argentina.;Gelfo, JN (corresponding author), Museo La Plata, Div Paleontol Vertebrados, Paseo Bosque S-N B1900FWA, La Plata, Buenos Aires, Argentina.;Gelfo, JN (corresponding author), Univ Nacl La Plata, Fac Ciencias Nat &amp; Museo, La Plata, Buenos Aires, Argentina.</t>
  </si>
  <si>
    <t>jgelfo@fcnym.unlp.edu.ar</t>
  </si>
  <si>
    <t>Gelfo, Javier N./KFQ-7820-2024; Gelfo, Javier N./AAW-1905-2021</t>
  </si>
  <si>
    <t>Gelfo, Javier N./0000-0002-9989-5902</t>
  </si>
  <si>
    <t>Instituto Antartico Argentino-Direccion Nacional del Antartico (IAA-DNA); Vertebrados del lapso Cretacico Superior Paleogeno de la Peninsula Antartica y extremo sur de Patagonia [PIP 0489, N812-UNLP]</t>
  </si>
  <si>
    <t>Instituto Antartico Argentino-Direccion Nacional del Antartico (IAA-DNA); Vertebrados del lapso Cretacico Superior Paleogeno de la Peninsula Antartica y extremo sur de Patagonia</t>
  </si>
  <si>
    <t>This research was supported by the Instituto Antartico Argentino-Direccion Nacional del Antartico (IAA-DNA), and the funding: PIP 0489 and N812-UNLP Vertebrados del lapso Cretacico Superior Paleogeno de la Peninsula Antartica y extremo sur de Patagonia (Sur del Paralelo 50 degrees) Parte II, Directed by Marcelo Reguero. We are grateful to the Fuerza Aerea Argentina, the Base Marambio staff, and the 'tambuchero' Marco Rios, for their logistic support in the field. The camp and fieldwork counted with the invaluable support of Carolina Acosta Hospitaleche and Jacobo Daniel. We also thank Bruno Pianzola for taking the photograph of the tooth, Victoria Eusebi for improving the English of this manuscript, and Cliff Atkins, Thomas Mors and an anonymous reviewer for their comments and suggestions.</t>
  </si>
  <si>
    <t>10.1017/S0954102017000244</t>
  </si>
  <si>
    <t>WOS:000412678800007</t>
  </si>
  <si>
    <t>Obryk, MK; Doran, PT; Waddington, ED; Mckay, CP</t>
  </si>
  <si>
    <t>Obryk, M. K.; Doran, P. T.; Waddington, E. D.; Mckay, C. P.</t>
  </si>
  <si>
    <t>The influence of fohn winds on Glacial Lake Washburn and palaeotemperatures in the McMurdo Dry Valleys, Antarctica, during the Last Glacial Maximum</t>
  </si>
  <si>
    <t>degree days above freezing; hydrological modelling; LGM</t>
  </si>
  <si>
    <t>GROUNDED ICE-SHEET; SOUTHERN VICTORIA LAND; TAYLOR VALLEY; ROSS SEA; EAST ANTARCTICA; FOEHN WINDS; DOME; CLIMATE; UNTERSEE; HISTORY</t>
  </si>
  <si>
    <t>Large glacial lakes, including Glacial Lake Washburn, were present in the McMurdo Dry Valleys, Antarctica, during the Last Glacial Maximum (LGM) despite a colder and drier climate. To address the mechanism capable of generating enough meltwater to sustain these large lakes, a conceptual model was developed based on the warming potential of infrequent contemporary fohn winds. The model suggests that fhn winds were capable of generating enough meltwater to sustain large glacial lakes during the LGM by increasing degree days above freezing (DDAF) and prolonging the melt season. A present-day relationship between infrequent summer fhn winds and DDAF was established. It is assumed that the Taylor Dome ice core record represents large-scale palaeoclimatic variations for the McMurdo Dry Valleys region. This analysis suggests that because of the warming influence of the more frequent fhn winds, summer DDAF in the McMurdo Dry Valleys during the LGM were equivalent to present-day values, but this enhanced summer signal is not preserved in the annually averaged ice core temperature record.</t>
  </si>
  <si>
    <t>[Obryk, M. K.] Portland State Univ, Dept Geol, Portland, OR 97219 USA; [Obryk, M. K.; Doran, P. T.] Louisiana State Univ, Dept Geol &amp; Geophys, Baton Rouge, LA 70803 USA; [Waddington, E. D.] Univ Washington, Earth &amp; Space Sci, Seattle, WA 98195 USA; [Mckay, C. P.] NASA, Ames Res Ctr, Space Sci Div, Moffett Field, CA 94035 USA</t>
  </si>
  <si>
    <t>Portland State University; Louisiana State University System; Louisiana State University; University of Washington; University of Washington Seattle; National Aeronautics &amp; Space Administration (NASA); NASA Ames Research Center</t>
  </si>
  <si>
    <t>Obryk, MK (corresponding author), Portland State Univ, Dept Geol, Portland, OR 97219 USA.;Obryk, MK (corresponding author), Louisiana State Univ, Dept Geol &amp; Geophys, Baton Rouge, LA 70803 USA.</t>
  </si>
  <si>
    <t>mobryk@pdx.edu</t>
  </si>
  <si>
    <t>Obryk, Maciej/0000-0002-8182-8656; McKay, Christopher/0000-0002-6243-1362</t>
  </si>
  <si>
    <t>National Science Foundation (NSF) Office of Polar Programs [9810219, 0096250, 0832755, 1041742, 1115245, 8915924, 9221261, 9412644]; NSF; Div Of Civil, Mechanical, &amp; Manufact Inn; Directorate For Engineering [9412644] Funding Source: National Science Foundation; Office of Polar Programs (OPP); Directorate For Geosciences [0096250, 9810219] Funding Source: National Science Foundation; Office Of The Director; Office of Polar Programs [9221261, 8915924] Funding Source: National Science Foundation</t>
  </si>
  <si>
    <t>National Science Foundation (NSF) Office of Polar Programs(National Science Foundation (NSF)); NSF(National Science Foundation (NSF)); Div Of Civil, Mechanical, &amp; Manufact Inn; Directorate For Engineering(National Science Foundation (NSF)NSF - Directorate for Engineering (ENG)); Office of Polar Programs (OPP); Directorate For Geosciences(National Science Foundation (NSF)NSF - Directorate for Geosciences (GEO)); Office Of The Director; Office of Polar Programs(National Science Foundation (NSF)NSF - Office of the Director (OD)NSF - Directorate for Geosciences (GEO))</t>
  </si>
  <si>
    <t>This research was supported by National Science Foundation (NSF) Office of Polar Programs (grants 9810219, 0096250, 0832755, 1041742, 1115245, 8915924, 9221261 and 9412644). Logistical support was provided by the US Antarctic Program through funding from NSF. We would like to acknowledge David Morse for installing automated weather stations at Taylor Dome, and Hans-Peter Marshall for processing and providing meteorological data from Taylor Dome. In addition, we would like to thank two anonymous reviewers whose comments improved this work.</t>
  </si>
  <si>
    <t>10.1017/S0954102017000062</t>
  </si>
  <si>
    <t>WOS:000412678800008</t>
  </si>
  <si>
    <t>Lovell, AM; Stokes, CR; Jamieson, SSR</t>
  </si>
  <si>
    <t>Lovell, A. M.; Stokes, C. R.; Jamieson, S. S. R.</t>
  </si>
  <si>
    <t>Sub-decadal variations in outlet glacier terminus positions in Victoria Land, Oates Land and George V Land, East Antarctica (1972-2013)</t>
  </si>
  <si>
    <t>calving; East Antarctic Ice Sheet; marine- and land-terminating glaciers; remote sensing; sea ice</t>
  </si>
  <si>
    <t>ICE-SHEET; SUPRAGLACIAL LAKES; MASS-BALANCE; SEA; GREENLAND; DRIVEN; BEHAVIOR; SHELVES; SURFACE</t>
  </si>
  <si>
    <t>Recent work has highlighted the sensitivity of marine-terminating glaciers to decadal-scale changes in the ocean-climate system in parts of East Antarctica. However, compared to Greenland, West Antarctica and the Antarctic Peninsula, little is known about recent glacier change and potential cause(s), with several regions yet to be studied in detail. In this paper, we map the terminus positions of 135 glaciers along the coastline of Victoria Land, Oates Land and George V Land from 1972-2013 at a higher temporal resolution (sub-decadal intervals) than in previous research. These three regions span a range of climatic and oceanic conditions and contain a variety of glacier types. Overall, from 1972-2013, 36% of glaciers advanced, 25% retreated and the remainder showed no discernible change. On sub-decadal timescales, there were no clear trends in glacier terminus position change. However, marine-terminating glaciers experienced larger terminus position changes compared with terrestrial glaciers, and those with an unconstrained floating tongue exhibited the largest variations. We conclude that, unlike in Greenland, West Antarctica and the Antarctic Peninsula, there is no clear glacier retreat in the study area and that most of the variations are more closely linked to glacier size and terminus type.</t>
  </si>
  <si>
    <t>[Lovell, A. M.; Stokes, C. R.; Jamieson, S. S. R.] Univ Durham, Dept Geog, South Rd, Durham DH1 3LE, England; [Lovell, A. M.] Newcastle Univ, Sch Geog Polit &amp; Sociol, Newcastle Upon Tyne NE1 7RU, Tyne &amp; Wear, England</t>
  </si>
  <si>
    <t>Durham University; Newcastle University - UK</t>
  </si>
  <si>
    <t>Lovell, AM (corresponding author), Univ Durham, Dept Geog, South Rd, Durham DH1 3LE, England.;Lovell, AM (corresponding author), Newcastle Univ, Sch Geog Polit &amp; Sociol, Newcastle Upon Tyne NE1 7RU, Tyne &amp; Wear, England.</t>
  </si>
  <si>
    <t>a.m.lovell2@newcastle.ac.uk</t>
  </si>
  <si>
    <t>Jamieson, Stewart S.R./B-8330-2013; Stokes, Chris/A-1957-2011</t>
  </si>
  <si>
    <t>Jamieson, Stewart S.R./0000-0002-9036-2317; Stokes, Chris/0000-0003-3355-1573</t>
  </si>
  <si>
    <t>Van Mildert College, Durham University; Natural Environment Research Council (NERC) Fellowship [NE/J018333/1]</t>
  </si>
  <si>
    <t>Van Mildert College, Durham University; Natural Environment Research Council (NERC) Fellowship</t>
  </si>
  <si>
    <t>This research was carried out as part of a Masters by Research in the Department of Geography at Durham University. AML is grateful to Van Mildert College, Durham University for helping to fund this research. SSRJ was supported by a Natural Environment Research Council (NERC) Fellowship NE/J018333/1. Data produced during this work are available upon request from the corresponding author. The authors are grateful for the constructive reviews of two anonymous reviewers and helpful guidance from the Editor.</t>
  </si>
  <si>
    <t>10.1017/S0954102017000074</t>
  </si>
  <si>
    <t>Green Accepted, hybrid, Green Published</t>
  </si>
  <si>
    <t>WOS:000412678800009</t>
  </si>
  <si>
    <t>Loza, CM; Latimer, AE; Sánchez-Villagra, MR; Carlini, AA</t>
  </si>
  <si>
    <t>Mara Loza, Cleopatra; Latimer, Ashley E.; Sanchez-Villagra, Marcelo R.; Carlini, Alfredo A.</t>
  </si>
  <si>
    <t>Sensory anatomy of the most aquatic of carnivorans: the Antarctic Ross seal, and convergences with other mammals</t>
  </si>
  <si>
    <t>BIOLOGY LETTERS</t>
  </si>
  <si>
    <t>petrosal; sensory ecology; Carnivora; Cetartiodactyla</t>
  </si>
  <si>
    <t>SUBARCUATE FOSSA; INNER-EAR; EVOLUTION; PHYLOGENY; PETROSAL; BEHAVIOR; HEARING</t>
  </si>
  <si>
    <t>Transitions to and from aquatic life involve transformations in sensory systems. The Ross seal, Ommatophoca rossii, offers the chance to investigate the cranio-sensory anatomy in the most aquatic of all seals. The use of non-invasive computed tomography on specimens of this rare animal reveals, relative to other species of phocids, a reduction in the diameters of the semicircular canals and the parafloccular volume. These features are independent of size effects. These transformations parallel those recorded in cetaceans, but these do not extend to other morphological features such as the reduction in eye muscles and the length of the neck, emphasizing the independence of some traits in convergent evolution to aquatic life.</t>
  </si>
  <si>
    <t>[Mara Loza, Cleopatra; Carlini, Alfredo A.] Univ Nacl La Plata, Fac Ciencias Nat &amp; Museo, Div Paleontol Vertebrados, Museo La Plata, La Plata, Buenos Aires, Argentina; [Mara Loza, Cleopatra; Carlini, Alfredo A.] Consejo Nacl Invest Cient &amp; Tecn, La Plata, Buenos Aires, Argentina; [Latimer, Ashley E.; Sanchez-Villagra, Marcelo R.] Univ Zurich, Palaontol Inst &amp; Museum, Karl Schmid Str 4, CH-8006 Zurich, Switzerland</t>
  </si>
  <si>
    <t>National University of La Plata; Museo La Plata; Consejo Nacional de Investigaciones Cientificas y Tecnicas (CONICET); University of Zurich</t>
  </si>
  <si>
    <t>Sánchez-Villagra, MR (corresponding author), Univ Zurich, Palaontol Inst &amp; Museum, Karl Schmid Str 4, CH-8006 Zurich, Switzerland.</t>
  </si>
  <si>
    <t>m.sanchez@pim.uzh.ch</t>
  </si>
  <si>
    <t>Sanchez-Villagra, Marcelo Ricardo/0000-0001-7587-3648</t>
  </si>
  <si>
    <t>[UNLP-N-724]</t>
  </si>
  <si>
    <t>Project funded by UNLP-N-724 to A.A.C.</t>
  </si>
  <si>
    <t>ROYAL SOC</t>
  </si>
  <si>
    <t>6-9 CARLTON HOUSE TERRACE, LONDON SW1Y 5AG, ENGLAND</t>
  </si>
  <si>
    <t>1744-9561</t>
  </si>
  <si>
    <t>1744-957X</t>
  </si>
  <si>
    <t>BIOL LETTERS</t>
  </si>
  <si>
    <t>Biol. Lett.</t>
  </si>
  <si>
    <t>OCT 1</t>
  </si>
  <si>
    <t>10.1098/rsbl.2017.0489</t>
  </si>
  <si>
    <t>Biology; Ecology; Evolutionary Biology</t>
  </si>
  <si>
    <t>Life Sciences &amp; Biomedicine - Other Topics; Environmental Sciences &amp; Ecology; Evolutionary Biology</t>
  </si>
  <si>
    <t>FL0OC</t>
  </si>
  <si>
    <t>WOS:000413909700010</t>
  </si>
  <si>
    <t>Hogan, KA; Dowdeswell, JA; Hillenbrand, CD; Ehrmann, W; Noormets, R; Wacker, L</t>
  </si>
  <si>
    <t>Hogan, Kelly A.; Dowdeswell, Julian A.; Hillenbrand, Claus-Dieter; Ehrmann, Werner; Noormets, Riko; Wacker, Lukas</t>
  </si>
  <si>
    <t>Subglacial sediment pathways and deglacial chronology of the northern Barents Sea Ice Sheet</t>
  </si>
  <si>
    <t>BOREAS</t>
  </si>
  <si>
    <t>EURASIAN CONTINENTAL-MARGIN; CLAY-MINERAL DISTRIBUTION; FRANZ VICTORIA TROUGH; LAST GLACIAL MAXIMUM; KONG KARLS LAND; ARCTIC-OCEAN; LATE QUATERNARY; SURFACE SEDIMENTS; SUBMARINE LANDFORMS; WESTERN SVALBARD</t>
  </si>
  <si>
    <t>New information is presented on the configuration of the northern Barents Sea Ice Sheet (BSIS) during the last glacial and deglaciation (21-11.5 ka). The glacial dynamics of the BSIS that we discuss are based on clay-mineral compositions of subglacial tills and a distinct kaolinite source in the central Barents Seawhere previous workers have placed a large, single ice dome for the last glacial BSIS. Our results, which appear to show that subglacial sediments were sourced locally, suggest that the BSIS consisted at least temporarily ofmultiple domes and may have been more dynamic than previously thought. New radiocarbon dates are presented along with new ice-extent reconstructions for 16.5-15, 14, 13.5 and 11.5 ka. Our reconstructions add information to previous regional and continental-scale efforts in areas east of Svalbard. Ice retreat in the northern Barents Sea progressed as follows. (i) 19-16.5 ka. Major calving led to dynamic thinning in shelf troughs and was accompanied by significant ice-sheet thinning inland as a result of ice draw down.(ii) 16.5-15ka. Rapid ice-margin retreat of between 75-100 km occurred, via lift-off and iceberg calving, in Hinlopen and Kvitoya troughs, as well as major retreat (&gt;300 km) in Franz Victoria Trough (FVT) further east. (iii) 15-13.5 ka. Retreat progressed westwards from the FVT towards Svalbard with troughs east of Svalbard (Kvitoya, Olga, and Erik Eriksen) mostly ice-free by 13.5 ka. (iv) 13.5-11.5 ka. Ice retreated gradually towards residual ice masseson Svalbard, Kong Karls Land and possibly Storbanken. Our data require a modification of earlier views of the BSIS because they point toward a more dynamic ice sheet and decay that, once initiated at the shelf break, was dominated by the withdrawal of ice from the FVT that progressed westwards towards the Svalbard archipelago.</t>
  </si>
  <si>
    <t>[Hogan, Kelly A.; Hillenbrand, Claus-Dieter] NERC, British Antarctic Survey, High Cross,Madingley Rd, Cambridge CB3 0ET, England; [Dowdeswell, Julian A.] Univ Cambridge, Scott Polar Res Inst, Lensfield Rd, Cambridge CB2 1ER, England; [Ehrmann, Werner] Univ Leipzig, Inst Geophys &amp; Geol, Talstr 35, D-04103 Leipzig, Germany; [Noormets, Riko] UNIS, Univ Ctr Svalbard, Longyearbyen, Norway; [Wacker, Lukas] Swiss Fed Inst Technol, Ion Beam Phys, CH-8093 Zurich, Switzerland</t>
  </si>
  <si>
    <t>UK Research &amp; Innovation (UKRI); Natural Environment Research Council (NERC); NERC British Antarctic Survey; University of Cambridge; Leipzig University; University Centre Svalbard (UNIS); Swiss Federal Institutes of Technology Domain; ETH Zurich</t>
  </si>
  <si>
    <t>Hogan, KA (corresponding author), NERC, British Antarctic Survey, High Cross,Madingley Rd, Cambridge CB3 0ET, England.</t>
  </si>
  <si>
    <t>kelgan@bas.ac.uk</t>
  </si>
  <si>
    <t>Dowdeswell, Julian/0000-0003-1369-9482; Noormets, Riko/0000-0002-2832-386X</t>
  </si>
  <si>
    <t>Iain Hiller Award Scheme; NERC Radiocarbon Laboratory [1616.0312]; NERC [NER/T/S/2003/00318]; Natural Environment Research Council [bas0100030, bosc01001, NER/T/S/2003/00318] Funding Source: researchfish; NERC [bosc01001, bas0100030] Funding Source: UKRI</t>
  </si>
  <si>
    <t>Iain Hiller Award Scheme; NERC Radiocarbon Laboratory; NERC(UK Research &amp; Innovation (UKRI)Natural Environment Research Council (NERC)); Natural Environment Research Council(UK Research &amp; Innovation (UKRI)Natural Environment Research Council (NERC)); NERC(UK Research &amp; Innovation (UKRI)Natural Environment Research Council (NERC))</t>
  </si>
  <si>
    <t>Analyses for this work were funded by the Iain Hiller Award Scheme to K. Hogan in November 2012 and a NERC Radiocarbon Laboratory award to K. Hogan and J. A. Dowdeswell (NRCF Allocation Number 1616.0312). JR142 sediment cores were acquired duringa NERC-funded research cruise to the NW Barents Sea in 2006 (grant no. NER/T/S/2003/00318) to J. A. Dowdeswell. We are extremely grateful to A. Insh for her painstaking work to prepare foraminifera samples for standard and micro-sample radiocarbon dating. Furthermorewe thank S. Haessner for technical assistance in the clay mineral laboratory. H. Patton and J. Knies are thanked for their helpful and insightful reviews that have improved the balance of this paper.</t>
  </si>
  <si>
    <t>0300-9483</t>
  </si>
  <si>
    <t>1502-3885</t>
  </si>
  <si>
    <t>Boreas</t>
  </si>
  <si>
    <t>10.1111/bor.12248</t>
  </si>
  <si>
    <t>FI6IJ</t>
  </si>
  <si>
    <t>WOS:000412097800011</t>
  </si>
  <si>
    <t>Fogt, RL; Jones, ME; Solomon, S; Jones, JM; Goergens, CA</t>
  </si>
  <si>
    <t>Fogt, Ryan L.; Jones, Megan E.; Solomon, Susan; Jones, Julie M.; Goergens, Chad A.</t>
  </si>
  <si>
    <t>AN EXCEPTIONAL SUMMER DURING THE SOUTH POLE RACE OF 1911/12</t>
  </si>
  <si>
    <t>BULLETIN OF THE AMERICAN METEOROLOGICAL SOCIETY</t>
  </si>
  <si>
    <t>SEASONAL PRESSURE RECONSTRUCTIONS; SURFACE; CLIMATE; TRENDS; 20TH-CENTURY; VARIABILITY; ANTARCTICA; PLATEAU</t>
  </si>
  <si>
    <t>The meteorological conditions during the Amundsen and Scott South Pole expeditions in 1911/12 are examined using a combination of observations collected during the expeditions as well as modern reanalysis and reconstructed pressure datasets. It is found that over much of this austral summer, pressures were exceptionally high (more than two standard deviations above the climatological mean) at both main bases, as well as along the sledging journeys, especially in December 1911. In conjunction with the anomalously high pressures, Amundsen and his crew experienced temperatures that peaked above -16 degrees C on the polar plateau on 6 December 1911, which is extremely warm for this region. While Scott also encountered unusually warm conditions at this time, the above-average temperatures were accompanied by a wet snowstorm that slowed his progress across the Ross Ice Shelf. Although January 1912 was marked with slightly below-average temperatures and pressure, high temperatures and good conditions were observed in early February 1912, when Scott and his companions were at the top of the Beardmore Glacier. When compared to the anomalously cold temperatures experienced by the Scott polar party in late February and March 1912, the temperature change is in the top 3% based on more than 35 years of reanalysis data. Scott and his companions therefore faced an exceptional decrease in temperature when transiting to the Ross Ice Shelf in February and March 1912, which likely made the persistent cold spell they experienced on the Ross Ice Shelf seem even more intense by comparison.</t>
  </si>
  <si>
    <t>[Fogt, Ryan L.; Jones, Megan E.; Goergens, Chad A.] Ohio Univ, Dept Geog, Athens, OH 45701 USA; [Fogt, Ryan L.; Jones, Megan E.; Goergens, Chad A.] Ohio Univ, Scalia Lab Atmospher Anal, Athens, OH 45701 USA; [Solomon, Susan] MIT, Dept Earth Atmospher &amp; Planetary Sci, Cambridge, MA USA; [Jones, Julie M.] Univ Sheffield, Dept Geog, Sheffield, S Yorkshire, England</t>
  </si>
  <si>
    <t>University System of Ohio; Ohio University; University System of Ohio; Ohio University; Massachusetts Institute of Technology (MIT); University of Sheffield</t>
  </si>
  <si>
    <t>Fogt, Ryan L/B-6989-2008</t>
  </si>
  <si>
    <t>Fogt, Ryan L/0000-0002-5398-3990</t>
  </si>
  <si>
    <t>NSF [1341621]; Directorate For Geosciences; Office of Polar Programs (OPP) [1341621] Funding Source: National Science Foundation</t>
  </si>
  <si>
    <t>RLF, MEJ, and CAG acknowledge support from NSF Grant 1341621. Thanks are extended to ECMWF for their reanalysis data (http://apps.ecmwf.int/datasets/), the British Antarctic Survey for hosting the Antarctic READER data (https://legacy.bas.ac.uk/met/READER/), the Antarctic Meteorological Research Center for the Antarctic AWS observations and hourly observations at McMurdo and Amundsen-Scott (http://amrc.ssec.wisc.edu), the NOAA Earth System Research Laboratory for the 20th Century Reanalysis data (www.esrl.noaa.gov/psd/data/gridded/data.20thC_ReanV2c.html), and the U.K. Hadley Centre for HadSLP2 data (www.metoffice.gov.uk/hadobs/hadslp2/). Google Earth elevations were obtained through an online interface (www.freemaptools.com/elevation-finder.htm), and Dr. Stephen Livingstone of the University of Sheffield is thanked for comparing these to the Bempap2 data. Seasonal Antarctic pressure reconstructions are available on the Scalia Laboratory for Atmospheric Analysis website (www.phy.ohiou.edu/~scalia/pressure_recon.html); meteorological observations during the expeditions are available in the sources referenced. Three anonymous reviewers are also thanked for their careful read of our manuscript and their comments, which helped to clarify our main points.</t>
  </si>
  <si>
    <t>0003-0007</t>
  </si>
  <si>
    <t>1520-0477</t>
  </si>
  <si>
    <t>B AM METEOROL SOC</t>
  </si>
  <si>
    <t>Bull. Amer. Meteorol. Soc.</t>
  </si>
  <si>
    <t>10.1175/BAMS-D-17-0013.1</t>
  </si>
  <si>
    <t>FL2EA</t>
  </si>
  <si>
    <t>WOS:000414026400013</t>
  </si>
  <si>
    <t>Jiménez, JA; Ochyra, R</t>
  </si>
  <si>
    <t>Jimenez, Juan A.; Ochyra, Ryszard</t>
  </si>
  <si>
    <t>Reinstatment of species rank for Didymodon gelidus (Bryophyta, Pottiaceae)</t>
  </si>
  <si>
    <t>CRYPTOGAMIE BRYOLOGIE</t>
  </si>
  <si>
    <t>Antarctica; Didymodon; distribution; endemism; Iles Kerguelen; Musci; South Georgia; Subantarctica; taxonomy</t>
  </si>
  <si>
    <t>RECORDS; ANTARCTICA; REVISION</t>
  </si>
  <si>
    <t>The Antarctic subendemic moss species Didymodon gelidus Cardot has been considered to be identical to the Holarctic D. brachyphyllus (Sull.) R. H.Zander. On the basis of a detailed analysis of the type and very many non-type specimens of the two species, the reinstatement of species rank for D. gelidus is proposed. Diagnostic characters of D. gelidus and its distinction from some closely related species, with which it may be confused, are discussed and illustrated. The species that shares all taxonomically important characters with D. gelidus is the Antarctic endemic Barbula byrdii E. B.Bartram and consequently the names of these two species are considered synonymous, the former having priority.</t>
  </si>
  <si>
    <t>[Jimenez, Juan A.] Univ Murcia, Dept Biol Vegetal Bot, Fac Biol, Campus Espinardo, E-30100 Murcia, Spain; [Ochyra, Ryszard] Polish Acad Sci, Dept Bryol, Inst Bot, Ul Lubicz 46, PL-31512 Krakow, Poland</t>
  </si>
  <si>
    <t>University of Murcia; Polish Academy of Sciences</t>
  </si>
  <si>
    <t>Jiménez, JA (corresponding author), Univ Murcia, Dept Biol Vegetal Bot, Fac Biol, Campus Espinardo, E-30100 Murcia, Spain.</t>
  </si>
  <si>
    <t>jajimene@um.es</t>
  </si>
  <si>
    <t>Jiménez, Juan Antonio/G-9430-2015</t>
  </si>
  <si>
    <t>Jiménez, Juan Antonio/0000-0002-1461-9491; Ochyra, Ryszard/0000-0002-2541-0722</t>
  </si>
  <si>
    <t>ADAC-CRYPTOGAMIE</t>
  </si>
  <si>
    <t>12 RUE DE BUFFON, 75005 PARIS, FRANCE</t>
  </si>
  <si>
    <t>1290-0796</t>
  </si>
  <si>
    <t>1776-0992</t>
  </si>
  <si>
    <t>CRYPTOGAMIE BRYOL</t>
  </si>
  <si>
    <t>Cryptogam. Bryol.</t>
  </si>
  <si>
    <t>10.7872/cryb/v38.iss4.2017.383</t>
  </si>
  <si>
    <t>FK4HM</t>
  </si>
  <si>
    <t>WOS:000413452900004</t>
  </si>
  <si>
    <t>Thiebot, JB; Arnould, JPY; Gómez-Laich, A; Ito, K; Kato, A; Mattern, T; Mitamura, H; Noda, T; Poupart, T; Quintana, F; Raclot, T; Ropert-Coudert, Y; Sala, JE; Seddon, PJ; Sutton, GJ; Yoda, K; Takahashi, A</t>
  </si>
  <si>
    <t>Thiebot, Jean-Baptiste; Arnould, John P. Y.; Gomez-Laich, Agustina; Ito, Kentaro; Kato, Akiko; Mattern, Thomas; Mitamura, Hiromichi; Noda, Takuji; Poupart, Timothee; Quintana, Flavio; Raclot, Thierry; Ropert-Coudert, Yan; Sala, Juan E.; Seddon, Philip J.; Sutton, Grace J.; Yoda, Ken; Takahashi, Akinori</t>
  </si>
  <si>
    <t>Jellyfish and other gelata as food for four penguin species - insights from predator-borne videos</t>
  </si>
  <si>
    <t>FRONTIERS IN ECOLOGY AND THE ENVIRONMENT</t>
  </si>
  <si>
    <t>SOUTHERN-OCEAN; SEABIRDS</t>
  </si>
  <si>
    <t>Jellyfish and other pelagic gelatinous organisms (gelata) are increasingly perceived as an important component of marine food webs but remain poorly understood. Their importance as prey in the oceans is extremely difficult to quantify due in part to methodological challenges in verifying predation on gelatinous structures. Miniaturized animal-borne video data loggers now enable feeding events to be monitored from a predator's perspective. We gathered a substantial video dataset (over 350 hours of exploitable footage) from 106 individuals spanning four species of non-gelatinous-specialist predators (penguins), across regions of the southern oceans (areas south of 30 degrees S). We documented nearly 200 cases of targeted attacks on carnivorous gelata by all four species, at all seven studied localities. Our findings emphasize that gelatinous organisms actually represent a widespread but currently under-represented trophic link across the southern oceans, even for endothermic predators, which have high energetic demands. The use of modern technological tools, such as animal-borne video data loggers, will help to correctly identify the ecological niche of gelata.</t>
  </si>
  <si>
    <t>[Thiebot, Jean-Baptiste; Takahashi, Akinori] Natl Inst Polar Res, Tokyo, Japan; [Arnould, John P. Y.; Poupart, Timothee; Sutton, Grace J.] Deakin Univ, Sch Life &amp; Environm Sci, Burwood Campus, Geelong, Vic, Australia; [Gomez-Laich, Agustina; Quintana, Flavio; Sala, Juan E.] Consejo Nacl Invest Cient &amp; Tecn, Inst Biol Organismos Marinos IBIOMAR, Puerto Madryn, Spain; [Ito, Kentaro; Takahashi, Akinori] Grad Univ Adv Studies, SOKENDAI, Dept Polar Sci, Tokyo, Japan; [Kato, Akiko; Poupart, Timothee; Ropert-Coudert, Yan] Univ La Rochelle, CNRS, UMR 7372, Ctr Etud Biol Chize, Villiers En Bois, France; [Mattern, Thomas; Seddon, Philip J.] Univ Otago, Dept Zool, Dunedin, New Zealand; [Mitamura, Hiromichi; Noda, Takuji] Kyoto Univ, Grad Sch Informat, Kyoto, Japan; [Raclot, Thierry] Univ Strasbourg, CNRS, Inst Pluridisciplinaire Hubert Curien, Dept Ecol Physiol &amp; Ethol,UMR7178, Strasbourg, France; [Yoda, Ken] Nagoya Univ, Grad Sch Environm Studies, Nagoya, Aichi, Japan</t>
  </si>
  <si>
    <t>Research Organization of Information &amp; Systems (ROIS); National Institute of Polar Research (NIPR) - Japan; Deakin University; Graduate University for Advanced Studies - Japan; La Rochelle Universite; Centre National de la Recherche Scientifique (CNRS); CNRS - Institute of Ecology &amp; Environment (INEE); University of Otago; Kyoto University; Centre National de la Recherche Scientifique (CNRS); CNRS - National Institute of Nuclear and Particle Physics (IN2P3); Universites de Strasbourg Etablissements Associes; Universite de Strasbourg; Nagoya University</t>
  </si>
  <si>
    <t>Thiebot, JB (corresponding author), Natl Inst Polar Res, Tokyo, Japan.</t>
  </si>
  <si>
    <t>jbthiebot@gmail.com</t>
  </si>
  <si>
    <t>Mattern, Thomas/AAJ-6325-2020; Noda, Takuji/W-1420-2019; Seddon, Philip/G-8659-2011; Kato, Akiko/W-2447-2019</t>
  </si>
  <si>
    <t>Mattern, Thomas/0000-0003-0745-8180; Seddon, Philip/0000-0001-9076-9566; Takahashi, Akinori/0000-0002-9868-0408; Kato, Akiko/0000-0002-8947-3634; Sutton, Grace/0000-0002-9798-0281; Quintana, Flavio/0000-0003-0696-2545; Ito, Kentaro/0000-0001-9254-0968</t>
  </si>
  <si>
    <t>Institut Paul-Emile Victor [1091]; Zone Atelier Antarctique (CNRS); WWF-UK; Japanese Antarctic Research Expedition; Japan Society for the Promotion of Science (JSPS); JSPS KAKENHI [JP26840153, JP24681006, JP16H06541, JP17H05983]; University of Otago; National Agency for Scientific and Technological Promotion (Argentina); Conservation Agency from Chubut Province; National Research Council of Argentina (CONICET); Parks Victoria (Australia); NIPR; Grants-in-Aid for Scientific Research [16J05814, 17H05983, 16H06541, 16H01769] Funding Source: KAKEN</t>
  </si>
  <si>
    <t>Institut Paul-Emile Victor; Zone Atelier Antarctique (CNRS); WWF-UK; Japanese Antarctic Research Expedition; Japan Society for the Promotion of Science (JSPS)(Ministry of Education, Culture, Sports, Science and Technology, Japan (MEXT)Japan Society for the Promotion of Science); JSPS KAKENHI(Ministry of Education, Culture, Sports, Science and Technology, Japan (MEXT)Japan Society for the Promotion of ScienceGrants-in-Aid for Scientific Research (KAKENHI)); University of Otago; National Agency for Scientific and Technological Promotion (Argentina)(ANPCyT); Conservation Agency from Chubut Province; National Research Council of Argentina (CONICET)(Consejo Nacional de Investigaciones Cientificas y Tecnicas (CONICET)); Parks Victoria (Australia); NIPR(National Institute of Polar Research (NIPR) - Japan); Grants-in-Aid for Scientific Research(Ministry of Education, Culture, Sports, Science and Technology, Japan (MEXT)Japan Society for the Promotion of ScienceGrants-in-Aid for Scientific Research (KAKENHI))</t>
  </si>
  <si>
    <t>Logistic and financial support were provided by: Institut Paul-Emile Victor (program #1091), Zone Atelier Antarctique (CNRS), WWF-UK, Japanese Antarctic Research Expedition, Japan Society for the Promotion of Science (JSPS) Bilateral Joint Research Project, JSPS KAKENHI Grant Numbers JP26840153, JP24681006, JP16H06541, and JP17H05983, University of Otago Research Grant, National Agency for Scientific and Technological Promotion (Argentina), Conservation Agency from Chubut Province, National Research Council of Argentina (CONICET), and Parks Victoria (Australia). We thank DJ Lindsay (Japan Agency for Marine-Earth Science and Technology), G Bigatti (IBIOMAR-CONICET), and J Monk (Deakin University) for their help in the identification of gelatinous organisms, and JDR Houghton for comments on an earlier version of this manuscript. The production of this paper was supported by an NIPR publication subsidy.</t>
  </si>
  <si>
    <t>1540-9295</t>
  </si>
  <si>
    <t>1540-9309</t>
  </si>
  <si>
    <t>FRONT ECOL ENVIRON</t>
  </si>
  <si>
    <t>Front. Ecol. Environ.</t>
  </si>
  <si>
    <t>10.1002/fee.1529</t>
  </si>
  <si>
    <t>Ecology; Environmental Sciences</t>
  </si>
  <si>
    <t>FI6VE</t>
  </si>
  <si>
    <t>WOS:000412134100017</t>
  </si>
  <si>
    <t>Zhuravleva, A; Bauch, HA; Spielhagen, RF</t>
  </si>
  <si>
    <t>Zhuravleva, Anastasia; Bauch, Henning A.; Spielhagen, Robert F.</t>
  </si>
  <si>
    <t>Atlantic water heat transfer through the Arctic Gateway (Fram Strait) during the Last Interglacial</t>
  </si>
  <si>
    <t>GLOBAL AND PLANETARY CHANGE</t>
  </si>
  <si>
    <t>MIS 5e; Last Interglacial; Holocene; Fram Strait; Atlantic water; Planktic foraminifera</t>
  </si>
  <si>
    <t>NORWEGIAN-GREENLAND SEA; EASTERN NORDIC SEAS; ICE-SHEET; HIGH-RESOLUTION; NORTH-ATLANTIC; PALEOCEANOGRAPHIC EVOLUTION; CARBONATE DISSOLUTION; CHRONOLOGY AICC2012; ANTARCTIC ICE; BARENTS SEA</t>
  </si>
  <si>
    <t>The Last Interglacial in the Arctic region is often described as a time with warmer conditions and significantly less summer sea ice than today. The role of Atlantic water (AW) as the main oceanic heat flux agent into the Arctic Ocean remains, however, unclear. Using high-resolution stable isotope and faunal records from the only deep Arctic Gateway, the Fram Strait, we note for the upper water column a diminished influence of AW and generally colder-than-Holocene surface ocean conditions. After the main Saalian deglaciation had terminated, a first intensification of northward-adverted AW happened (similar to 124 ka). However, an intermittent sea surface cooling, triggered by meltwater release at similar to 122 ka, caused a regional delay in the further development towards peak interglacial conditions. Maximum AW heat advection occurred during late MIS 5e (118.5-116 ka) and interrupted a longer-term cooling trend at the sea surface that started from about 120 ka on. Such a late occurrence of the major AW-derived near-surface warming in the Fram Strait - this is in stark contrast to an early warm peak in the Holocene - compares well in time with upstream records from the Norwegian Sea, altogether implying a coherent development of south-to-north ocean heat transfer through the eastern Nordic Seas and into the high Arctic during the Last Interglacial.</t>
  </si>
  <si>
    <t>[Zhuravleva, Anastasia] GEOMAR Helmholtz Ctr Ocean Res, Acad Sci Humanities &amp; Literature, Wischhofstr 1-3, D-24148 Kiel, Germany; [Bauch, Henning A.] GEOMAR Helmholtz Ctr Ocean Res, Helmholtz Ctr Polar &amp; Marine Res, Alfred Wegener Inst, Wischhofstr 1-3, D-24148 Kiel, Germany; [Spielhagen, Robert F.] GEOMAR Helmholtz Ctr Ocean Res, Wischhofstr 1-3, D-24148 Kiel, Germany</t>
  </si>
  <si>
    <t>Helmholtz Association; GEOMAR Helmholtz Center for Ocean Research Kiel; Helmholtz Association; GEOMAR Helmholtz Center for Ocean Research Kiel; Alfred Wegener Institute, Helmholtz Centre for Polar &amp; Marine Research; Helmholtz Association; GEOMAR Helmholtz Center for Ocean Research Kiel</t>
  </si>
  <si>
    <t>Zhuravleva, A (corresponding author), GEOMAR Helmholtz Ctr Ocean Res, Acad Sci Humanities &amp; Literature, Wischhofstr 1-3, D-24148 Kiel, Germany.</t>
  </si>
  <si>
    <t>azhuravleva@geomar.de</t>
  </si>
  <si>
    <t>Spielhagen, Robert F./HMD-2002-2023; Zhuravleva, Anastasia/R-7573-2016</t>
  </si>
  <si>
    <t>German Federal Ministry of Education and Research (BMBF) [03G0833C]; German Research Foundation (DFG) [BA1367/12-1]</t>
  </si>
  <si>
    <t>German Federal Ministry of Education and Research (BMBF)(Federal Ministry of Education &amp; Research (BMBF)); German Research Foundation (DFG)(German Research Foundation (DFG))</t>
  </si>
  <si>
    <t>This study used samples and data provided by the Ocean Drilling Program. We thank T. Snow and A. Shevenell for providing insight into some core material and unpublished isotopic data from ODP Site 986. W. Hale is thanked for his help during sampling at the IODP Bremen Core Repository, S. Fessler and C. Not for performing measurements on stable isotopes. We also thank two anonymous referees for their constructive comments, which helped us to improve the manuscript. This work was supported by the German Federal Ministry of Education and Research (BMBF), project Laptev-Sea: TRANSDRIFT (BMBF grant 03G0833C) and the German Research Foundation (DFG grant BA1367/12-1).</t>
  </si>
  <si>
    <t>0921-8181</t>
  </si>
  <si>
    <t>1872-6364</t>
  </si>
  <si>
    <t>GLOBAL PLANET CHANGE</t>
  </si>
  <si>
    <t>Glob. Planet. Change</t>
  </si>
  <si>
    <t>10.1016/j.gloplacha.2017.09.005</t>
  </si>
  <si>
    <t>FK6KH</t>
  </si>
  <si>
    <t>WOS:000413612100017</t>
  </si>
  <si>
    <t>Zhou, MY; Zhang, XY; Yang, XD; Zhang, YJ; He, HL; Ning, DL</t>
  </si>
  <si>
    <t>Zhou, Ming-Yang; Zhang, Xi-Ying; Yang, Xiao-Deng; Zhang, Yan-Jiao; He, Hai-Lun; Ning, Daling</t>
  </si>
  <si>
    <t>Flavobacterium ardleyense sp nov., isolated from Antarctic soil</t>
  </si>
  <si>
    <t>INTERNATIONAL JOURNAL OF SYSTEMATIC AND EVOLUTIONARY MICROBIOLOGY</t>
  </si>
  <si>
    <t>The genus Flavobacterium; Polyphasic taxonomy; Antarctic soil; sp nov.</t>
  </si>
  <si>
    <t>FRESH-WATER; EMENDED DESCRIPTION; MICROBIAL MATS; MARINE SEDIMENT; BACTERIUM; LAKES; SEQUENCES; RESERVOIR; FAMILY; TREES</t>
  </si>
  <si>
    <t>A Gram-stain-negative, aerobic, yellow-pigmented, non-flagellated, non-gliding, rod-like, oxidase- and catalase-positive bacterium, designated A2-1(T), was isolated from soil on Ardley Island, South Shetland Islands, Antarctica. Strain A2-1(T) grew at 4-22 degrees C (optimum, 10 degrees C), at pH 6.0- 8.0 (optimum, pH 6.5) and with 0-1.5% NaCl (optimum, 0.5 %), but could not produce flexirubin-type pigments. 16S rRNA gene sequence analysis showed that the isolates belonged to the genus Flavobacterium. Strain A2-1(T) had the highest 16S rRNA gene sequence similarity to Flavobacterium cucumis, F. ahnfeltiae and F. cheniae with 95.7, 95.6 and 95.4 %, respectively. The strain A2-1(T) consisted of a clade with F. cucumis and F. cheniae and simultaneously formed a distinct phyletic lineage in the neighbour-joining phylogenetic tree. Polar lipids of the strain included phosphatidylethanolamine (PE), four unidentified aminolipids and one unidentified lipid. The strain A2-1(T) contained anteiso-C-15:0 (20.2 %), iso-C-15:0 (16.2 %) and C-15:1 G (11.0 %) as the main fatty acids and the only respiratory quinone was menaquinone MK-6. The genomic DNA G+C content was 34.0 mol%. The polyphasic taxonomic study revealed that the strain A2-1(T) belongs to a novel species within the genus Flavobacterium and the name Flavobacterium ardleyense sp. nov. is proposed. The type strain is A2-1(T) (=CCTCC AB 2017157(T)=KCTC 52644(T)).</t>
  </si>
  <si>
    <t>[Zhou, Ming-Yang; Yang, Xiao-Deng] Qilu Univ Technol, Sch Chem &amp; Pharmaceut Engn, Shandong Prov Key Lab Fine Chem, Jinan 250353, Shandong, Peoples R China; [Zhang, Xi-Ying] Shandong Univ, Marine Biotechnol Res Ctr, State Key Lab Microbial Technol, Jinan 250100, Shandong, Peoples R China; [Zhang, Yan-Jiao] Qingdao Agr Univ, Sch Life Sci, Shandong Prov Key Lab Appl Mycol, Qingdao 266109, Peoples R China; [He, Hai-Lun] Cent S Univ, State Key Lab Med Genet, Sch Life Sci, Changsha 410013, Hunan, Peoples R China; [Ning, Daling] Univ Oklahoma, Inst Environm Genom, Dept Microbiol &amp; Plant Biol, Norman, OK 73019 USA</t>
  </si>
  <si>
    <t>Qilu University of Technology; Shandong University; Qingdao Agricultural University; Central South University; University of Oklahoma System; University of Oklahoma - Norman</t>
  </si>
  <si>
    <t>Zhou, MY (corresponding author), Qilu Univ Technol, Sch Chem &amp; Pharmaceut Engn, Shandong Prov Key Lab Fine Chem, Jinan 250353, Shandong, Peoples R China.</t>
  </si>
  <si>
    <t>myzhou@qlu.edu.cn</t>
  </si>
  <si>
    <t>Ning, Daliang/AAT-2601-2021; Zhou, Mingyang/IUP-4675-2023; Zhang, Xi/HJH-1211-2023</t>
  </si>
  <si>
    <t>National Natural Science Foundation of China [31400002, 31670063, 31300005, 31370104, 21306092]; Key Research and Development Program of Shandong Province, China [2015GSF121043]</t>
  </si>
  <si>
    <t>National Natural Science Foundation of China(National Natural Science Foundation of China (NSFC)); Key Research and Development Program of Shandong Province, China</t>
  </si>
  <si>
    <t>This work was supported by the National Natural Science Foundation of China (31400002, 31670063, 31300005, 31370104, 21306092) and the Key Research and Development Program of Shandong Province, China (2015GSF121043).</t>
  </si>
  <si>
    <t>MICROBIOLOGY SOC</t>
  </si>
  <si>
    <t>CHARLES DARWIN HOUSE, 12 ROGER ST, LONDON WC1N 2JU, ERKS, ENGLAND</t>
  </si>
  <si>
    <t>1466-5026</t>
  </si>
  <si>
    <t>1466-5034</t>
  </si>
  <si>
    <t>INT J SYST EVOL MICR</t>
  </si>
  <si>
    <t>Int. J. Syst. Evol. Microbiol.</t>
  </si>
  <si>
    <t>10.1099/ijsem.0.002241</t>
  </si>
  <si>
    <t>FK4RR</t>
  </si>
  <si>
    <t>WOS:000413484800048</t>
  </si>
  <si>
    <t>Sinha, RK; Krishnan, KP; Singh, A; Thomas, FA; Jain, A; Kurian, PJ</t>
  </si>
  <si>
    <t>Sinha, Rupesh Kumar; Krishnan, K. P.; Singh, Archana; Thomas, Femi Anna; Jain, Anand; Kurian, P. John</t>
  </si>
  <si>
    <t>Alteromonas pelagimontana sp nov., a marine exopolysaccharide-producing bacterium isolated from the Southwest Indian Ridge</t>
  </si>
  <si>
    <t>Alteromonas; exopolysaccharide; deep sea sediment; Southwest Indian Ridge</t>
  </si>
  <si>
    <t>MULTIPLE SEQUENCE ALIGNMENT; INTERTIDAL SEDIMENT; EMENDED DESCRIPTION; GENUS ALTEROMONAS; SEA; PURIFICATION; SYSTEMATICS; EUBACTERIA; LIPIDS; KOREA</t>
  </si>
  <si>
    <t>A novel exopolysaccharide-producing strain, designated as 5.12(T), was isolated from a sediment sample from the Southwest Indian Ridge, Indian Ocean. The strain was Gram-stain-negative, motile, strictly aerobic, and oxidase-and catalase-positive. It grew optimally at 35 degrees C, at pH 6.0 and in the presence of 3.5% (w/v) NaCl. Its major isoprenoid quinone was ubiquinone-8 (Q-8) and summed feature 3 (comprising C-16 : 1 omega 6c and/ or C-16 : 1 omega 7c), C-16 : 0 and C-18 : 1 omega 7c were the major cellular fatty acids. The DNA G+C content was 46.1 mol%. 16S rRNA gene sequence analysis suggested that strain 5.12(T) is a member of the genus Alteromonas. Strain 5.12(T) exhibited close 16S rRNA gene sequence similarity to Alteromonas lipolytica JW12(T) (96.1 %), Alteromonas hispanica F-32(T) (95.9 %), Alteromonas confluentis DSSK2-12(T) (95.9 %), Alteromonas litorea TF-22(T) (95.6 %) and Alteromonas mediterranea DET (95.5 %). Strain 5.12(T) contained phosphatidylethanolamine and phosphatidylglycerol as the major polar lipids. Owing to significant differences in the 16S rRNA gene sequences, as well as the phenotypic and chemotaxonomic characteristics, the novel isolate described here merits classification as a representative of a novel species of the genus Alteromonas, for which the name Alteromonas pelagimontana sp. nov. is proposed. The type strain of this species is 5.12(T) (LMG 29661(T)= MCC 3250(T)).</t>
  </si>
  <si>
    <t>[Sinha, Rupesh Kumar; Krishnan, K. P.; Singh, Archana; Thomas, Femi Anna; Jain, Anand; Kurian, P. John] Natl Ctr Antarctic &amp; Ocean Res, Vasco Da Gama, Goa, India</t>
  </si>
  <si>
    <t>Ministry of Earth Sciences (MoES) - India; National Centre for Polar and Ocean Research (NCPOR)</t>
  </si>
  <si>
    <t>Krishnan, KP (corresponding author), Natl Ctr Antarctic &amp; Ocean Res, Vasco Da Gama, Goa, India.</t>
  </si>
  <si>
    <t>kpkrishnan@gmail.com</t>
  </si>
  <si>
    <t>P, Krishnan K/ABF-8783-2020; Sinha, Rupesh/ABB-8319-2020; Singh, Archana/ABB-2205-2020</t>
  </si>
  <si>
    <t>Singh, Archana/0000-0002-4878-8429; Thomas, Femi/0000-0002-4151-7757; Sinha, Rupesh Kumar/0000-0002-2080-0975; jain, anand/0000-0002-2935-5441</t>
  </si>
  <si>
    <t>Ministry of Earth Sciences, Government of India</t>
  </si>
  <si>
    <t>Ministry of Earth Sciences, Government of India(Ministry of Earth Science (MoES), Government of India)</t>
  </si>
  <si>
    <t>This work was funded by Ministry of Earth Sciences, Government of India.</t>
  </si>
  <si>
    <t>10.1099/ijsem.0.002245</t>
  </si>
  <si>
    <t>WOS:000413484800054</t>
  </si>
  <si>
    <t>Elewa, AMT</t>
  </si>
  <si>
    <t>Elewa, Ashraf M. T.</t>
  </si>
  <si>
    <t>Ostracod provincialism and migration as a response to movements of Earth's plates: Cretaceous-Paleogene ostracods of West Africa, North Africa and the Middle East</t>
  </si>
  <si>
    <t>JOURNAL OF AFRICAN EARTH SCIENCES</t>
  </si>
  <si>
    <t>Ostracod provincialism and migration; Tectonics; Cretaceous-paleogene; West Africa; North Africa; Middle East</t>
  </si>
  <si>
    <t>EOCENE OSTRACODA; RED-SEA; PALEOBIOGEOGRAPHY; EVOLUTION; BIOSTRATIGRAPHY; GONDWANA; ASSOCIATIONS; CHHINDWARA; DISTRICT; JHILMILI</t>
  </si>
  <si>
    <t>This paper documents the Cretaceous Paleogene ostracods response as the continental plates tend to show divergence. For example, in the intervals from the Early to Late Cretaceous when the South American plate tended to exhibit divergent movement westward from the African plate, the migration of ostracods show westward trend from Northeast Africa to West Africa; whereas, the divergence of the Indian and the Australian plates as well as the Antarctic plate from the African and the Eurasian plates, and Arabia is accompanied with ostracod migration southward. Another example from the Maastrichtian-Eocene ostracods of West Africa, where ostracods exhibit east-west migration (despite the migration of epineritic ostracods in both directions; east-west and vice-versa) towards the North American and South American plates. These trends of migration towards the deep oceans (Atlantic and Indian oceans of present time) indicate the tendency of ostracods of these geologic times towards endemism in the deep oceans resulted from seafloor spreading during the divergence of the continental plates. On the other hand, the paleoenvironmental changes should also have significant effect on these trends of migration. (C) 2017 Elsevier Ltd. All rights reserved.</t>
  </si>
  <si>
    <t>[Elewa, Ashraf M. T.] Menia Univ, Fac Sci, Menia 61519, Egypt</t>
  </si>
  <si>
    <t>Egyptian Knowledge Bank (EKB); Minia University</t>
  </si>
  <si>
    <t>Elewa, AMT (corresponding author), Menia Univ, Fac Sci, Menia 61519, Egypt.</t>
  </si>
  <si>
    <t>ashrafelewah@yahoo.com</t>
  </si>
  <si>
    <t>Elewa, Ashraf M. T./H-3100-2012; Elewa, Ashraf/AAE-4652-2019</t>
  </si>
  <si>
    <t>Elewa, Ashraf/0000-0003-1131-8850</t>
  </si>
  <si>
    <t>PERGAMON-ELSEVIER SCIENCE LTD</t>
  </si>
  <si>
    <t>THE BOULEVARD, LANGFORD LANE, KIDLINGTON, OXFORD OX5 1GB, ENGLAND</t>
  </si>
  <si>
    <t>1464-343X</t>
  </si>
  <si>
    <t>1879-1956</t>
  </si>
  <si>
    <t>J AFR EARTH SCI</t>
  </si>
  <si>
    <t>J. Afr. Earth Sci.</t>
  </si>
  <si>
    <t>10.1016/j.jafrearsci.2017.06.022</t>
  </si>
  <si>
    <t>FJ3CV</t>
  </si>
  <si>
    <t>WOS:000412609000009</t>
  </si>
  <si>
    <t>Jain, A; Krishnan, KP</t>
  </si>
  <si>
    <t>Jain, Anand; Krishnan, Kottekkatu P.</t>
  </si>
  <si>
    <t>Differences in free-living and particle-associated bacterial communities and their spatial variation in Kongsfjorden, Arctic</t>
  </si>
  <si>
    <t>JOURNAL OF BASIC MICROBIOLOGY</t>
  </si>
  <si>
    <t>bacterial community; free-living; Kongsfjorden; particle-associated; V3-16S rRNA amplicon</t>
  </si>
  <si>
    <t>16S RIBOSOMAL-RNA; EXTRACELLULAR ENZYME-ACTIVITY; PHYTOPLANKTON BLOOM; BACTERIOPLANKTON; DIVERSITY; POPULATIONS; WATERS; OCEAN; ECOSYSTEM; MICROBES</t>
  </si>
  <si>
    <t>High throughput V3-16S rRNA amplicon sequencing data was used for evaluating differences between free-living (FL, &lt;1.2-0.2m) and particle-associated (PA, &gt;1.2m) bacterial communities, and their spatial variation between inner fjord (IF) and outer fjord (OF) of Kongsfjorden. A total of 4,454,142 high quality sequences obtained clustered into 32,058 OTUs. A majority of these sequences were affiliated with Proteobacteria (59.8%), followed by Bacteroidetes (29.02%), Firmicutes (5.9%), Actinobacteria (2.84%), Cyanobacteria (1.04%), and others (1.4%). The highest bacterial diversity was recorded in the inner fjord free-living (IF_FL) fraction whilst the lowest was observed in the outer fjord free-living (OF_FL) fraction. There was a clear spatial variation among FL bacterial communities, while PA communities remained similar at both sampling locations. The free-living bacterial community differs from particle-associated community and had relatively higher abundance (&gt;4-fold) of Alteromonas and Pseudoalteromonas, while PA community was relatively more enriched with Balneatrix, Ulvibacter, Formosa, Candidatus Planktomarina, Sulfitobacter, Loktanella, members of SAR116, and Acidimicrobiales. In addition, two major bacterial taxa, Polaribacter and SAR11, co-occurred in both FL and PA fractions with varied proportions in IF and OF. These results suggest co-occurrence of PA specialist as well as generalist bacterial groups in Kongsfjorden. Further, high bacterial diversity in the IF_FL fraction indicates possible role of glacial inputs in modulating diversity of free-living bacterial community in Kongsfjorden.</t>
  </si>
  <si>
    <t>[Jain, Anand; Krishnan, Kottekkatu P.] Natl Ctr Antarctic &amp; Ocean Res, Cryobiol Lab, Vasco Da Gama 403804, Goa, India</t>
  </si>
  <si>
    <t>Jain, A (corresponding author), Natl Ctr Antarctic &amp; Ocean Res, Cryobiol Lab, Vasco Da Gama 403804, Goa, India.</t>
  </si>
  <si>
    <t>microanand2003@gmail.com</t>
  </si>
  <si>
    <t>P, Krishnan K/ABF-8783-2020</t>
  </si>
  <si>
    <t>jain, anand/0000-0002-2935-5441</t>
  </si>
  <si>
    <t>0233-111X</t>
  </si>
  <si>
    <t>1521-4028</t>
  </si>
  <si>
    <t>J BASIC MICROB</t>
  </si>
  <si>
    <t>J. Basic Microbiol.</t>
  </si>
  <si>
    <t>10.1002/jobm.201700216</t>
  </si>
  <si>
    <t>FJ2JL</t>
  </si>
  <si>
    <t>WOS:000412552300003</t>
  </si>
  <si>
    <t>Yang, YP; Xiang, R; Liu, JG; Fu, SY; Zhou, LP; Du, SH; Lü, HH</t>
  </si>
  <si>
    <t>Yang, Yiping; Xiang, Rong; Liu, Jianguo; Fu, Shaoying; Zhou, Liping; Du, Shuhuan; Lu, Honghong</t>
  </si>
  <si>
    <t>Changes in intermediate water conditions in the northern South China Sea using Globorotalia inflata over the last 20 ka</t>
  </si>
  <si>
    <t>JOURNAL OF QUATERNARY SCIENCE</t>
  </si>
  <si>
    <t>Antarctic Intermediate Water; Globorotalia inflata; North Pacific Intermediate Water; paleoceanography; South China Sea</t>
  </si>
  <si>
    <t>ATMOSPHERIC CO2 RISE; PACIFIC-OCEAN; PLANKTONIC-FORAMINIFERA; NORTHWESTERN PACIFIC; GLACIAL MAXIMUM; THERMOHALINE CIRCULATION; ISOTOPIC COMPOSITION; MONSOON CLIMATE; WESTERN PACIFIC; SURFACE OCEAN</t>
  </si>
  <si>
    <t>Intermediate circulation is one of the crucial controls of thermohaline changes in seawater. Due to the lack of data for some of the more significant indicators, there has been little research into past intermediate waters in the South China Sea (SCS). In particular, little is known of the thermohaline properties of intermediate water. Here, we present paired Mg/Ca and delta O-18 data for the planktonic foraminifera Globorotalia inflata from core GHE27L in the northern SCS; these data provide records of temperature and residual delta O-18(seawater) (delta O-18(residual), being used as a proxy for salinity) to tentatively investigate changes in the intermediate water of the SCS over the last 20 ka. Our results show that G. inflata in the SCS grew principally within the 200-450m water depth interval. Thermohaline changes recorded by G. inflata indicate warm and relatively freshening water during the Last Glacial Maximum (LGM, 20-17.7 ka BP), changing to warm and saline waters between 17.7 and 13.6 ka BP. In general, waters during the 13.6-8.3 ka BP period were characterized by high temperatures and salinity, with obvious millennial-scale fluctuations, after which, during the Holocene, they became cold and fresh. We suggest that the temperature and salinity of the intermediate water of the SCS recorded by G. inflata in core GHE27L were possibly associated with a switch in intermediate water masses. During the LGM, the intermediate water in the northern SCS was mainly impacted by North Pacific Intermediate Water (NPIW), but that subsequently the influence of Antarctic Intermediate Water strengthened during the last deglaciation and Pre-Boreal period (17.7-8.3 ka BP). After this period, NPIW was the principal control of the intermediate water of the SCS again. Copyright (C) 2017 John Wiley &amp; Sons, Ltd.</t>
  </si>
  <si>
    <t>[Yang, Yiping; Xiang, Rong; Liu, Jianguo; Du, Shuhuan; Lu, Honghong] Chinese Acad Sci, South China Sea Inst Oceanol, CAS Key Lab Ocean &amp; Marginal Sea Geol, Guangzhou, Guangdong, Peoples R China; [Yang, Yiping; Lu, Honghong] Univ Chinese Acad Sci, Beijing, Peoples R China; [Fu, Shaoying] Guangzhou Marine Geol Survey, Guangzhou, Guangdong, Peoples R China; [Zhou, Liping] Peking Univ, Coll Urban &amp; Environm Sci, MOE Key Lab Earth Surface Proc, Beijing, Peoples R China</t>
  </si>
  <si>
    <t>Chinese Academy of Sciences; South China Sea Institute of Oceanology, CAS; Chinese Academy of Sciences; University of Chinese Academy of Sciences, CAS; China Geological Survey; Guangzhou Marine Geological Survey; Peking University</t>
  </si>
  <si>
    <t>Xiang, R (corresponding author), Chinese Acad Sci, South China Sea Inst Oceanol, CAS Key Lab Ocean &amp; Marginal Sea Geol, Guangzhou, Guangdong, Peoples R China.</t>
  </si>
  <si>
    <t>rxiang@scsio.ac.cn</t>
  </si>
  <si>
    <t>Guo, yongqing/KDS-5864-2024; Li, Huizhen/JPX-2563-2023</t>
  </si>
  <si>
    <t>Zhou, Liping/0000-0002-3332-2343</t>
  </si>
  <si>
    <t>National Natural Science Foundation of China [91228207]; Strategic Priority Research Program of the Chinese Academy of Sciences [XDA11030104]; National Key Basic Research Program of China [2013CB956102]</t>
  </si>
  <si>
    <t>National Natural Science Foundation of China(National Natural Science Foundation of China (NSFC)); Strategic Priority Research Program of the Chinese Academy of Sciences(Chinese Academy of Sciences); National Key Basic Research Program of China(National Basic Research Program of China)</t>
  </si>
  <si>
    <t>Data associated with this paper are available in the electronic archives of the World Data Center for Paleoclimatology (https://www.ncdc.noaa.gov/data-access/paleoclimatology-data/datasets/paleoceanography). Financial support for this research was provided by the National Natural Science Foundation of China (grant no. 91228207), the Strategic Priority Research Program of the Chinese Academy of Sciences (grant no. XDA11030104) and the National Key Basic Research Program of China (grant no. 2013CB956102). We also thank the two anonymous reviewers and the editor for their constructive comments.</t>
  </si>
  <si>
    <t>0267-8179</t>
  </si>
  <si>
    <t>1099-1417</t>
  </si>
  <si>
    <t>J QUATERNARY SCI</t>
  </si>
  <si>
    <t>J. Quat. Sci.</t>
  </si>
  <si>
    <t>10.1002/jqs.2974</t>
  </si>
  <si>
    <t>FI6MD</t>
  </si>
  <si>
    <t>WOS:000412109500011</t>
  </si>
  <si>
    <t>Richardson, BJ</t>
  </si>
  <si>
    <t>Richardson, Benjamin J.</t>
  </si>
  <si>
    <t>Divesting from Climate Change: The Road to Influence</t>
  </si>
  <si>
    <t>LAW &amp; POLICY</t>
  </si>
  <si>
    <t>SOCIALLY RESPONSIBLE INVESTMENT; FINANCIAL-MARKETS; SOUTH-AFRICA; PERFORMANCE; DIVESTMENT</t>
  </si>
  <si>
    <t>Is fossil fuels divestment likely to achieve its aims? This article evaluates the rationales for divestment in terms of their capacity to give the campaign influence. It focuses on the direct effects of divestment on financial actors because divestment is a specific means of exerting influence outside of conventional political channels. In seeking to end fossil fuel industries in order to halt climate change, the campaign deploys a variety of arguments to win support and wield influence, namely, the legality of divestment and, indeed, the emerging duty to divest; investors' moral responsibility to avoid complicity in the fossil fuel economy; investors' moral responsibility to use their leverage against climate polluters; and the power of financial sanctions to create a business case for abandoning fossil fuels. Although in combination they may be effective, each of these asserted rationales has some limitations that may diminish the influence of the divestment movement. Moreover, the movement does not engage sufficiently with the systemic qualities of finance capitalism that must also be reckoned with in order to address broader patterns of environmental unsustainability. Although the divestment movement aspires to ultimately change government policies on climate change, it may achieve greater influence by also seeking better government regulation of the financial economy.</t>
  </si>
  <si>
    <t>[Richardson, Benjamin J.] Univ Tasmania, Environm Law, Hobart, Tas, Australia</t>
  </si>
  <si>
    <t>Richardson, BJ (corresponding author), Univ Tasmania, Fac Law, Inst Marine &amp; Antarctic Studies, Private Bag 89, Hobart, Tas 7001, Australia.</t>
  </si>
  <si>
    <t>B.J.Richardson@utas.edu.au</t>
  </si>
  <si>
    <t>Richardson, Benjamin/J-7340-2014</t>
  </si>
  <si>
    <t>Richardson, Benjamin/0000-0002-3249-5648</t>
  </si>
  <si>
    <t>0265-8240</t>
  </si>
  <si>
    <t>1467-9930</t>
  </si>
  <si>
    <t>LAW POLICY</t>
  </si>
  <si>
    <t>Law Policy</t>
  </si>
  <si>
    <t>10.1111/lapo.12081</t>
  </si>
  <si>
    <t>Law</t>
  </si>
  <si>
    <t>Social Science Citation Index (SSCI)</t>
  </si>
  <si>
    <t>Government &amp; Law</t>
  </si>
  <si>
    <t>FK3SX</t>
  </si>
  <si>
    <t>WOS:000413407500002</t>
  </si>
  <si>
    <t>Zhao, B; Liao, L; Yu, Y; Chen, B</t>
  </si>
  <si>
    <t>Zhao, Bin; Liao, Li; Yu, Yong; Chen, Bo</t>
  </si>
  <si>
    <t>Complete genome of Brachybacterium sp P6-10-X1 isolated from deep-sea sediments of the Southern Ocean</t>
  </si>
  <si>
    <t>MARINE GENOMICS</t>
  </si>
  <si>
    <t>Brachybacterium; Southern Ocean; Complete genome; Natural product</t>
  </si>
  <si>
    <t>SP NOV.; GENES</t>
  </si>
  <si>
    <t>Brachybacterium sp. P6-10-X1 is a rare actinobacterium isolated from deep-sea sediments in the Southern Ocean. To explore the potential of natural product biosynthesis, the genome was completely sequenced. It contained a circular chromosome of 4,385,603 bp with an average GC content of 70.9%. Genome mining revealed four biosynthetic gene clusters potentially producing new natural products. (C) 2017 Elsevier B.V. All rights reserved.</t>
  </si>
  <si>
    <t>[Zhao, Bin; Chen, Bo] East China Univ Sci &amp; Technol, Sch Biotechnol, Shanghai 200237, Peoples R China; [Zhao, Bin; Liao, Li; Yu, Yong; Chen, Bo] Polar Res Inst China, SOA Key Lab Polar Sci, Shanghai 200136, Peoples R China</t>
  </si>
  <si>
    <t>East China University of Science &amp; Technology; Polar Research Institute of China</t>
  </si>
  <si>
    <t>Chen, B (corresponding author), East China Univ Sci &amp; Technol, Sch Biotechnol, Shanghai 200237, Peoples R China.;Liao, L; Chen, B (corresponding author), Polar Res Inst China, SOA Key Lab Polar Sci, Shanghai 200136, Peoples R China.</t>
  </si>
  <si>
    <t>liaoli@pric.org.cn; chenbo@pric.org.cn</t>
  </si>
  <si>
    <t>National Natural Science Foundation of China [41406181, 41276175]; Chinese Polar Environment Comprehensive Investigation and Assessment Program [CHINARE04-03, CHINARE01-06]</t>
  </si>
  <si>
    <t>National Natural Science Foundation of China(National Natural Science Foundation of China (NSFC)); Chinese Polar Environment Comprehensive Investigation and Assessment Program</t>
  </si>
  <si>
    <t>This work was supported by National Natural Science Foundation of China (Grant No. 41406181 and 41276175), and Chinese Polar Environment Comprehensive Investigation and Assessment Program (Grant No. CHINARE04-03 and CHINARE01-06). We appreciate the assistance of the Chinese Arctic and Antarctic Administration (CAA) for organization of the 29th Chinese National Antarctic Research Expedition in 2013.</t>
  </si>
  <si>
    <t>1874-7787</t>
  </si>
  <si>
    <t>1876-7478</t>
  </si>
  <si>
    <t>MAR GENOM</t>
  </si>
  <si>
    <t>Mar. Genom.</t>
  </si>
  <si>
    <t>10.1016/j.margen.2017.04.001</t>
  </si>
  <si>
    <t>Genetics &amp; Heredity; Marine &amp; Freshwater Biology</t>
  </si>
  <si>
    <t>FJ7RY</t>
  </si>
  <si>
    <t>WOS:000412957700004</t>
  </si>
  <si>
    <t>Pinto, PIS; Thorne, MAS; Power, DM</t>
  </si>
  <si>
    <t>Pinto, Patricia I. S.; Thorne, Michael A. S.; Power, Deborah M.</t>
  </si>
  <si>
    <t>European sea bass (Dicentrarchus labrax) skin and scale transcriptomes</t>
  </si>
  <si>
    <t>RNA-seq; Teleost fish; Fish scale; Integument</t>
  </si>
  <si>
    <t>REGENERATION; EXPRESSION; FISH</t>
  </si>
  <si>
    <t>Fish skin and their appendages, the mineralized scales, are important organs for protection and homeostasis, but little is known about their specific transcript or protein repertoire. This study used RNA-seq to generate transcriptome data for skin and scales in the European sea bass (Dicentrarchus labrax), an important species for fisheries and aquaculture. RNA was extracted from the pectoral skin and from scales collected above the midline of immature one-year old sea bass. More than 20 x 10(6) reads were obtained for each tissue, using RNA-seq Illumina technology. De novo assembly resulted in 31,842 transcripts (of 500 base pairs or greater) for skin and 20,423 transcripts for scale. This dataset provides a useful resource for both aquaculture and fish conservation studies and for research into the physiology and molecular biology of fish skin and scales. (C) 2017 Elsevier B.V. All rights reserved.</t>
  </si>
  <si>
    <t>[Pinto, Patricia I. S.; Power, Deborah M.] Univ Algarve, CCMAR Ctr Marine Sci, Campus Gambelas, P-8005139 Faro, Portugal; [Thorne, Michael A. S.] British Antarctic Survey, Madingley Rd, Cambridge CB3 0ET, England</t>
  </si>
  <si>
    <t>Universidade do Algarve; UK Research &amp; Innovation (UKRI); Natural Environment Research Council (NERC); NERC British Antarctic Survey</t>
  </si>
  <si>
    <t>Pinto, PIS (corresponding author), Univ Algarve, Ctr Ciencias Mar CCMAR, Lab Comparat Endocrinol &amp; Integrat Biol CEIB, Campus Gambelas, P-8005139 Faro, Portugal.</t>
  </si>
  <si>
    <t>ppinto@ualg.pt; mior@bas.ac.uk; dpower@ualg.pt</t>
  </si>
  <si>
    <t>; Pinto, Patricia IS/M-3817-2013</t>
  </si>
  <si>
    <t>Thorne, Michael/0000-0001-7759-612X; Pinto, Patricia IS/0000-0001-7854-3898</t>
  </si>
  <si>
    <t>Foundation for Science and Technology of Portugal (FCT) [PTDC/AAG-GLO/4003/2012, CCMAR/Multi/04326/2013, SFRH/BPD/84033/2012]; Fundação para a Ciência e a Tecnologia [PTDC/AAG-GLO/4003/2012] Funding Source: FCT; NERC [bas0100036] Funding Source: UKRI; Natural Environment Research Council [bas0100036] Funding Source: researchfish</t>
  </si>
  <si>
    <t>Foundation for Science and Technology of Portugal (FCT)(Fundacao para a Ciencia e a Tecnologia (FCT)); Fundação para a Ciência e a Tecnologia(Fundacao para a Ciencia e a Tecnologia (FCT)); NERC(UK Research &amp; Innovation (UKRI)Natural Environment Research Council (NERC)); Natural Environment Research Council(UK Research &amp; Innovation (UKRI)Natural Environment Research Council (NERC))</t>
  </si>
  <si>
    <t>The research leading to these results was funded by the Foundation for Science and Technology of Portugal (FCT), through projects PTDC/AAG-GLO/4003/2012 and CCMAR/Multi/04326/2013 and fellowship to PIP (SFRH/BPD/84033/2012).</t>
  </si>
  <si>
    <t>10.1016/j.margen.2017.05.002</t>
  </si>
  <si>
    <t>Green Submitted</t>
  </si>
  <si>
    <t>WOS:000412957700006</t>
  </si>
  <si>
    <t>Matos, L; Wienberg, C; Titschack, J; Schmiedl, G; Frank, N; Abrantes, F; Cunha, MR; Hebbeln, D</t>
  </si>
  <si>
    <t>Matos, Lelia; Wienberg, Claudia; Titschack, Juergen; Schmiedl, Gerhard; Frank, Norbert; Abrantes, Fatima; Cunha, Marina R.; Hebbeln, Dierk</t>
  </si>
  <si>
    <t>Coral mound development at the Campeche cold-water coral province, southern Gulf of Mexico: Implications of Antarctic Intermediate Water increased influence during interglacials</t>
  </si>
  <si>
    <t>MARINE GEOLOGY</t>
  </si>
  <si>
    <t>Campeche cold-water coral province; Gulf of Mexico; Antarctic Intermediate Water; Uranium-series dating; Coral mound aggradation; Benthic foraminifera</t>
  </si>
  <si>
    <t>RECENT BENTHIC FORAMINIFERA; COVERED CARBONATE MOUND; DEEP-SEA CORALS; NORTHEAST ATLANTIC; GROWTH HISTORY; BOUNDARY-CONDITIONS; PORCUPINE SEABIGHT; CONTINENTAL-MARGIN; LOPHELIA-PERTUSA; VIOSCA KNOLL</t>
  </si>
  <si>
    <t>Coral mounds formed by framework-forming scleractinian cold-water corals (CWC; mainly Lopheliapertusa) are a common seabed feature along the Atlantic continental margins. While coral mound areas in the NE Atlantic reveal a climate-dependent temporal pattern of CWC occurrence and mound aggradation that is related to distinct environmental conditions (e.g., productivity, water mass properties, hydrodynamics), the long-term development of CWC and coral mounds at the western side of the Atlantic is less well documented and understood. Here, we present a 260-kyr coral record from the recently described Campeche CWC province in the southern Gulf of Mexico, combined with a reconstruction of the paleo-environmental conditions for the last 140 kyr. Uranium-series dating of 26 coral samples reveals that CWC growth predominantly coincided with interglacial periods. Highest vertical mound aggradation rates of 34 to 40 cm kyr(-1) occurred during the Holocene. The reduced occurrence of CWC and the concurrent almost complete stagnation in mound aggradation during glacial periods could be linked to a diminished presence of Antarctic Intermediate Water at those intermediate depths in which the coral mounds occur. Such setting would have caused a less dynamic bottom current regime resulting in a reduced food supply to the CWC along the Campeche Bank.</t>
  </si>
  <si>
    <t>[Matos, Lelia; Wienberg, Claudia; Titschack, Juergen; Hebbeln, Dierk] Univ Bremen, Ctr Marine Environm Sci MARUM, Leobener Str 8, D-28359 Bremen, Germany; [Matos, Lelia; Abrantes, Fatima] Portuguese Inst Ocean &amp; Atmosphere IPMA, Rua Alfredo Magalhaes Ramalho 6, P-1495006 Lisbon, Portugal; [Matos, Lelia; Cunha, Marina R.] Univ Aveiro, Ctr Environm &amp; Marine Studies CESAM, Campus Univ Santiago, P-3810193 Aveiro, Portugal; [Titschack, Juergen] Marine Geol Div, Sudstrand 40, D-26382 Wilhelmshaven, Germany; [Schmiedl, Gerhard] Univ Hamburg, Inst Geol, Ctr Earth Syst Res &amp; Sustainabiliry, Bundesstr 55, D-20146 Hamburg, Germany; [Frank, Norbert] Heidelberg Univ, Inst Umweltphys, Neuenheimer Feld 229, D-69120 Heidelberg, Germany; [Abrantes, Fatima] Univ Algarve, Ctr Marine Sci CCMAR, Campus Gambelas, P-8005139 Faro, Portugal; [Cunha, Marina R.] Univ Aveiro, Dept Biol, Campus Univ Santiago, P-3810193 Aveiro, Portugal</t>
  </si>
  <si>
    <t>University of Bremen; Instituto Portugues do Mar e da Atmosfera; Universidade de Aveiro; University of Hamburg; Ruprecht Karls University Heidelberg; Universidade do Algarve; Universidade de Aveiro</t>
  </si>
  <si>
    <t>Matos, L (corresponding author), Univ Bremen, Ctr Marine Environm Sci MARUM, Leobener Str 8, D-28359 Bremen, Germany.</t>
  </si>
  <si>
    <t>lmatos@marum.de</t>
  </si>
  <si>
    <t>Cunha, Marina R./B-7644-2008; Wienberg, Claudia/F-3160-2012; Abrantes, Fatima/N-7253-2019; Hebbeln, Dierk/P-9766-2016; Matos, Lélia/W-8129-2019; Titschack, Jurgen/L-2095-2015; Frank, Norbert/D-6486-2016; Schmiedl, Gerhard/E-6644-2017</t>
  </si>
  <si>
    <t>Cunha, Marina R./0000-0001-8833-6980; Wienberg, Claudia/0000-0001-9870-5495; Abrantes, Fatima/0000-0002-9110-0212; Matos, Lélia/0000-0003-1417-5509; Titschack, Jurgen/0000-0001-9373-9688; Frank, Norbert/0000-0002-0416-9546; Schmiedl, Gerhard/0000-0002-2177-6858</t>
  </si>
  <si>
    <t>Deutsche Forschungsgemeinschaft (DFG) [HE 3412/17-1]; Fundacao para a Ciencia e Tecnologia (FCT) [SFRH/BD/72149/2010]; GLOMAR - the Bremen International Graduate School for Marine Sciences; Fundação para a Ciência e a Tecnologia [SFRH/BD/72149/2010] Funding Source: FCT</t>
  </si>
  <si>
    <t>Deutsche Forschungsgemeinschaft (DFG)(German Research Foundation (DFG)); Fundacao para a Ciencia e Tecnologia (FCT)(Fundacao para a Ciencia e a Tecnologia (FCT)); GLOMAR - the Bremen International Graduate School for Marine Sciences; Fundação para a Ciência e a Tecnologia(Fundacao para a Ciencia e a Tecnologia (FCT))</t>
  </si>
  <si>
    <t>We thank the officers and crew of the R/V Maria S. Merian and the scientific crew for on-board assistance during cruise MSM 20-4 (2012), We kindly acknowledge Francois Thil, Rene Eichstadter and Anne Marie Wefing for support during the U-series dating; and H. Kuhnert and B. Meyer-Schack for support during isotope sample preparation and analysis. We further thank Paul Wintersteller for providing the map of the Campeche CWC province and the GeoB Core Repository at the MARUM for the assistance in providing sediment cores and sample material. We dearly acknowledge Prof. Dr. Gert J. de Lange, Prof. Dr. David van Rooij and one anonymous reviewer for their comments that have greatly improved the manuscript. The research leading to these results has received support from the Deutsche Forschungsgemeinschaft (DFG) through funding of the WACOM - West Atlantic Cold-water Coral Ecosystems project [grant HE 3412/17-1] and through providing ship time. The cruise was further supported through the DFG Research Center/Cluster of Excellence MARUM - The Ocean in the Earth System. L. Matos was supported by Fundacao para a Ciencia e Tecnologia (FCT) [SFRH/BD/72149/2010] and GLOMAR - the Bremen International Graduate School for Marine Sciences. Further support came from FCT through CESAM [PEst-C/1VIAR/LA0017/2013 and UID/AMB/50017/2013] and CCMAR [UID/Multi/04326/2013]. The data reported in this paper are archived in Pangaea (www.pangaea.de).</t>
  </si>
  <si>
    <t>0025-3227</t>
  </si>
  <si>
    <t>1872-6151</t>
  </si>
  <si>
    <t>MAR GEOL</t>
  </si>
  <si>
    <t>Mar. Geol.</t>
  </si>
  <si>
    <t>10.1016/j.margeo.2017.08.012</t>
  </si>
  <si>
    <t>Geosciences, Multidisciplinary; Oceanography</t>
  </si>
  <si>
    <t>Geology; Oceanography</t>
  </si>
  <si>
    <t>FK1YN</t>
  </si>
  <si>
    <t>WOS:000413279600004</t>
  </si>
  <si>
    <t>Watson, SJ; Whittaker, JM; Lucieer, V; Coffin, MF; Lamarche, G</t>
  </si>
  <si>
    <t>Watson, Sally J.; Whittaker, Joanne M.; Lucieer, Vanessa; Coffin, Millard F.; Lamarche, Geoffroy</t>
  </si>
  <si>
    <t>Erosional and depositional processes on the submarine flanks of Ontong Java and Nukumanu atolls, western equatorial Pacific Ocean</t>
  </si>
  <si>
    <t>Multibeam bathymetry; Geomorphology; Seafloor classification; Erosion; Kroenke Canyon; Ontong Java Plateau; Large Igneous Province</t>
  </si>
  <si>
    <t>SEQUENCE STRATIGRAPHY; SOLOMON-ISLANDS; REEF ISLANDS; CYCLIC STEPS; PLATEAU; SLOPE; CANYONS; MONTEREY; LANDSLIDES; GRAVITY</t>
  </si>
  <si>
    <t>Ontong Java and Nukumanu atolls sit atop Earth's largest oceanic plateau the Ontong Java Plateau in the western equatorial Pacific Ocean. In 2014, scientists aboard the Schmidt Ocean Institute's RV Falkor mapped the seafloor surrounding Ontong Java Atoll (Solomon Islands) and Nukumanu Atoll (Papua New Guinea) for the first time using multibeam acoustic systems. These and pre-existing data help reveal the evolution of the atolls, which has involved volcanism, erosion, deposition, and carbonate growth. We use the new multibeam bathymetry and backscatter data, together with legacy seismic reflection data, to: (i) qualitatively characterise the submarine flanks of the atolls; (ii) identify broad and fine scale geomorphological features and classify the seafloor environment; (iii) investigate how submarine processes have influenced the morphological evolution of the atolls over geological timescales; and (iv) provide evidence that these atolls have fed sediment downslope to Kroenke Canyon that incises the NE flank of the Ontong Java Plateau. Submarine erosion is widespread on both atolls, and submarine landslides control, at least in part, the dynamic geomorphology and hence development of both atolls. Channels and gullies are abundant on the flanks of both atolls. Scarps are common on the upper flanks of both atolls, whereas undulating bedforms and crescent shaped bedforms are more common at the foot of the atolls' slopes. The Ontong Java Atoll coastline has widespread bights that appear to be linked to submarine debris deposits downslope. The overall shape of Ontong Java Atoll could result from one or more extensive edifice failure(s), or multiple smaller cones amalgamating to form one island. Active erosion of Nukumanu Atoll is manifested by crescent shaped bedforms, although compared to Ontong Java, Nukumanu has a much less sinuous coastline and more subdued mass wasting. We estimate 1500 km(3) of volcaniclastic sediment has been eroded and transported from Ontong Java and Nukumanu atolls, some of which has likely fed Kroenke Canyon downslope.</t>
  </si>
  <si>
    <t>[Watson, Sally J.; Whittaker, Joanne M.; Lucieer, Vanessa; Coffin, Millard F.] Univ Tasmania, Inst Marine &amp; Antarctic Studies, Hobart, Tas, Australia; [Coffin, Millard F.] Univ Maine, Sch Earth &amp; Climate Sci, Orono, ME USA; [Coffin, Millard F.] Woods Hole Oceanog Inst, Woods Hole, MA 02543 USA; [Lamarche, Geoffroy] Natl Inst Water &amp; Atmospher Res NIWA, Wellington, New Zealand; [Lamarche, Geoffroy] Univ Auckland, Sch Environm, Auckland, New Zealand</t>
  </si>
  <si>
    <t>University of Tasmania; University of Maine System; University of Maine Orono; Woods Hole Oceanographic Institution; National Institute of Water &amp; Atmospheric Research (NIWA) - New Zealand; University of Auckland</t>
  </si>
  <si>
    <t>Watson, SJ (corresponding author), Univ Tasmania, Inst Marine &amp; Antarctic Studies, Hobart, Tas, Australia.</t>
  </si>
  <si>
    <t>sally.watson@utas.edu.au</t>
  </si>
  <si>
    <t>Lamarche, Geoffroy/C-5777-2008; Coffin, Millard F/H-4619-2011; Lucieer, Vanessa/D-1697-2009; Whittaker, Joanne/B-3695-2010</t>
  </si>
  <si>
    <t>Lamarche, Geoffroy/0000-0003-1933-8258; Coffin, Millard F/0000-0001-9960-0038; Lucieer, Vanessa/0000-0001-7531-5750; Watson, Sally/0000-0002-3666-5034; Whittaker, Joanne/0000-0002-3170-3935</t>
  </si>
  <si>
    <t>Australian Government Research Training Program Scholarship; ARC [DE140100376, DP150102887]; Australian Research Council [DE140100376] Funding Source: Australian Research Council</t>
  </si>
  <si>
    <t>Australian Government Research Training Program Scholarship(Australian GovernmentDepartment of Industry, Innovation and Science); ARC(Australian Research Council); Australian Research Council(Australian Research Council)</t>
  </si>
  <si>
    <t>We thank Master Philipp Guenther and his able crew for their vital contributions to the successful outcome of RV Falkor voyage FK141015. We are especially grateful to Cruise Coordinator/Lead Marine Technician Colleen Peters and Marine Technician Paul 'Jimbo' Duncan for keeping the multibeam systems humming and educating the science party. We acknowledge the efforts of the science party in acquiring and initially processing the shipboard data: M.F. Coffin, N. Adams, M. Heckman, T. Ketter, J. Neale, A. Reyes, and A. Travers. We are grateful to L.W. Kroenke for providing original access to the RV Mahi seismic reflection data, and to P. Wessel and B. Taylor for relevant technical advice. We thank M. Rebesco, N.C. Mitchell, and an anonymous reviewer for suggestions and comments that greatly improved this manuscript. We thank the Schmidt Ocean Institute for supporting the voyage. S.J.W. was supported by an Australian Government Research Training Program Scholarship. J.M.W. was supported by ARC grant DE140100376 and DP150102887.</t>
  </si>
  <si>
    <t>10.1016/j.margeo.2017.08.006</t>
  </si>
  <si>
    <t>WOS:000413279600009</t>
  </si>
  <si>
    <t>McGlannan, AJ; Bart, PJ; Chow, JM; DeCesare, M</t>
  </si>
  <si>
    <t>McGlannan, Austin J.; Bart, Philip J.; Chow, Juan M.; DeCesare, Matthew</t>
  </si>
  <si>
    <t>On the influence of post-LGM ice shelf loss and grounding zone sedimentation on West Antarctic ice sheet stability</t>
  </si>
  <si>
    <t>West Antarctic ice sheet; Ross Sea; Sedimentology; Diatom; Geomorphology</t>
  </si>
  <si>
    <t>LAST GLACIAL MAXIMUM; PINE ISLAND BAY; PLEISTOCENE-HOLOCENE RETREAT; EASTERN ROSS SEA; LINE RETREAT; BREAK-UP; STREAM; PENINSULA; BENEATH; COLLAPSE</t>
  </si>
  <si>
    <t>The Whales Deep Basin in eastern Ross Sea was occupied by the paleo-Bindschadler Ice Stream during the Last Glacial Maximum (LGM). Previous studies showed that megascale glacial lineations (MSGLs) extend to the continental shelf edge. In a landward direction, these lineations are buried by an overlapping stack of back stepped grounding zone wedges (GZWs). The constraints require that the West Antarctic Ice Sheet (WAIS) grounded at least seven times within 60 km of the shelf edge but the morphological relationships in the Whales Deep Basin cannot be used to uniquely reveal the magnitudes of either grounding line and/or calving front retreat and re-advance between the successive groundings. Here we show a new regional transect of cores from the basin which demonstrates that there were no major back and forth oscillations of either the grounding line or calving front during the overall retreat of grounded and floating ice. Instead, the new sedimentologic data show that a small ice shelf formed as the grounding line retreated from the shelf edge and backstepped over the outer continental shelf. An event bed records breakup of the ice shelf that covered the outer shelf. The stratal relationships indicate that the ice-shelf collapse occurred during the fourth grounding and that the grounding line remained on the outer continental shelf for three additional groundings. We infer that accelerated ice stream flow (due to loss of buttressing) increased sediment flux to the grounding line and thinned the WAIS at the grounding line. Following the seventh grounding, thinning contributed to an abrupt 200 km retreat of the grounding line to the middle continental shelf and a large ice shelf re-formed over the middle continental shelf. A series of small-scale moraine ridges formed as the grounding line shifted south towards Roosevelt Island. The facies relationships on the middle continental shelf indicate that the calving front then shifted abruptly to its modern position. The ground-truth of the seafloor geomorphology presented here is important because it is a necessary framework for constraining retreat chronology for a central part of the WAIS that was not influenced by East Antarctic Ice Sheet overflow.</t>
  </si>
  <si>
    <t>[McGlannan, Austin J.; Bart, Philip J.; Chow, Juan M.; DeCesare, Matthew] Louisiana State Univ, Dept Geol &amp; Geophys, Baton Rouge, LA 70803 USA</t>
  </si>
  <si>
    <t>Louisiana State University System; Louisiana State University</t>
  </si>
  <si>
    <t>Bart, PJ (corresponding author), Louisiana State Univ, Dept Geol &amp; Geophys, Baton Rouge, LA 70803 USA.</t>
  </si>
  <si>
    <t>National Science Foundation Office of Polar Programs [1246357]; Office of Polar Programs (OPP); Directorate For Geosciences [1246357] Funding Source: National Science Foundation</t>
  </si>
  <si>
    <t>National Science Foundation Office of Polar Programs(National Science Foundation (NSF)NSF - Directorate for Geosciences (GEO)); Office of Polar Programs (OPP); Directorate For Geosciences(National Science Foundation (NSF)NSF - Directorate for Geosciences (GEO))</t>
  </si>
  <si>
    <t>This work was funded by a National Science Foundation Office of Polar Programs grant to Philip J. Bart [Grant 1246357]. We thank the captain and crew of the Nathaniel B. Palmer RVIB for their help in acquiring seismic data during expedition NBP1502B. We thank the LSU and Rice University members of NBP1502B and A shipboard parties for assisting data acquisition and onboard sediment sampling of core in the field. We thank Dr. Samuel J. Bentley for access to the LSU sedimentology lab Beckman Coulter LS320 particle size analyzer for grain size analysis and Dr. Sophie Warny for access to the Center for Excellence in Palynology to perform diatom counts. We also thank Thomas Blanchard of the LSU Wet Lands Biogeochemistry Analytical Services laboratory for assistance and processing of Total Organic Carbon samples. We particularly thank members of NBP1052A (Lindsay Prothero, Lauren Simkins, Anna Ruth Halberstadt, Brian Demet) for onboard assistance with core sampling and land based discussions. Madeline Myers and. Abigail Heath provided much assistance with processing grain size and total organic carbon samples. Our interpretations benefited from many discussions with John Anderson and Benjamin Krogmeier.</t>
  </si>
  <si>
    <t>10.1016/j.margeo.2017.08.005</t>
  </si>
  <si>
    <t>WOS:000413279600011</t>
  </si>
  <si>
    <t>Acevedo, J; Aguayo-Lobo, A; Allen, J; Botero-Acosta, N; Capella, J; Castro, C; Dalla Rosa, L; Denkinger, J; Félix, F; Flórez-González, L; Garita, F; Guzmán, HM; Haase, B; Kaufman, G; Llano, M; Olavarría, C; Pacheco, AS; Plana, J; Rasmussen, K; Scheidat, M; Secchi, ER; Silva, S; Stevick, PT</t>
  </si>
  <si>
    <t>Acevedo, Jorge; Aguayo-Lobo, Anelio; Allen, Judith; Botero-Acosta, Natalia; Capella, Juan; Castro, Cristina; Dalla Rosa, Luciano; Denkinger, Judith; Felix, Fernando; Florez-Gonzalez, Lilian; Garita, Frank; Guzman, Hector M.; Haase, Ben; Kaufman, Gregory; Llano, Martha; Olavarria, Carlos; Pacheco, Aldo S.; Plana, Jordi; Rasmussen, Kristin; Scheidat, Meike; Secchi, Eduardo R.; Silva, Sebastian; Stevick, Peter T.</t>
  </si>
  <si>
    <t>Migratory preferences of humpback whales between feeding and breeding grounds in the eastern South Pacific</t>
  </si>
  <si>
    <t>MARINE MAMMAL SCIENCE</t>
  </si>
  <si>
    <t>Megaptera novaeangliae; migratory destinations; Breeding Stock G; photo-identification; feeding ground; Antarctic Peninsula; Fueguian Archipelago</t>
  </si>
  <si>
    <t>MEGAPTERA-NOVAEANGLIAE POPULATIONS; NATAL PHILOPATRY; NORTH PACIFIC; DIVERSITY; CHARACTERIZE; DESTINATIONS; ARCHIPELAGO; CONNECTIONS; WORLDWIDE; ABUNDANCE</t>
  </si>
  <si>
    <t>Latitudinal preferences within the breeding range have been suggested for Breeding Stock G humpback whales that summer in different feeding areas of the eastern South Pacific. To address this hypothesis, humpback whales photo-identified from the Antarctic Peninsula and the Fueguian Archipelago (southern Chile) were compared with whales photo-identified from lower latitudes extending from northern Peru to Costa Rica. This comparison was performed over a time span that includes 18 austral seasons. A total of 238 whales identified from the Antarctic Peninsula and 25 whales from the Fueguian Archipelago were among those photo-identified at the breeding grounds. Our findings showed that humpback whales from each feeding area were resighted unevenly across the breeding grounds, which suggests a degree of spatial structuring in the migratory pathway. Humpback whales that feed at the Antarctic Peninsula were more likely to migrate to the southern breeding range between northern Peru and Colombia, whereas whales that feed at the Fueguian Archipelago were more likely to be found in the northern range of the breeding ground off Panama. Further photo-identification efforts and genetic sampling from poorly sampled or unsampled areas are recommended to confirm these reported connectivity patterns.</t>
  </si>
  <si>
    <t>[Acevedo, Jorge] Ctr Estudios Cuaternario Fuego Patagonia &amp; Antart, Ave Espana 184, Punta Arenas, Chile; [Aguayo-Lobo, Anelio] Inst Antart Chileno, Plaza Munoz Gamero 1055, Punta Arenas, Chile; [Allen, Judith; Stevick, Peter T.] Coll Atlantic, 105 Eden St, Bar Harbor, ME 04609 USA; [Botero-Acosta, Natalia] Fdn Macuaticos Colombia, Calle 27 79-167, Medellin, Colombia; [Botero-Acosta, Natalia] Univ Southern Mississippi, Psychol Dept, Marine Mammal Behav &amp; Cognit Lab, 118 Coll Dr, Hattiesburg, MS 39406 USA; [Capella, Juan] Fdn Yubarta, Calle 13 A 100-46 D301, Cali, Colombia; [Castro, Cristina; Kaufman, Gregory; Scheidat, Meike] Pacific Whale Fdn Ecuador, POB 1721872, Quito, Ecuador; [Dalla Rosa, Luciano; Secchi, Eduardo R.] Univ Fed Rio Grande, FURG,Projeto Baleias, Inst Oceanog,Brazilian Antarctic Program, Lab Ecol Conservacao Megafauna Marinha,GOAL, CP 474, BR-96203900 Rio Grande, RS, Brazil; [Denkinger, Judith] Univ San Francisco Quito, Coll Biol &amp; Environm Sci, Campus Cumbaya, Quito, Ecuador; [Felix, Fernando; Haase, Ben] Museo Ballenas, Ave Enriquez Gallo S-N, Salinas, Ecuador; [Florez-Gonzalez, Lilian; Llano, Martha] Fdn Yubarta, Calle 13A 100-46 D301, Cali, Colombia; [Garita, Frank] Asociac Ambiente Vida, Apdo 7-0350-1000, San Jose, Costa Rica; [Guzman, Hector M.] Smithsonian Tropial Res Inst, POB 043-03092, Ancon, Panama; [Kaufman, Gregory] Pacific Whale Fdn, 300 Maalaea Rd,Suite 211, Wailuku, HI 96793 USA; [Olavarria, Carlos] Ctr Estudios Avanzados Zonas Aridas CEAZA, Raul Bitran 1305, La Serena, Chile; [Pacheco, Aldo S.] Univ Antofagasta, CENSOR Lab, Inst Ciencias Natur Alexander Humboldt, Ave Univ Antofagasta 02800,POB 170, Antofagasta, Chile; [Pacheco, Aldo S.; Silva, Sebastian] Pacifico Adventures Manejo Integral Ambiente Mari, Ave Rivera Mar S-N, Piura, Peru; [Rasmussen, Kristin] Panacetacea, 376 Ramsey St, St Paul, MN 55102 USA; [Scheidat, Meike] IMARES Wageningen UR, Postbus 68, NL-1970 AB Ijmuiden, Netherlands</t>
  </si>
  <si>
    <t>University of Southern Mississippi; Universidade Federal do Rio Grande; Universidad San Francisco de Quito; Universidad de Antofagasta; Wageningen University &amp; Research</t>
  </si>
  <si>
    <t>Acevedo, J (corresponding author), Ctr Estudios Cuaternario Fuego Patagonia &amp; Antart, Ave Espana 184, Punta Arenas, Chile.</t>
  </si>
  <si>
    <t>jorge.acevedo@live.cl; antarcticajpm@yahoo.es</t>
  </si>
  <si>
    <t>Secchi, Eduardo R./ABF-1191-2020; Félix, Fernando/AGM-2677-2022; Acevedo, Jorge/AAV-3574-2020; Rosa, Luciano Dalla/D-5660-2012; Pacheco, Aldo S/L-9939-2017</t>
  </si>
  <si>
    <t>Secchi, Eduardo R./0000-0001-9087-9909; Rosa, Luciano Dalla/0000-0002-1583-6471; Pacheco, Aldo S/0000-0002-2767-6436; Castro Ayala, Cristina/0000-0002-5166-0389; Acevedo, Jorge/0000-0002-6106-0838; Scheidat, Meike/0000-0001-9702-6490; Guzman, Hector M./0000-0001-9928-8523</t>
  </si>
  <si>
    <t>Ecologia e Conservacao da Megafauna Marinha - EcoMega/CNPq; Antarctic Research Project Baleias/Proantar (CNPq) [408096/2013-6]; National Institute of Science and Technology Antarctic Environmental Research (INCT-APA) (CNPq) [574018/2008-5]; Pacific Whale Foundation; USFQ GAIAS grant; INACH Projects [163, G-16-10]; Rufford Small Grants for Nature Conservancy; Colciencias; Ecofondo; WWF-Colombia; Fundacion Sentir; Fondo para la Accion Ambiental; Cetacean Society International; Idea Wild; Moore Charitable Foundation; National Fish and Wildlife Foundation; Homeland Foundation; Smithsonian Tropical Research Institute (Panama); Darwin Initiative (UK); Conicyt Regional grant [R13A1002]; Conicyt Regional/GORE Magallanes [R07K1002]</t>
  </si>
  <si>
    <t>Ecologia e Conservacao da Megafauna Marinha - EcoMega/CNPq; Antarctic Research Project Baleias/Proantar (CNPq); National Institute of Science and Technology Antarctic Environmental Research (INCT-APA) (CNPq); Pacific Whale Foundation; USFQ GAIAS grant; INACH Projects; Rufford Small Grants for Nature Conservancy; Colciencias(Departamento Administrativo de Ciencia, Tecnologia e Innovacion Colciencias); Ecofondo; WWF-Colombia; Fundacion Sentir; Fondo para la Accion Ambiental; Cetacean Society International; Idea Wild; Moore Charitable Foundation; National Fish and Wildlife Foundation; Homeland Foundation; Smithsonian Tropical Research Institute (Panama)(Smithsonian InstitutionSmithsonian Tropical Research Institute); Darwin Initiative (UK); Conicyt Regional grant; Conicyt Regional/GORE Magallanes</t>
  </si>
  <si>
    <t>We are grateful to all of the volunteers and personnel for providing valuable help in the field and the laboratory as well as logistical support. In particular, we would like to thank P. Acuna, B. Alcorta, G. Arias, R. Bernal, G. A. Bravo, A. Canas, D. Cardenas, S. Cornejo, L. Crowe, P. Falk, T. Fernald, W. Gomez, T. Grados, S. Gubbins, C. Guevara, C. Guidino, D. Haro, W. Henao, Klein Family, H. Krajewsky, E. Larranaga, A. Larrea, C. Martinez, F. Martinez, M.C. Medina, G. Moreno, F. Moreno, Marcos Cesar de O. Santos, C. Perazio, B. Perez, E. Perez, A. Petit, N. Ramirez, S. Rangel, G. Ravenscrofft, F. Sanchez-Salazar, I. C. Tobon, C. Valdivia, B. Wallis, S. Yesken, and M. Zapetis. We would also like to thank Ecologia e Conservacao da Megafauna Marinha - EcoMega/CNPq, the Antarctic Research Project Baleias/Proantar (CNPq grant number 408096/2013-6), National Institute of Science and Technology Antarctic Environmental Research (INCT-APA) (CNPq grant number 574018/2008-5), Pacific Whale Foundation, USFQ GAIAS grant, INACH Projects grant number 163 and G-16-10, Rufford Small Grants for Nature Conservancy, Colciencias, Ecofondo, WWF-Colombia, Fundacion Sentir, Fondo para la Accion Ambiental, Cetacean Society International, Idea Wild, Moore Charitable Foundation, National Fish and Wildlife Foundation, Homeland Foundation, Smithsonian Tropical Research Institute (Panama), Darwin Initiative (UK), Conicyt Regional grant number R13A1002, and Conicyt Regional/GORE Magallanes (grant number R07K1002) for financial support. The authors would like to acknowledge the contributions by fishermen, Hosteria El Acantilado, Machalilla National Park, Palo Santo Travel, Fitz Roy Expeditions, Unidad de Parques Nacionales de Colombia, Grupo de Ecoguias de Coqui, Consejo Comunitario Los Riscales, Cabanas Pijiba, El Cantil, Nautilus, La Jovisena, Punta Brava, Turqui, El Almejal, local communities, and other whale watching operators who helped us with our research. The first author would like to thank the Director of Fundacion CEQUA for providing time and constant support in the writing of this material, and Lorena Viloria for his valuable comments that improved the quality of our manuscript.</t>
  </si>
  <si>
    <t>0824-0469</t>
  </si>
  <si>
    <t>1748-7692</t>
  </si>
  <si>
    <t>MAR MAMMAL SCI</t>
  </si>
  <si>
    <t>Mar. Mamm. Sci.</t>
  </si>
  <si>
    <t>10.1111/mms.12423</t>
  </si>
  <si>
    <t>Marine &amp; Freshwater Biology; Zoology</t>
  </si>
  <si>
    <t>FK3BG</t>
  </si>
  <si>
    <t>WOS:000413358500004</t>
  </si>
  <si>
    <t>Suttle, MD; Genge, MJ; Russell, SS</t>
  </si>
  <si>
    <t>Suttle, M. D.; Genge, M. J.; Russell, S. S.</t>
  </si>
  <si>
    <t>Shock fabrics in fine-grained micrometeorites</t>
  </si>
  <si>
    <t>METEORITICS &amp; PLANETARY SCIENCE</t>
  </si>
  <si>
    <t>AQUEOUS ALTERATION; ANTARCTIC MICROMETEORITES; PREFERRED ORIENTATION; HYDROUS ASTEROIDS; IMPACT DISRUPTION; CM CHONDRITE; MINERALOGY; MATRIX; DUST; PHYLLOSILICATES</t>
  </si>
  <si>
    <t>The orientations of dehydration cracks and fracture networks in fine-grained, unmelted micrometeorites were analyzed using rose diagrams and entropy calculations. As cracks exploit pre-existing anisotropies, analysis of their orientation provides a mechanism with which to study the subtle petrofabrics preserved within fine-grained and amorphous materials. Both uniaxial and biaxial fabrics are discovered, often with a relatively wide spread in orientations (40 degrees-60 degrees). Brittle deformation cataclasis and rotated olivine grains are reported from a single micrometeorite. This paper provides the first evidence for impact-induced shock deformation in fine-grained micrometeorites. The presence of pervasive, low-grade shock features in CM chondrites and CM-like dust, anomalously low-density measurements for C-type asteroids, and impact experiments which suggest CM chondrites are highly prone to disruption all imply that CM parent bodies are unlikely to have remained intact and instead exist as a collection of loosely aggregated rubble-pile asteroids, composed of primitive shocked clasts.</t>
  </si>
  <si>
    <t>[Suttle, M. D.; Genge, M. J.] Imperial Coll London, Dept Earth Sci &amp; Engn, Impacts &amp; Astromat Res Ctr, London SW7 2AZ, England; [Suttle, M. D.; Genge, M. J.; Russell, S. S.] Nat Hist Museum, Dept Earth Sci, Cromwell Rd, London SW7 5BD, England</t>
  </si>
  <si>
    <t>Suttle, MD (corresponding author), Imperial Coll London, Dept Earth Sci &amp; Engn, Impacts &amp; Astromat Res Ctr, London SW7 2AZ, England.;Suttle, MD (corresponding author), Nat Hist Museum, Dept Earth Sci, Cromwell Rd, London SW7 5BD, England.</t>
  </si>
  <si>
    <t>mds10@ic.ac.uk</t>
  </si>
  <si>
    <t>Suttle, Martin/0000-0001-7165-2215; Russell, Sara/0000-0001-5531-7847</t>
  </si>
  <si>
    <t>Science and Technology Council (STFC) under a training grant scheme [ST/M503526/1]; Imperial College London; STFC [ST/J001260/1, ST/M00094X/1]; Science and Technology Facilities Council [ST/J001260/1, 1515684, ST/M00094X/1, ST/N000803/1] Funding Source: researchfish; STFC [ST/N000803/1, ST/M00094X/1, ST/J001260/1] Funding Source: UKRI</t>
  </si>
  <si>
    <t>Science and Technology Council (STFC) under a training grant scheme; Imperial College London; STFC(UK Research &amp; Innovation (UKRI)Science &amp; Technology Facilities Council (STFC)); Science and Technology Facilities Council(UK Research &amp; Innovation (UKRI)Science &amp; Technology Facilities Council (STFC)); STFC(UK Research &amp; Innovation (UKRI)Science &amp; Technology Facilities Council (STFC))</t>
  </si>
  <si>
    <t>The data presented in this paper were acquired during M. Suttle's PhD research and funded by the Science and Technology Council (STFC) under a training grant scheme (grant number: ST/M503526/1) and in association with Imperial College London. M. Genge and S. Russell are funded by the STFC grants (ST/J001260/1 and ST/M00094X/1, respectively). The NHM, London and N. Almedia are thanked for the loan of meteorite samples. Additionally, R. Hanna and A. Rubin as reviewers and D. Brownlee as associate editor are thanked for their constructive comments and helpful advice during the revision process.</t>
  </si>
  <si>
    <t>1086-9379</t>
  </si>
  <si>
    <t>1945-5100</t>
  </si>
  <si>
    <t>METEORIT PLANET SCI</t>
  </si>
  <si>
    <t>Meteorit. Planet. Sci.</t>
  </si>
  <si>
    <t>10.1111/maps.12927</t>
  </si>
  <si>
    <t>FI7JS</t>
  </si>
  <si>
    <t>WOS:000412173600011</t>
  </si>
  <si>
    <t>Huveneers, C; Stehfest, KM; Simpfendorfer, CA; Semmens, J; Hobday, AJ; Pederson, H; Stieglitz, T; Vallee, R; Webber, D; Heupel, MR; Harcourt, R</t>
  </si>
  <si>
    <t>Huveneers, Charlie; Stehfest, Kilian M.; Simpfendorfer, Colin A.; Semmens, Jayson; Hobday, Alistair J.; Pederson, Hugh; Stieglitz, Thomas; Vallee, Richard; Webber, Dale; Heupel, Michelle R.; Harcourt, Robert</t>
  </si>
  <si>
    <t>Application of the Acoustic Propagation Model to a deep-water cross-shelf curtain</t>
  </si>
  <si>
    <t>METHODS IN ECOLOGY AND EVOLUTION</t>
  </si>
  <si>
    <t>acoustic telemetry; detection probability; detection range; IMOS Animal Tracking; reference tags; sentinel tags</t>
  </si>
  <si>
    <t>A good understanding of acoustic coverage and temporal variation relative to environmental conditions is crucial for accurate interpretation of results from acoustic tracking studies and ensuing appropriate management recommendations. In their recent paper, Gjelland &amp; Hedger (Methods in Ecology and Evolution, 2017) suggest that the general detection probability model proposed by Gjelland &amp; Hedger (Methods in Ecology and Evolution, 2013, 4, 665-674) was not appropriately used in Huveneers et al. (Methods in Ecology and Evolution, 2016, 7, 825-835). The intent of the comparison in Huveneers et al. (2016) was to evaluate the Acoustic Propagation Model (APM) in a situation when parameterisation is not logistically feasible. This can be the case when reference tags have not been deployed, or when the distance between tagged animals and receivers cannot be accurately estimated or cannot be obtained under sufficiently varied weather conditions. Even when parameterisation is possible, there will be situations where the APM does not account for all factors affecting detection probability, e.g. deep-water receivers where density gradients can affect sound propagation. Re-parameterisation of the APM based on clarification in Gjelland &amp; Hedger (2017) and application to a deep-water cross-shelf receiver array showed similar detection range to a logistic model until about (similar to)750m distance, after which the APM resulted in unrealistically high detection probability estimates. The need for large amounts of data to parameterise the APM and achieve good statistical fit negates the value of the theoretical propagation model. Detection range can also be affected by a broad range of factors, many of which are not included within the APM. The complexity of the way different environmental factors can influence acoustic detections and the variability of environments in which acoustic tracking studies are undertaken make it challenging to develop a general model applicable across environments. We support further improvement of the APM and recommend the use of reference tags to collect necessary data to parameterise the APM and assess factors influencing detection probability.</t>
  </si>
  <si>
    <t>[Huveneers, Charlie] Flinders Univ S Australia, Sch Biol Sci, Adelaide, SA 5042, Australia; [Stehfest, Kilian M.; Semmens, Jayson] Univ Tasmania, Fisheries &amp; Aquaculture Ctr, Inst Marine &amp; Antarctic Studies, Hobart, Tas 7000, Australia; [Simpfendorfer, Colin A.] James Cook Univ, Ctr Sustainable Trop Fisheries &amp; Aquaculture, Townsville, Qld 4811, Australia; [Simpfendorfer, Colin A.] James Cook Univ, Coll Marine &amp; Environm Sci, Townsville, Qld 4811, Australia; [Hobday, Alistair J.] CSIRO Oceans &amp; Atmosphere, Hobart, Tas 7000, Australia; [Pederson, Hugh; Vallee, Richard; Webber, Dale] Vemco, Bedford, NS B4B 0L9, Canada; [Stieglitz, Thomas] James Cook Univ, Coll Sci Technol &amp; Engn, Townsville, Qld 4811, Australia; [Stieglitz, Thomas] James Cook Univ, Ctr Trop Water &amp; Aquat Ecosyst Res, Townsville, Qld 4811, Australia; [Heupel, Michelle R.] Australian Inst Marine Sci, Townsville, Qld 4810, Australia; [Harcourt, Robert] Macquarie Univ, Dept Biol Sci, Sydney, NSW 2109, Australia</t>
  </si>
  <si>
    <t>Flinders University South Australia; University of Tasmania; James Cook University; James Cook University; Commonwealth Scientific &amp; Industrial Research Organisation (CSIRO); James Cook University; James Cook University; Australian Institute of Marine Science; Macquarie University</t>
  </si>
  <si>
    <t>Huveneers, C (corresponding author), Flinders Univ S Australia, Sch Biol Sci, Adelaide, SA 5042, Australia.</t>
  </si>
  <si>
    <t>charlie.huveneers@flinders.edu.au</t>
  </si>
  <si>
    <t>Pederson, Hugh/HTO-8689-2023; Hobday, Alistair/A-1460-2012; Simpfendorfer, Colin/G-9681-2011; Stieglitz, Thomas/C-7916-2013</t>
  </si>
  <si>
    <t>Pederson, Hugh/0000-0002-0899-2978; Semmens, Jayson/0000-0003-1742-6692; Simpfendorfer, Colin/0000-0002-0295-2238; Harcourt, Robert/0000-0003-4666-2934; Stieglitz, Thomas/0000-0002-7349-4254; Stieglitz, Thomas/0000-0002-2946-391X; Huveneers, Charlie/0000-0001-8937-1358; Heupel, Michelle/0000-0002-8245-7332</t>
  </si>
  <si>
    <t>Data was sourced from the Integrated Marine Observing System (IMOS) - IMOS is a national collaborative research infrastructure, supported by Australian Government. We thank Karl Gjelland for useful discussions about the APM. Karl Gjelland and Xavier Hoenner assisted with the R script used to parameterise the APM. Two anonymous reviewers are also thanked for their comments which improved the manuscript.</t>
  </si>
  <si>
    <t>2041-210X</t>
  </si>
  <si>
    <t>2041-2096</t>
  </si>
  <si>
    <t>METHODS ECOL EVOL</t>
  </si>
  <si>
    <t>Methods Ecol. Evol.</t>
  </si>
  <si>
    <t>10.1111/2041-210X.12806</t>
  </si>
  <si>
    <t>FJ6HR</t>
  </si>
  <si>
    <t>WOS:000412858600015</t>
  </si>
  <si>
    <t>Gisinger, S; Dörnbrack, A; Matthias, V; Doyle, JD; Eckermann, SD; Ehard, B; Hoffmann, L; Kaifler, B; Kruse, CG; Rapp, M</t>
  </si>
  <si>
    <t>Gisinger, Sonja; Doernbrack, Andreas; Matthias, Vivien; Doyle, James D.; Eckermann, Stephen D.; Ehard, Benedikt; Hoffmann, Lars; Kaifler, Bernd; Kruse, Christopher G.; Rapp, Markus</t>
  </si>
  <si>
    <t>Atmospheric Conditions during the Deep Propagating Gravity Wave Experiment (DEEPWAVE)</t>
  </si>
  <si>
    <t>MONTHLY WEATHER REVIEW</t>
  </si>
  <si>
    <t>SOUTHERN-HEMISPHERE; NEW-ZEALAND; OSCILLATION; WEATHER; STRATOSPHERE; CIRCULATION; DIAGNOSTICS; MESOSPHERE; PROJECT; FRONTS</t>
  </si>
  <si>
    <t>This paper describes the results of a comprehensive analysis of the atmospheric conditions during the Deep Propagating Gravity Wave Experiment (DEEPWAVE) campaign in austral winter 2014. Different datasets and diagnostics are combined to characterize the background atmosphere from the troposphere to the upper mesosphere. How weather regimes and the atmospheric state compare to climatological conditions is reported upon and how they relate to the airborne and ground-based gravity wave observations is also explored. Key results of this study are the dominance of tropospheric blocking situations and low-level southwesterly flows over New Zealand during June-August 2014. A varying tropopause inversion layer was found to be connected to varying vertical energy fluxes and is, therefore, an important feature with respect to wave reflection. The subtropical jet was frequently diverted south from its climatological position at 30 degrees S and was most often involved in strong forcing events of mountain waves at the Southern Alps. The polar front jet was typically responsible for moderate and weak tropospheric forcing of mountain waves. The stratospheric planetary wave activity amplified in July leading to a displacement of the Antarctic polar vortex. This reduced the stratospheric wind minimum by about 10 m s(-1) above New Zealand making breaking of large-amplitude gravity waves more likely. Satellite observations in the upper stratosphere revealed that orographic gravity wave variances for 2014 were largest in May-July (i.e., the period of the DEEPWAVE field phase).</t>
  </si>
  <si>
    <t>[Gisinger, Sonja; Doernbrack, Andreas; Ehard, Benedikt; Kaifler, Bernd; Rapp, Markus] Deutsch Zentrum Luft &amp; Raumfahrt, Inst Phys Atmosphare, Oberpfaffenhofen, Germany; [Matthias, Vivien] Univ Rostock, Leibniz Inst Atmospher Phys, Kuhlungsborn, Germany; [Doyle, James D.] US Naval Res Lab, Marine Meteorol Div, Monterey, CA USA; [Eckermann, Stephen D.] US Naval Res Lab, Space Sci Div, Washington, DC USA; [Hoffmann, Lars] Forschungszentrum Julich, Julich Supercomp Ctr, Julich, Germany; [Kruse, Christopher G.] Yale Univ, Dept Geol &amp; Geophys, New Haven, CT USA; [Rapp, Markus] Ludwig Maximilians Univ Munchen, Meteorol Inst Munchen, Munich, Germany</t>
  </si>
  <si>
    <t>Helmholtz Association; German Aerospace Centre (DLR); University of Rostock; Leibniz Institut fur Atmospharenphysik e.V. an der Universitat Rostock (IAP); United States Department of Defense; United States Navy; Naval Research Laboratory; Helmholtz Association; Research Center Julich; Yale University; University of Munich</t>
  </si>
  <si>
    <t>Gisinger, S (corresponding author), Deutsch Zentrum Luft &amp; Raumfahrt, Inst Phys Atmosphare, Oberpfaffenhofen, Germany.</t>
  </si>
  <si>
    <t>sonja.gisinger@dlr.de</t>
  </si>
  <si>
    <t>Kaifler, Bernd/AAK-7237-2021; Hoffmann, Lars/ABI-3746-2020; Hoffmann, Lars/A-5173-2013; Rapp, Markus/K-6081-2015</t>
  </si>
  <si>
    <t>Kaifler, Bernd/0000-0002-5891-242X; Hoffmann, Lars/0000-0003-3773-4377; Hoffmann, Lars/0000-0003-3773-4377; Rapp, Markus/0000-0003-1508-5900; Eckermann, Stephen/0000-0002-8534-1909; Kruse, Christopher/0000-0001-9808-8167; Gisinger, Sonja/0000-0001-8188-4458</t>
  </si>
  <si>
    <t>German research initiative Role of the Middle Atmosphere in Climate'' [ROMIC/01LG1206A]; German Ministry of Research and Education project Investigation of the Life Cycle of Gravity Waves'' (GW-LCYCLE); Deutsche Forschungsgemeinschaft (DFG) [GW-TP/DO 1020/9-1, PACOG/RA 1400/6-1]; Chief of Naval Research through the NRL [PE 0601153N]</t>
  </si>
  <si>
    <t>German research initiative Role of the Middle Atmosphere in Climate''; German Ministry of Research and Education project Investigation of the Life Cycle of Gravity Waves'' (GW-LCYCLE); Deutsche Forschungsgemeinschaft (DFG)(German Research Foundation (DFG)); Chief of Naval Research through the NRL</t>
  </si>
  <si>
    <t>Part of this research was funded by the German research initiative Role of the Middle Atmosphere in Climate'' (ROMIC/01LG1206A) funded by the German Ministry of Research and Education in the project Investigation of the Life Cycle of Gravity Waves'' (GW-LCYCLE), and by the Deutsche Forschungsgemeinschaft (DFG) via the Project MS-GWaves (GW-TP/DO 1020/9-1 and PACOG/RA 1400/6-1). The NRL components of this research were supported by the Chief of Naval Research through the NRL Base Program (PE 0601153N). Access to the ECMWF data was possible through the special project HALO Mission Support System.'' We thank the NASA/Jet Propulsion Laboratory for providing access to the Aura/MLS level 2 retrieval products available online (http://mirador.gsfc.nasa.gov). NCEP-NCAR re-analysis data were provided by the NOAA/OAR/ESRL PSD, Boulder, Colorado, and downloaded from their Web site (http://www.esrl.noaa.gov/psd/). AIRS data products are distributed by the NASA Goddard Earth Sciences Data Information and Services Center (GES DISC). Objective tropospheric regime classification was provided by NIWA. We sincerely thank all three anonymous reviewers for their valuable comments and suggestions, which led the manuscript to its present state.</t>
  </si>
  <si>
    <t>0027-0644</t>
  </si>
  <si>
    <t>1520-0493</t>
  </si>
  <si>
    <t>MON WEATHER REV</t>
  </si>
  <si>
    <t>Mon. Weather Rev.</t>
  </si>
  <si>
    <t>10.1175/MWR-D-16-0435.1</t>
  </si>
  <si>
    <t>FJ6VM</t>
  </si>
  <si>
    <t>WOS:000412896100018</t>
  </si>
  <si>
    <t>Meyer, S; Robertson, BC; Chilvers, BL; Krkosek, M</t>
  </si>
  <si>
    <t>Meyer, Stefan; Robertson, Bruce C.; Chilvers, B. Louise; Krkosek, Martin</t>
  </si>
  <si>
    <t>Marine mammal population decline linked to obscured by-catch</t>
  </si>
  <si>
    <t>exclusion devices; fisheries management; by-catch; recovery; megafauna</t>
  </si>
  <si>
    <t>ZEALAND SEA LIONS; TURTLE EXCLUDER DEVICES; PHOCARCTOS-HOOKERI; AUCKLAND ISLANDS; INCIDENTAL MORTALITY; EXCLUSION DEVICES; AGE DISTRIBUTION; PUP PRODUCTION; BYCATCH; FISHERIES</t>
  </si>
  <si>
    <t>Declines of marine megafauna due to fisheries by-catch are thought to be mitigated by exclusion devices that release nontarget species. However, exclusion devices may instead conceal negative effects associated with by-catch caused by fisheries (i.e., unobserved or discarded by-catch with low postrelease survival or reproduction). We show that the decline of the endangered New Zealand (NZ) sea lion (Phocarctos hookeri) is linked to latent levels of by-catch occurring in sub-Antarctic trawl fisheries. Exclusion devices have been used since 2001 but have not slowed or reversed population decline.However, 35% of the variability in NZ sea lion pup production is explained by latent by-catch, and the population would increase without this factor. Our results indicate that exclusion devices can obscure rather than alleviate fishery impacts on marine megafauna.</t>
  </si>
  <si>
    <t>[Meyer, Stefan; Robertson, Bruce C.] Univ Otago, Dept Zool, Dunedin 9054, New Zealand; [Chilvers, B. Louise] Massey Univ, Inst Vet Anim &amp; Biomed Sci, Palmerston North 4442, New Zealand; [Krkosek, Martin] Univ Toronto, Dept Ecol &amp; Evolutionary Biol, Toronto, ON M5S 3B2, Canada</t>
  </si>
  <si>
    <t>University of Otago; Massey University; University of Toronto</t>
  </si>
  <si>
    <t>Meyer, S (corresponding author), Univ Otago, Dept Zool, Dunedin 9054, New Zealand.</t>
  </si>
  <si>
    <t>stefanmeyer621@gmail.com</t>
  </si>
  <si>
    <t>Chilvers, B. Louise/AAV-1965-2021</t>
  </si>
  <si>
    <t>Chilvers, B. Louise/0000-0002-7657-4217</t>
  </si>
  <si>
    <t>Canada Research Chair; Sloan Fellowship in Ocean Science; Natural Sciences and Engineering Research Council of Canada; New Zealand Department of Conservation's Conservation Services Program; Institute of Veterinary, Animal and Biomedical Sciences; University of Otago</t>
  </si>
  <si>
    <t>Canada Research Chair(Natural Resources CanadaCanadian Forest ServiceCanada Research Chairs); Sloan Fellowship in Ocean Science; Natural Sciences and Engineering Research Council of Canada(Natural Sciences and Engineering Research Council of Canada (NSERC)CGIAR); New Zealand Department of Conservation's Conservation Services Program; Institute of Veterinary, Animal and Biomedical Sciences; University of Otago</t>
  </si>
  <si>
    <t>S.M. thanks Scott Jarvie and Maddalena Fumagalli for helpful comments on the manuscript. We thank Thomas Mattern (University of Otago) for retrieving SST data. We also thank David Fletcher and Simon Childerhouse for supplying raw data for pup production missing in current reports. Finally, we thank two anonymous reviewers for their constructive comments, which helped to improve the manuscript. B.C.R. thanks the University of Otago for funding (PBRF). B.L.C. thanks the Institute of Veterinary, Animal and Biomedical Sciences for providing a publication fund. M.K. was funded by the Natural Sciences and Engineering Research Council of Canada, a Sloan Fellowship in Ocean Science, and a Canada Research Chair. The pup production data used in this paper were collected with funding from the New Zealand Department of Conservation's Conservation Services Program.</t>
  </si>
  <si>
    <t>10.1073/pnas.1703165114</t>
  </si>
  <si>
    <t>FL3MO</t>
  </si>
  <si>
    <t>WOS:000414127400074</t>
  </si>
  <si>
    <t>Stocchi, P; Antonioli, F; Montagna, P; Pepe, F; Lo Presti, V; Caruso, A; Corradino, M; Dardanelli, G; Renda, P; Frank, N; Douville, E; Thil, F; de Boer, B; Ruggieri, R; Sciortino, R; Pierre, C</t>
  </si>
  <si>
    <t>Stocchi, Paolo; Antonioli, Fabrizio; Montagna, Paolo; Pepe, Fabrizio; Lo Presti, Valeria; Caruso, Antonio; Corradino, Marta; Dardanelli, Gino; Renda, Pietro; Frank, Norbert; Douville, Eric; Thil, Francois; de Boer, Bas; Ruggieri, Rosario; Sciortino, Rosanna; Pierre, Catherine</t>
  </si>
  <si>
    <t>A stalactite record of four relative sea-level highstands during the Middle Pleistocene Transition</t>
  </si>
  <si>
    <t>QUATERNARY SCIENCE REVIEWS</t>
  </si>
  <si>
    <t>Interglacial(s); Pleistocene; Sea level changes; Western Europe; Speleothems; Corals; Stable isotopes; U-Th dating; Sr-87/Sr-86 ages</t>
  </si>
  <si>
    <t>ICE VOLUME; PO PLAIN; COAST; TEMPERATURE; VARIABILITY; EVOLUTION</t>
  </si>
  <si>
    <t>Ice-sheet and sea-level fluctuations during the Early and Middle Pleistocene are as yet poorly understood. A stalactite from a karst cave in North West Sicily (Italy) provides the first evidence of four marine inundations that correspond to relative sea-level highstands at the time of the Middle Pleistocene Transition. The speleothem is located similar to 97 m above mean sea level as result of Quaternary uplift. Its section reveals three marine hiatuses and a coral overgrowth that fixes the age of final marine ingression at 1.124 +/- 0.2, thus making this speleothem the oldest stalactite with marine hiatuses ever studied to date. Scleractinian coral species witness light-limited conditions and water depth of 20-50 m. Integrating the coral-constrained depth with the geologically constrained uplift rate and an ensemble of RSL scenarios, we find that the age of the last marine ingression most likely coincides with Marine Isotope Stage 35 on the basis of a probabilistic assessment. Our findings are consistent with a significant Antarctic ice-sheet retreat. (C) 2017 Elsevier Ltd. All rights reserved.</t>
  </si>
  <si>
    <t>[Stocchi, Paolo] NIOZ Royal Netherlands Inst Sea Res, Dept Coastal Syst COS, POB 59, NL-1790 AB Den Burg, Netherlands; [Stocchi, Paolo] Univ Utrecht, POB 59, NL-1790 AB Den Burg, Netherlands; [Antonioli, Fabrizio; Lo Presti, Valeria] ENEA Natl Agcy New Technol Energy &amp; Environm, Via Anguillarese 301, I-00060 Rome, Italy; [Montagna, Paolo] CNR, ISMAR, Via Gobetti 101, I-40129 Bologna, Italy; [Pepe, Fabrizio; Caruso, Antonio; Corradino, Marta; Renda, Pietro] Univ Palermo, Dipartimento Sci Terra Mare, Via Archirafi 22, Palermo, Italy; [Dardanelli, Gino; Sciortino, Rosanna] Univ Palermo, DICAM, Viale Sci,Ed 8, I-90128 Palermo, Italy; [Frank, Norbert] Heidelberg Univ, Neuenheimer Feld 229, D-69120 Heidelberg, Germany; [Douville, Eric; Thil, Francois] CNRS CEA UVSQ, UMR 8212, LSCE IPSL, F-91198 Gif Sur Yvette, France; [de Boer, Bas] Univ Utrecht, IMAU, Utrecht, Netherlands; [Ruggieri, Rosario] CIRS Ctr Ibleo Ric Speleoidrogeol, Via Torrenuova 87, I-97100 Ragusa, Italy; [Ruggieri, Rosario] Univ Nova Gor, SI-5000 Nova Gorica, Slovenia; [Pierre, Catherine] LOCEAN, Paris, France</t>
  </si>
  <si>
    <t>Utrecht University; Royal Netherlands Institute for Sea Research (NIOZ); Utrecht University; Italian National Agency New Technical Energy &amp; Sustainable Economics Development; Consiglio Nazionale delle Ricerche (CNR); Istituto di Scienze Marine (ISMAR-CNR); University of Palermo; University of Palermo; Ruprecht Karls University Heidelberg; Universite Paris Saclay; Centre National de la Recherche Scientifique (CNRS); CNRS - National Institute for Earth Sciences &amp; Astronomy (INSU); CEA; Utrecht University; University of Nova Gorica; Sorbonne Universite; Museum National d'Histoire Naturelle (MNHN)</t>
  </si>
  <si>
    <t>Stocchi, P (corresponding author), NIOZ Royal Netherlands Inst Sea Res, Dept Coastal Syst COS, POB 59, NL-1790 AB Den Burg, Netherlands.</t>
  </si>
  <si>
    <t>Paolo.Stocchi@nioz.nl</t>
  </si>
  <si>
    <t>Lo Presti, Valeria/GQZ-2377-2022; DARDANELLI, Gino/AAE-8775-2021; Caruso, Antonio/JDW-7977-2023; Pepe, Fabrizio/AAC-5714-2022; Montagna, Paolo/H-9632-2015; Dardanelli, Gino/GWC-5203-2022; Frank, Norbert/D-6486-2016</t>
  </si>
  <si>
    <t>Montagna, Paolo/0000-0001-5598-2214; Douville, Eric/0000-0002-6673-1768; Pepe, Fabrizio/0000-0001-9031-190X; DARDANELLI, Gino/0000-0002-8458-0676; Caruso, Antonio/0000-0001-9823-1373; SCIORTINO, Rosanna/0000-0002-7371-7112; corradino, marta/0000-0002-3124-2550; Frank, Norbert/0000-0002-0416-9546; Stocchi, Paolo/0000-0002-1377-3817; de Boer, Bas/0000-0002-3696-6654</t>
  </si>
  <si>
    <t>Fondo Finalizzato alla Ricerca - University of Palermo (Italy) [CUP B71J12001450001]; NWO Earth and Life Sciences (ALW) [863.15.019]</t>
  </si>
  <si>
    <t>Fondo Finalizzato alla Ricerca - University of Palermo (Italy); NWO Earth and Life Sciences (ALW)</t>
  </si>
  <si>
    <t>We are thankful to David Richards, Christian Ohneiser and Enrico Di Stefano for their helpful comments. This work was partly financially supported by the grant Fondo Finalizzato alla Ricerca 2012/2013 (CUP B71J12001450001) funded by the University of Palermo (Italy). Bas de Boer is funded by NWO Earth and Life Sciences (ALW), project 863.15.019.</t>
  </si>
  <si>
    <t>0277-3791</t>
  </si>
  <si>
    <t>QUATERNARY SCI REV</t>
  </si>
  <si>
    <t>Quat. Sci. Rev.</t>
  </si>
  <si>
    <t>10.1016/j.quascirev.2017.08.008</t>
  </si>
  <si>
    <t>FI8QF</t>
  </si>
  <si>
    <t>Green Submitted, Green Published</t>
  </si>
  <si>
    <t>WOS:000412266500006</t>
  </si>
  <si>
    <t>Das, P; Mishra, RK; Bhargava, AK; Singh, P; Mishra, S; Sinha, MK; Mohanty, PK</t>
  </si>
  <si>
    <t>Das, Pratyush; Mishra, R. K.; Bhargava, A. K.; Singh, Puran; Mishra, S.; Sinha, M. K.; Mohanty, P. K.</t>
  </si>
  <si>
    <t>Abundance and Distribution of Indian Mackerel (Rastrelliger kanagurta) along the South-West Coast of India in Respect to the Hydro-Biological Changes</t>
  </si>
  <si>
    <t>THALASSAS</t>
  </si>
  <si>
    <t>Mackerel Monsoon; Chlorophyll a; Temperature</t>
  </si>
  <si>
    <t>CLIMATE-CHANGE; ARABIAN SEA; ENVIRONMENTAL-FACTORS; FISH ASSEMBLAGE; NORTH-SEA; LONG-TERM; PRODUCTIVITY; POPULATIONS; EASTERN; CUVIER</t>
  </si>
  <si>
    <t>Data on spatio-temporal distribution studies of the Indian mackerel (Rastrelliger kanagurta), were collected along the south-west coast of India between 2004 and 2007, together with the hydrobiological data. Data were collected along the latitudes between 11(0) N and 16(0) N and longitude between 72(0) E and 75(0) E. High catches were observed at the depth of 30-50 m during the post-monsoon compared to pre-monsoon, whereas negligible catches were observed at the depth of 30-100 m during monsoon. Mackerel size ranged between 11.5-28.5cm, 15.5-34.0 cm, 11.0-28.0 cm and 15.0-28.0 cm in 2004, 2005, 2006 and 2007 respectively during post-monsoon. The primary productivity (PP) ranged from 0.38 to 9.8 mg m(-3)d(-1), temperature ranged between 23.1 and 29.6(0) C and Chlorophyll a (Chl a) ranged from 1.2 to 9.8 mgm(-3) in surface and various depths of the water column. Our findings showed that the distribution of the mackerel population significantly shifted northward during the post-monsoon season. Results revealed that the Indian mackerel were mainly influenced by PP and temperature.</t>
  </si>
  <si>
    <t>[Das, Pratyush; Bhargava, A. K.; Singh, Puran] Fishery Survey India, Mormugao, Goa, India; [Mishra, R. K.] Natl Ctr Antarctic &amp; Ocean Res, Mormugao, Goa, India; [Mishra, S.; Mohanty, P. K.] Berhampur Univ, Dept Marine Sci, Berhampur, Odisha, India; [Sinha, M. K.] Fishery Survey India, Madras, Tamil Nadu, India</t>
  </si>
  <si>
    <t>Ministry of Earth Sciences (MoES) - India; National Centre for Polar and Ocean Research (NCPOR); Berhampur University</t>
  </si>
  <si>
    <t>Mishra, RK (corresponding author), Natl Ctr Antarctic &amp; Ocean Res, Mormugao, Goa, India.</t>
  </si>
  <si>
    <t>rajanimishra@yahoo.com</t>
  </si>
  <si>
    <t>MOHANTY, PRATAP KUMAR/E-8254-2014</t>
  </si>
  <si>
    <t>MOHANTY, PRATAP KUMAR/0000-0002-1188-2008; Singh, Dr. Puran/0000-0002-4830-157X</t>
  </si>
  <si>
    <t>SPRINGER INTERNATIONAL PUBLISHING AG</t>
  </si>
  <si>
    <t>CHAM</t>
  </si>
  <si>
    <t>GEWERBESTRASSE 11, CHAM, CH-6330, SWITZERLAND</t>
  </si>
  <si>
    <t>0212-5919</t>
  </si>
  <si>
    <t>2366-1674</t>
  </si>
  <si>
    <t>Thalassas</t>
  </si>
  <si>
    <t>10.1007/s41208-017-0033-2</t>
  </si>
  <si>
    <t>Marine &amp; Freshwater Biology; Oceanography</t>
  </si>
  <si>
    <t>FK1PC</t>
  </si>
  <si>
    <t>WOS:000413253000010</t>
  </si>
  <si>
    <t>Li, HY; He, QS; Song, Q; Chen, LG; Song, YJ; Wang, YH; Lin, K; Xu, ZC; Shao, M</t>
  </si>
  <si>
    <t>Li, Hongyan; He, Qiusheng; Song, Qi; Chen, Laiguo; Song, Yongjia; Wang, Yuhang; Lin, Kui; Xu, Zhencheng; Shao, Min</t>
  </si>
  <si>
    <t>Diagnosing Tibetan pollutant sources via volatile organic compound observations</t>
  </si>
  <si>
    <t>ATMOSPHERIC ENVIRONMENT</t>
  </si>
  <si>
    <t>Tibet; Volatile organic compounds; Tracers; Sources; Regional transport</t>
  </si>
  <si>
    <t>BLACK CARBON; NONMETHANE HYDROCARBONS; CENTRAL-HIMALAYAS; EMISSION INVENTORY; AIR-POLLUTION; TRACE GASES; RIVER DELTA; AMBIENT AIR; ICE CORE; TRANSPORT</t>
  </si>
  <si>
    <t>Atmospheric transport of black carbon (BC) from surrounding areas has been shown to impact the Tibetan environment, and clarifying the geographical source and receptor regions is crucial for providing guidance for mitigation actions. In this study, 10 trace volatile organic compounds (VOCs) sampled across Tibet are chosen as proxies to diagnose source regions and related transport of pollutants to Tibet. The levels of these VOCs in Tibet are higher than those in the Arctic and Antarctic regions but much lower than those observed at many remote and background sites in Asia. The highest VOC level is observed in the eastern region, followed by the southern region and the northern region. A positive matrix factorization (PMF) model found that three factors-industry, biomass burning, and traffic-present different spatial distributions, which indicates that different zones of Tibet are influenced by different VOC sources. The average age of the air masses in the northern and eastern regions is estimated to be 3.5 and 2.8 days using the ratio of toluene to benzene, respectively, which indicates the foreign transport of VOC species to those regions. Back-trajectory analyses show that the Afghanistan-Pakistan-Tajikistan region, Indo-Gangetic Plain (IGP), and Meghalaya-Myanmar region could transport industrial VOCs to different zones of Tibet from west to east. The agricultural bases in northern India could transport biomass burning-related VOCs to the middle-northern and eastern zones of Tibet. High traffic along the unique national roads in Tibet is associated with emissions from local sources and neighboring areas. Our study proposes international joint-control efforts and targeted actions to mitigate the climatic changes and effects associated with VOCs in Tibet, which is a climate sensitive region and an important source of global water. (c) 2017 Elsevier Ltd. All rights reserved.</t>
  </si>
  <si>
    <t>[Li, Hongyan; He, Qiusheng; Song, Qi] Taiyuan Univ Sci &amp; Technol, Sch Environm &amp; Safety, Taiyuan, Shanxi, Peoples R China; [Chen, Laiguo; Lin, Kui; Xu, Zhencheng] MEP, SCIES, Urban Environm &amp; Ecol Res Ctr, Guangzhou, Guangdong, Peoples R China; [Song, Yongjia; Wang, Yuhang] Georgia Inst Technol, Sch Earth &amp; Atmospher Sci, Atlanta, GA 30332 USA; [Shao, Min] Peking Univ, Coll Environm Sci &amp; Engn, Beijing, Peoples R China</t>
  </si>
  <si>
    <t>Taiyuan University of Science &amp; Technology; University System of Georgia; Georgia Institute of Technology; Peking University</t>
  </si>
  <si>
    <t>He, QS (corresponding author), Taiyuan Univ Sci &amp; Technol, Sch Environm &amp; Safety, Taiyuan, Shanxi, Peoples R China.;Chen, LG (corresponding author), MEP, SCIES, Urban Environm &amp; Ecol Res Ctr, Guangzhou, Guangdong, Peoples R China.</t>
  </si>
  <si>
    <t>heqs@tyust.edu.cn; chenlaiguo@scies.org</t>
  </si>
  <si>
    <t>shao, min/JUV-3554-2023; Wang, Yuhang/B-5578-2014</t>
  </si>
  <si>
    <t>Wang, Yuhang/0000-0002-7290-2551</t>
  </si>
  <si>
    <t>National Natural Science Foundation of China [41501543, 41472311, 41273107]; Shanxi Province Science Foundation for Youths [2015021059]; Special Scientific Research Funds for Environmental Protection Commonwealth Section [20603020802L]; One-hundred Talent Program; Organization Department of Shanxi Province Committee; Directorate For Geosciences; Div Atmospheric &amp; Geospace Sciences [1405805] Funding Source: National Science Foundation</t>
  </si>
  <si>
    <t>National Natural Science Foundation of China(National Natural Science Foundation of China (NSFC)); Shanxi Province Science Foundation for Youths; Special Scientific Research Funds for Environmental Protection Commonwealth Section; One-hundred Talent Program(Chinese Academy of Sciences); Organization Department of Shanxi Province Committee; Directorate For Geosciences; Div Atmospheric &amp; Geospace Sciences(National Science Foundation (NSF)NSF - Directorate for Geosciences (GEO))</t>
  </si>
  <si>
    <t>The work was funded by the National Natural Science Foundation of China (No. 41501543, 41472311, 41273107), the Shanxi Province Science Foundation for Youths (No. 2015021059) and the Special Scientific Research Funds for Environmental Protection Commonwealth Section (20603020802L). The authors duly acknowledge the partial support received from the One-hundred Talent Program, which is supported by the Organization Department of Shanxi Province Committee. The authors also thank the NOAA Air Resources Laboratory (ARL) for providing the HYSPLIT model.</t>
  </si>
  <si>
    <t>1352-2310</t>
  </si>
  <si>
    <t>1873-2844</t>
  </si>
  <si>
    <t>ATMOS ENVIRON</t>
  </si>
  <si>
    <t>Atmos. Environ.</t>
  </si>
  <si>
    <t>10.1016/j.atmosenv.2017.07.031</t>
  </si>
  <si>
    <t>FH6PI</t>
  </si>
  <si>
    <t>WOS:000411298800022</t>
  </si>
  <si>
    <t>Zuev, VV; Zueva, NE; Savelieva, ES</t>
  </si>
  <si>
    <t>Zuev, V. V.; Zueva, N. E.; Savelieva, E. S.</t>
  </si>
  <si>
    <t>The role of the Mt. Merapi eruption in the 2011 Arctic ozone depletion</t>
  </si>
  <si>
    <t>Arctic ozone depletion; Polar vortex; Tropical heating; Stratospheric equator-to-pole temperature gradient; Mt. Merapi eruption</t>
  </si>
  <si>
    <t>QUASI-BIENNIAL OSCILLATION; MOUNT-PINATUBO; NORTHERN-HEMISPHERE; VOLCANIC-ERUPTIONS; WINTER 2010/2011; ANTARCTIC OZONE; HOLE; STRATOSPHERE; TEMPERATURE; CLIMATE</t>
  </si>
  <si>
    <t>One of the strongest ozone depletion events in the Arctic stratosphere was observed in March 2011 due to the strengthening of the polar vortex in February 2011. Earlier, in November 2010, the eruption of Mt. Merapi volcano (Java, Indonesia) with a maximum plume altitude of 18.3 km was recorded. The effect of aerosol heating in thetropical lower stratosphere after the Mt. Merapi eruption on the Arctic polar vortex strengthening in winter spring 2011 is examined. Based on the ERA-Interim reanalysis temperature data, we show that significant aerosol heating in the lower tropical stratosphere was observed in February March 2011 and could lead to an increase in the stratospheric equator-to-pole temperature gradient resulting in an enhanced Arctic polar vortex. We also analyze the correlation between large tropical volcanic eruptions occurring in autumn winter periods and Arctic ozone depletion events observed in the following winter spring periods. (C) 2017 The Authors. Published by Elsevier Ltd.</t>
  </si>
  <si>
    <t>[Zuev, V. V.; Zueva, N. E.; Savelieva, E. S.] Russian Acad Sci, Siberian Branch, Inst Monitoring Climat &amp; Ecol Syst, 10-3 Acad Sky Ave, Tomsk 634055, Russia; [Zuev, V. V.] Natl Res Tomsk State Univ, 36 Lenina Ave, Tomsk 634050, Russia; [Zuev, V. V.] Natl Res Tomsk Polytech Univ, 30 Lenina Ave, Tomsk 634050, Russia</t>
  </si>
  <si>
    <t>Russian Academy of Sciences; Institute of Monitoring of Climatic &amp; Ecological Systems of the Siberian Branch of the RAS; Tomsk State University; Tomsk Polytechnic University</t>
  </si>
  <si>
    <t>Savelieva, ES (corresponding author), Russian Acad Sci, Siberian Branch, Inst Monitoring Climat &amp; Ecol Syst, 10-3 Acad Sky Ave, Tomsk 634055, Russia.</t>
  </si>
  <si>
    <t>vvzuev@imces.ru; vzuev@list.ru; ekat.savelieva@gmail.com</t>
  </si>
  <si>
    <t>Savelieva, Ekaterina S/E-4782-2014; Savelieva, Ekaterina/HCH-5908-2022; Zuev, Vladimir/E-5470-2014</t>
  </si>
  <si>
    <t>Savelieva, Ekaterina S/0000-0002-6560-7386; Zuev, Vladimir/0000-0002-2351-8924</t>
  </si>
  <si>
    <t>10.1016/j.atmosenv.2017.07.040</t>
  </si>
  <si>
    <t>WOS:000411298800029</t>
  </si>
  <si>
    <t>Fountain, AG; Glenn, B; Scambos, TA</t>
  </si>
  <si>
    <t>Fountain, Andrew G.; Glenn, Bryce; Scambos, Ted A.</t>
  </si>
  <si>
    <t>The changing extent of the glaciers along the western Ross Sea, Antarctica</t>
  </si>
  <si>
    <t>GEOLOGY</t>
  </si>
  <si>
    <t>OUTLET GLACIERS; ICE; PENINSULA; DRIVEN; LAND</t>
  </si>
  <si>
    <t>We examine the change in terminus positions of glaciers flowing into the western Ross Sea, Antarctica, between 71 degrees S and 78 degrees S as a proxy for changes in snowfall and/or summer air temperature. This coastline's major glaciers terminate in ice tongues, which are particularly sensitive to changes in flow rate and calving. Using historic maps and satellite imagery spanning 60 yr (A. D. 1955-2015), the terminus positions, ice speed, calving rates, and ice front advance and retreat rates for 34 glaciers are documented. Additionally, changes in regional ice flow speed from 2008 to 2014 are examined. No significant spatial or temporal patterns of terminus position, flow speed, or calving emerged, implying that the conditions associated with ice tongue stability are unchanged. A weak trend of advance may be present in the northernmost part of the coast, consistent with estimates of increased snow accumulation and glacier mass balance in that region. The stability of these glaciers over the past half century contrasts sharply with the rapidly shrinking glaciers of the Antarctic Peninsula and suggests that no significant climate change, as manifest in glacier change, has reached this region of Antarctica.</t>
  </si>
  <si>
    <t>[Fountain, Andrew G.; Glenn, Bryce] Portland State Univ, Dept Geol, Portland, OR 97212 USA; [Scambos, Ted A.] Univ Colorado, Natl Snow &amp; Ice Data Ctr, CIRES, 449 UCB, Boulder, CO 80309 USA</t>
  </si>
  <si>
    <t>Portland State University; University of Colorado System; University of Colorado Boulder</t>
  </si>
  <si>
    <t>Fountain, AG (corresponding author), Portland State Univ, Dept Geol, Portland, OR 97212 USA.</t>
  </si>
  <si>
    <t>SCAMBOS, Ted A./0000-0003-4268-6322</t>
  </si>
  <si>
    <t>National Science Foundation [PLR-1153140]; U.S. Geological Survey contract [G12P00066]</t>
  </si>
  <si>
    <t>National Science Foundation(National Science Foundation (NSF)); U.S. Geological Survey contract</t>
  </si>
  <si>
    <t>This work was supported by National Science Foundation grant PLR-1153140 and U.S. Geological Survey contract G12P00066. We acknowledge the thoughtful comments by the three reviewers that improved the manuscript.</t>
  </si>
  <si>
    <t>0091-7613</t>
  </si>
  <si>
    <t>1943-2682</t>
  </si>
  <si>
    <t>10.1130/G39240.1</t>
  </si>
  <si>
    <t>FI1PI</t>
  </si>
  <si>
    <t>WOS:000411705800021</t>
  </si>
  <si>
    <t>Llano, DX; McMahon, RA</t>
  </si>
  <si>
    <t>Llano, Danilo Xavier; McMahon, Richard A.</t>
  </si>
  <si>
    <t>Control Techniques With System Efficiency Comparison for Microwind Turbines</t>
  </si>
  <si>
    <t>IEEE TRANSACTIONS ON SUSTAINABLE ENERGY</t>
  </si>
  <si>
    <t>Active rectification; micro wind turbine; sensorless speed control; wind emulator test-rig</t>
  </si>
  <si>
    <t>FILTER</t>
  </si>
  <si>
    <t>This paper presents the implementation of a sensorless speed controller and active rectification in a microwind turbine intended for battery charging. The controller was tested in a wind turbine emulator test rig using real wind data available from British bases in Antarctica. The control algorithm was successfully tested up to 14 m/s wind speed. Beyond this point, the electrical unbalance in the turbine generator compromised the stability and performance of the system. Also, a system efficiency comparison of different control algorithms is given to demonstrate the advantages of using active rectification instead of passive diode rectifiers in microwind turbines. This comparison was done between the sensorless control plus active rectifier, a dc-dc converter regulator, and the direct connection between the turbine and battery by means of a diode rectifier. The turbine with an active rectifier and sensorless control achieved the highest power coefficient over the range of wind speeds showing that this technique is an attractive and relatively low-cost solution for maintaining good performance of microwind turbines at low and moderate wind speeds.</t>
  </si>
  <si>
    <t>[Llano, Danilo Xavier; McMahon, Richard A.] Univ Cambridge, Elect Engn Div, Cambridge CB3 0FA, England; [Llano, Danilo Xavier; McMahon, Richard A.] Univ Warwick, Warwick Mfg Grp, Coventry CV4 7AL, W Midlands, England</t>
  </si>
  <si>
    <t>University of Cambridge; University of Warwick</t>
  </si>
  <si>
    <t>Llano, DX (corresponding author), Univ Cambridge, Elect Engn Div, Cambridge CB3 0FA, England.;Llano, DX (corresponding author), Univ Warwick, Warwick Mfg Grp, Coventry CV4 7AL, W Midlands, England.</t>
  </si>
  <si>
    <t>dxl20@cantab.net; R.McMahon.1@warwick.ac.uk</t>
  </si>
  <si>
    <t>Llano, Danilo Xavier/0000-0002-0283-2922</t>
  </si>
  <si>
    <t>Semiconductor Research Corporation; Texas Analog Center of Excellence [1836.069]; Electronic Systems for Small Wind Turbines; NERC IAA</t>
  </si>
  <si>
    <t>Semiconductor Research Corporation; Texas Analog Center of Excellence; Electronic Systems for Small Wind Turbines; NERC IAA</t>
  </si>
  <si>
    <t>This work was supported by the Semiconductor Research Corporation and the Texas Analog Center of Excellence through the Task ID: 1836.069, Electronic Systems for Small Wind Turbines, and NERC IAA Knowledge Exchange Awards in collaboration with the British Antarctic Survey. Paper no. TSTE-00684-2016.R2.</t>
  </si>
  <si>
    <t>1949-3029</t>
  </si>
  <si>
    <t>IEEE T SUSTAIN ENERG</t>
  </si>
  <si>
    <t>IEEE Trans. Sustain. Energy</t>
  </si>
  <si>
    <t>10.1109/TSTE.2017.2698024</t>
  </si>
  <si>
    <t>Green &amp; Sustainable Science &amp; Technology; Energy &amp; Fuels; Engineering, Electrical &amp; Electronic</t>
  </si>
  <si>
    <t>Science &amp; Technology - Other Topics; Energy &amp; Fuels; Engineering</t>
  </si>
  <si>
    <t>FI0UV</t>
  </si>
  <si>
    <t>WOS:000411646200025</t>
  </si>
  <si>
    <t>Graham, LE; Graham, JM; Knack, JJ; Trest, MT; Piotrowski, MJ; Arancibia-Avila, P</t>
  </si>
  <si>
    <t>Graham, Linda E.; Graham, James M.; Knack, Jennifer J.; Trest, Marie T.; Piotrowski, Michael J.; Arancibia-Avila, Patricia</t>
  </si>
  <si>
    <t>A Sub-Antarctic Peat Moss Metagenome Indicates Microbiome Resilience to Stress and Biogeochemical Functions of Early Paleozoic Terrestrial Ecosystems</t>
  </si>
  <si>
    <t>INTERNATIONAL JOURNAL OF PLANT SCIENCES</t>
  </si>
  <si>
    <t>metagenome; microbiome; Paleozoic; peatland; peat moss; UV</t>
  </si>
  <si>
    <t>LAND PLANTS; MIDDLE ORDOVICIAN; UV-B; DIVERSITY; RADIATION; CARBON; DIVERSIFICATION; FERTILIZATION; EVOLUTIONARY; COMMUNITIES</t>
  </si>
  <si>
    <t>Premise of research.Abundant peat mosses and epibiotic microbiota, common in widespread modern peatlands, constitute complex biotic systems recognized to provide globally significant ecosystem services: organic carbon sequestration, methane oxidation, and nitrogen fixation. Because recent fossil and molecular diversification evidence indicates that peat mosses are &gt;450 Myr old, they may be among Earth's earliest land plants. The biogeochemical effects of early vegetation, which may have occupied remote islands and experienced nutritional stress and episodes of high UV radiation, are poorly understood. To gain insight into taxonomic composition, biogeochemical function, and resilience of archaic peat moss microbiomes, we performed shotgun metagenomic sequencing of a similarly stressed modern peat moss. Methodology.Sphagnum fimbriatum was sampled from Chilean sub-Antarctic Navarino Island, which is remote from nutrient pollution and subject to high UV beneath the southern ozone hole. 16S, 18S, 23S, and 28S ribosomal RNA sequences filtered from contigs assembled from long-read Roche 454 and deep short-read Illumina sequences were employed to infer prokaryotic and eukaryotic microbiome composition at generic and higher levels for comparison to peat moss microbiota reported for other locales. Pivotal results.Comparison of bacterial diversityincluding &gt;75 genera represented by 100 sequence reads and &gt;250 genera represented by 10 readsto diversity reported from previous peatland studies indicated the operation of recognized peatland functions (carbon sequestration, methane oxidation, and nitrogen fixation), signifying stress resilience. Eukaryotic features included &gt;45 protist genera, some of pivotal evolutionary significance; distinctive fungal associations; and ancient lineages of microscopic invertebrate animals, including springtails known to foster moss reproduction. Conclusions.Metagenomic approaches provide a new, expanding window into early terrestrial vegetation and its biogeochemical effects, indicating that complex peat moss systems resilient to stressful environmental conditions likely occurred in deep time and persist to the present.</t>
  </si>
  <si>
    <t>[Graham, Linda E.; Graham, James M.; Knack, Jennifer J.; Trest, Marie T.; Piotrowski, Michael J.] Univ Wisconsin, Dept Bot, Madison, WI 53706 USA; [Arancibia-Avila, Patricia] Univ Bio Bio, Dept Basic Sci, Chillan, Chile</t>
  </si>
  <si>
    <t>University of Wisconsin System; University of Wisconsin Madison; Universidad del Bio-Bio</t>
  </si>
  <si>
    <t>Graham, LE (corresponding author), Univ Wisconsin, Dept Bot, Madison, WI 53706 USA.</t>
  </si>
  <si>
    <t>lkgraham@wisc.edu</t>
  </si>
  <si>
    <t>Arancibia-Avila, Patricia A/K-2547-2013</t>
  </si>
  <si>
    <t>Arancibia-Avila, Patricia A/0000-0002-5814-1725; Knack, Jennifer/0000-0003-1252-1092</t>
  </si>
  <si>
    <t>NSF [DEB1119944]; CONICYT-FONDECYT [1120619]</t>
  </si>
  <si>
    <t>NSF(National Science Foundation (NSF)); CONICYT-FONDECYT(Comision Nacional de Investigacion Cientifica y Tecnologica (CONICYT)CONICYT FONDECYT)</t>
  </si>
  <si>
    <t>We thank J. Zedler for assistance in expedition planning and execution, K. Moses and N. Shay for assistance with field collection, W. R. Buck (New York Botanical Garden) for advice regarding peat moss species identification, H. A. Owen for expert assistance with SEM, S. Friedrich for assistance with image and graphical figures, and the NSF (grant DEB1119944) and CONICYT-FONDECYT (grant 1120619) for financial support.</t>
  </si>
  <si>
    <t>UNIV CHICAGO PRESS</t>
  </si>
  <si>
    <t>CHICAGO</t>
  </si>
  <si>
    <t>1427 E 60TH ST, CHICAGO, IL 60637-2954 USA</t>
  </si>
  <si>
    <t>1058-5893</t>
  </si>
  <si>
    <t>1537-5315</t>
  </si>
  <si>
    <t>INT J PLANT SCI</t>
  </si>
  <si>
    <t>Int. J. Plant Sci.</t>
  </si>
  <si>
    <t>10.1086/693019</t>
  </si>
  <si>
    <t>FH7YV</t>
  </si>
  <si>
    <t>WOS:000411409700004</t>
  </si>
  <si>
    <t>Dufour, CO; Morrison, AK; Griffies, SM; Frenger, I; Zanowski, H; Winton, M</t>
  </si>
  <si>
    <t>Dufour, Carolina O.; Morrison, Adele K.; Griffies, Stephen M.; Frenger, Ivy; Zanowski, Hannah; Winton, Michael</t>
  </si>
  <si>
    <t>Preconditioning of the Weddell Sea Polynya by the Ocean Mesoscale and Dense Water Overflows</t>
  </si>
  <si>
    <t>JOURNAL OF CLIMATE</t>
  </si>
  <si>
    <t>COUPLED CLIMATE MODEL; ANTARCTIC BOTTOM WATER; SOUTHERN-OCEAN; Z-COORDINATE; MAUD RISE; OVERTURNING CIRCULATION; DEEP CONVECTION; TRANSPORT; VARIABILITY; SENSITIVITY</t>
  </si>
  <si>
    <t>The Weddell Sea polynya is a large opening in the open-ocean sea ice cover associated with intense deep convection in the ocean. A necessary condition to form and maintain a polynya is the presence of a strong subsurface heat reservoir. This study investigates the processes that control the stratification and hence the buildup of the subsurface heat reservoir in the Weddell Sea. To do so, a climate model run for 200 years under preindustrial forcing with two eddying resolutions in the ocean (0.25 degrees CM2.5 and 0.10 degrees CM2.6) is investigated. Over the course of the simulation, CM2.6 develops two polynyas in the Weddell Sea, while CM2.5 exhibits quasi-continuous deep convection but no polynyas, exemplifying that deep convection is not a sufficient condition for a polynya to occur. CM2.5 features a weaker subsurface heat reservoir than CM2.6 owing to weak stratification associated with episodes of gravitational instability and enhanced vertical mixing of heat, resulting in an erosion of the reservoir. In contrast, in CM2.6, the water column is more stably stratified, allowing the subsurface heat reservoir to build up. The enhanced stratification in CM2.6 arises from its refined horizontal grid spacing and resolution of topography, which allows, in particular, a better representation of the restratifying effect by transient mesoscale eddies and of the overflows of dense waters along the continental slope.</t>
  </si>
  <si>
    <t>[Dufour, Carolina O.; Morrison, Adele K.; Frenger, Ivy; Zanowski, Hannah] Princeton Univ, Atmospher &amp; Ocean Sci Program, Princeton, NJ 08544 USA; [Dufour, Carolina O.] McGill Univ, Dept Atmospher &amp; Ocean Sci, Montreal, PQ, Canada; [Morrison, Adele K.] Australian Natl Univ, Res Sch Earth Sci, Canberra, ACT, Australia; [Griffies, Stephen M.; Winton, Michael] NOAA Geophys Fluid Dynam Lab, Princeton, NJ USA; [Frenger, Ivy] GEOMAR Helmholtz Ctr Ocean Res Kiel, Kiel, Germany; [Zanowski, Hannah] Univ Washington, Joint Inst Study Atmosphere &amp; Ocean, Seattle, WA 98195 USA</t>
  </si>
  <si>
    <t>Princeton University; National Oceanic Atmospheric Admin (NOAA) - USA; McGill University; Australian National University; National Oceanic Atmospheric Admin (NOAA) - USA; Helmholtz Association; GEOMAR Helmholtz Center for Ocean Research Kiel; University of Washington; University of Washington Seattle</t>
  </si>
  <si>
    <t>Dufour, CO (corresponding author), Princeton Univ, Atmospher &amp; Ocean Sci Program, Princeton, NJ 08544 USA.;Dufour, CO (corresponding author), McGill Univ, Dept Atmospher &amp; Ocean Sci, Montreal, PQ, Canada.</t>
  </si>
  <si>
    <t>carolina.dufour@mcgill.ca</t>
  </si>
  <si>
    <t>Griffies, Stephen Matthew/N-9144-2019; Dufour, Carolina/GZA-9986-2022; Frenger, Ivy/B-9023-2017; Morrison, Adele/C-1774-2012</t>
  </si>
  <si>
    <t>Griffies, Stephen Matthew/0000-0002-3711-236X; Dufour, Carolina/0000-0002-1441-3880; Frenger, Ivy/0000-0002-3490-7239; Morrison, Adele/0000-0002-9904-4980; Zanowski, Hannah/0000-0002-4086-2583</t>
  </si>
  <si>
    <t>National Aeronautics and Space Administration (NASA) [NNX14AL40G]; Princeton Environmental Institute (PEI) Grand Challenge initiative; U.S. Department of Energy [DE-SC0012457]; PEI Grand Challenge initiative; Australian Research Council DECRA Fellowship [DE170100184]; Swiss National Science Foundation Early Postdoc Mobility Fellowship [P2EZP2-152133]; NASA [NNX14AL40G]; National Science Foundation [PLR-1425989]; NASA [679646, NNX14AL40G] Funding Source: Federal RePORTER; Australian Research Council [DE170100184] Funding Source: Australian Research Council; U.S. Department of Energy (DOE) [DE-SC0012457] Funding Source: U.S. Department of Energy (DOE); Swiss National Science Foundation (SNF) [P2EZP2_152133] Funding Source: Swiss National Science Foundation (SNF)</t>
  </si>
  <si>
    <t>National Aeronautics and Space Administration (NASA)(National Aeronautics &amp; Space Administration (NASA)); Princeton Environmental Institute (PEI) Grand Challenge initiative; U.S. Department of Energy(United States Department of Energy (DOE)); PEI Grand Challenge initiative; Australian Research Council DECRA Fellowship(Australian Research Council); Swiss National Science Foundation Early Postdoc Mobility Fellowship(Swiss National Science Foundation (SNSF)); NASA(National Aeronautics &amp; Space Administration (NASA)); National Science Foundation(National Science Foundation (NSF)); NASA(National Aeronautics &amp; Space Administration (NASA)); Australian Research Council(Australian Research Council); U.S. Department of Energy (DOE)(United States Department of Energy (DOE)); Swiss National Science Foundation (SNF)(Swiss National Science Foundation (SNSF))</t>
  </si>
  <si>
    <t>C. O. Dufour was supported by the National Aeronautics and Space Administration (NASA) under Award NNX14AL40G and by the Princeton Environmental Institute (PEI) Grand Challenge initiative. A. K. Morrison was supported by the U.S. Department of Energy under Award DE-SC0012457, by the PEI Grand Challenge initiative, and by the Australian Research Council DECRA Fellowship DE170100184. I. Frenger was supported by the Swiss National Science Foundation Early Postdoc Mobility Fellowship P2EZP2-152133 and NASA under Award NNX14AL40G. This work was performed in J. L. Sarmiento's team at Princeton University. The Southern Ocean Carbon and Climate Observations and Modeling (SOCCOM) project, supported under the National Science Foundation Award PLR-1425989 and led by Sarmiento, provided a favorable environment and some travel support for this work. We thank Robert Hallberg, Sonya Legg, and Gustavo Mastrorocco Marques for helpful comments and insightful discussions on this manuscript. We also thank Miguel Morales Maqueda and two anonymous reviewers for providing sound and constructive comments that greatly improved this manuscript.</t>
  </si>
  <si>
    <t>0894-8755</t>
  </si>
  <si>
    <t>1520-0442</t>
  </si>
  <si>
    <t>J CLIMATE</t>
  </si>
  <si>
    <t>J. Clim.</t>
  </si>
  <si>
    <t>10.1175/JCLI-D-16-0586.1</t>
  </si>
  <si>
    <t>FH8IE</t>
  </si>
  <si>
    <t>WOS:000411436700007</t>
  </si>
  <si>
    <t>Bishop, SP; Small, RJ; Bryan, FO; Tomas, RA</t>
  </si>
  <si>
    <t>Bishop, Stuart P.; Small, R. Justin; Bryan, Frank O.; Tomas, Robert A.</t>
  </si>
  <si>
    <t>Scale Dependence of Midlatitude Air-Sea Interaction</t>
  </si>
  <si>
    <t>SURFACE TEMPERATURE ANOMALIES; STOCHASTIC CLIMATE MODELS; HEAT-FLUX; RECIRCULATION GYRE; NORTH PACIFIC; OCEAN; VARIABILITY; ATMOSPHERE; THERMOCLINE; TRANSPORT</t>
  </si>
  <si>
    <t>It has traditionally been thought that midlatitude sea surface temperature (SST) variability is predominantly driven by variations in air-sea surface heat fluxes (SHFs) associated with synoptic weather variability. Here it is shown that in regions marked by the highest climatological SST gradients and SHF loss to the atmosphere, the variability in SST and SHF at monthly and longer time scales is driven by internal ocean processes, termed here oceanic weather.'' This is shown within the context of an energy balance model of coupled air-sea interaction that includes both stochastic forcing for the atmosphere and ocean. The functional form of the lagged correlation between SST and SHF allows us to discriminate between variability that is driven by atmospheric versus oceanic weather. Observations show that the lagged functional relationship of SST-SHF and SST tendency-SHF correlation is indicative of ocean-driven SST variability in the western boundary currents (WBCs) and the Antarctic Circumpolar Current (ACC). By applying spatial and temporal smoothing, thereby dampening the signature SST anomalies generated by eddy stirring, it is shown that the oceanic influence on SST variability increases with time scale but decreases with increasing spatial scale. The scale at which SST variability in the WBCs and the ACC transitions from ocean to atmosphere driven occurs at scales less than 500 km. This transition scale highlights the need to resolve mesoscale eddies in coupled climate models to adequately simulate the variability of air-sea interaction. Away from strong SST fronts the lagged functional relationships are indicative of the traditional paradigm of atmospherically driven SST variability.</t>
  </si>
  <si>
    <t>[Bishop, Stuart P.] North Carolina State Univ, Raleigh, NC 27695 USA; [Small, R. Justin; Bryan, Frank O.; Tomas, Robert A.] Natl Ctr Atmospher Res, POB 3000, Boulder, CO 80307 USA</t>
  </si>
  <si>
    <t>North Carolina State University; National Center Atmospheric Research (NCAR) - USA</t>
  </si>
  <si>
    <t>Bishop, SP (corresponding author), North Carolina State Univ, Raleigh, NC 27695 USA.</t>
  </si>
  <si>
    <t>spbishop@ncsu.edu</t>
  </si>
  <si>
    <t>Bryan, Frank/I-1309-2016</t>
  </si>
  <si>
    <t>Bryan, Frank/0000-0003-1672-8330; Small, Richard/0000-0002-3452-2179</t>
  </si>
  <si>
    <t>NASA-ROSES [15-PO15-0010]; National Science Foundation through its NCAR</t>
  </si>
  <si>
    <t>NASA-ROSES(National Aeronautics &amp; Space Administration (NASA)); National Science Foundation through its NCAR</t>
  </si>
  <si>
    <t>We thank three anonymous reviewers, whose comments improved this manuscript. This work was supported by NASA-ROSES 15-PO15-0010. FOB was supported by the National Science Foundation through its sponsorship of NCAR.</t>
  </si>
  <si>
    <t>10.1175/JCLI-D-17-0159.1</t>
  </si>
  <si>
    <t>FH8IP</t>
  </si>
  <si>
    <t>WOS:000411438000010</t>
  </si>
  <si>
    <t>Sun, ST; Liu, JL</t>
  </si>
  <si>
    <t>Sun, Shantong; Liu, Jinliang</t>
  </si>
  <si>
    <t>Sensitivity of the Antarctic Circumpolar Current transport to surface buoyancy conditions in the North Atlantic</t>
  </si>
  <si>
    <t>OCEAN MODELLING</t>
  </si>
  <si>
    <t>Antarctic Circumpolar Current; Overturning circulation; North Atlantic</t>
  </si>
  <si>
    <t>MERIDIONAL OVERTURNING CIRCULATION; SOUTHERN-OCEAN; CLIMATE-CHANGE; DRAKE PASSAGE; MODELS; STRATIFICATION; CLOSURE; SETS</t>
  </si>
  <si>
    <t>The sensitivity of the Antarctic Circumpolar Current (ACC) transport to surface buoyancy conditions in the North Atlantic is investigated using a sector configuration of an ocean general circulation model. We find that the sensitivity of the ACC transport is significantly weaker than previous studies. We attribute this difference to the different depth of the simulated Atlantic Meridional Overturning Circulation. Because a fast restoring buoyancy boundary condition is used that strongly constrains the surface buoyancy structure at the Southern Ocean surface, the ACC transport is determined by the isopycnal slope that is coupled to the overturning circulation in the Southern Ocean. By changing the surface buoyancy in the North Atlantic, the shared buoyancy contour between the North Atlantic and the Southern Ocean is varied, and consequently the strength of the overturning circulation is modified. For different depth of the simulated overturning circulation, the response of the ACC transport to changes in the strength of the overturning circulation varies substantially. This is illustrated in two conceptual models based on the residual-mean theory of overturning circulation. Our results imply that the sensitivity of the ACC transport to surface forcing in the North Atlantic could vary substantially in different models depending on the simulated vertical structure of the overturning circulation. (C) 2017 Elsevier Ltd. All rights reserved.</t>
  </si>
  <si>
    <t>[Sun, Shantong] Univ Calif San Diego, Scripps Inst Oceanog, 9500 Gilman Dr, La Jolla, CA 92093 USA; [Liu, Jinliang] Louisiana State Univ, Dept Oceanog &amp; Coastal Sci, Baton Rouge, LA 70803 USA</t>
  </si>
  <si>
    <t>University of California System; University of California San Diego; Scripps Institution of Oceanography; Louisiana State University System; Louisiana State University</t>
  </si>
  <si>
    <t>Sun, ST (corresponding author), Univ Calif San Diego, Scripps Inst Oceanog, 9500 Gilman Dr, La Jolla, CA 92093 USA.</t>
  </si>
  <si>
    <t>shantong@ucsd.edu</t>
  </si>
  <si>
    <t>Sun, Shantong/AAY-2000-2020; Liu, Jinliang/AAZ-5085-2021; Sun, Shantong/AAL-8285-2021</t>
  </si>
  <si>
    <t>Sun, Shantong/0000-0002-6932-5589; Liu, Jinliang/0000-0001-7744-1822;</t>
  </si>
  <si>
    <t>National Science Foundation [ACI-1548562, OCE-1357078]; Division Of Ocean Sciences; Directorate For Geosciences [1357078] Funding Source: National Science Foundation</t>
  </si>
  <si>
    <t>National Science Foundation(National Science Foundation (NSF)); Division Of Ocean Sciences; Directorate For Geosciences(National Science Foundation (NSF)NSF - Directorate for Geosciences (GEO))</t>
  </si>
  <si>
    <t>This work used the Extreme Science and Engineering Discovery Environment (XSEDE), which is supported by National Science Foundation grant number ACI-1548562. S. Sun is supported by National Science Foundation grant OCE-1357078. Without implying their endorsement, the authors thank Ian Eisenman, Andrew Stewart, Ru Chen, Arjun Jagannathan, and Cesar Rocha for their helpful comments and discussions. The authors are also grateful for the helpful comments from two anonymous reviewers.</t>
  </si>
  <si>
    <t>1463-5003</t>
  </si>
  <si>
    <t>1463-5011</t>
  </si>
  <si>
    <t>OCEAN MODEL</t>
  </si>
  <si>
    <t>Ocean Model.</t>
  </si>
  <si>
    <t>10.1016/j.ocemod.2017.09.004</t>
  </si>
  <si>
    <t>Meteorology &amp; Atmospheric Sciences; Oceanography</t>
  </si>
  <si>
    <t>FH8RI</t>
  </si>
  <si>
    <t>WOS:000411466900009</t>
  </si>
  <si>
    <t>Das, M; Singh, RK; Gupta, AK; Bhaumik, AK</t>
  </si>
  <si>
    <t>Das, Moumita; Singh, Raj K.; Gupta, Anil K.; Bhaumik, Ajoy K.</t>
  </si>
  <si>
    <t>Holocene strengthening of the Oxygen Minimum Zone in the northwestern Arabian Sea linked to changes in intermediate water circulation or Indian monsoon intensity?</t>
  </si>
  <si>
    <t>PALAEOGEOGRAPHY PALAEOCLIMATOLOGY PALAEOECOLOGY</t>
  </si>
  <si>
    <t>Oxygen Minimum Zone (OMZ); Red Sea water (RSW); Indian monsoon; Arabian Sea; Holocene; Benthic foraminifera</t>
  </si>
  <si>
    <t>RECENT BENTHIC FORAMINIFERA; RED-SEA; SPECIES-DIVERSITY; ORGANIC-MATTER; WINTER MONSOON; OCEAN; CLIMATE; RECORD; VENTILATION; OUTFLOW</t>
  </si>
  <si>
    <t>A high resolution 14,000 year old record of benthic foraminifera from ODP Hole 723A was produced to understand changing intensity of the NW Arabian Sea Oxygen Minimum Zone (OMZ) and its links with intermediate water circulation and Indian Monsoon Intensity. During the latest Pleistocene, the OMZ was very weak marked by the abundance of oxic species. From early to mid Holocene period (up to 6500 years BP), intense SW mon-soon-related high surface productivity led to the development of an OMZ in the Arabian Sea; however, presence of oxic and suboxic species indicate that OMZ intensification was minimized by cyclic incursions of oxygen-rich intermediate waters from the South. The middle Holocene was a transitional period to intense OMZ conditions. The intensification of the OMZ could be due to replacement of oxygen-rich southern source Sub -Antarctic Mode and Antarctic Intermediate Waters (SAMW-AAIW), with oxygen poor Red Sea Water (RSW) from the north during the middle Holocene. As the intensity of the summer monsoon weakened during the late Holocene (similar to 4200 years BP onwards) the Arabian Sea OMZ intensified, suggesting total cut off from the oxygenated SAMW-AAIW. Spectral analysis of Information Function (H), benthic foraminifer Bolivina spp. and oxic species of benthic foraminifera indicate that the intensity of the OMZ and deep water conditions respond closely to solar cycles. (C) 2016 Elsevier B.V. All rights reserved.</t>
  </si>
  <si>
    <t>[Das, Moumita; Gupta, Anil K.] Indian Inst Technol Kharagpur, Dept Geol &amp; Geophys, Kharagpur 721302, W Bengal, India; [Singh, Raj K.] Indian Inst Technol Bhubaneswar, Sch Earth Ocean &amp; Climate Sci, Bhubaneswar 751007, Orissa, India; [Bhaumik, Ajoy K.] Indian Inst Technol, Indian Sch Mines, Dept Appl Geol, Dhanbad 826004, Bihar, India; [Gupta, Anil K.] Wadia Inst Himalayan Geol, 33 GMS Rd, Dehra Dun 248001, Uttar Pradesh, India</t>
  </si>
  <si>
    <t>Indian Institute of Technology System (IIT System); Indian Institute of Technology (IIT) - Kharagpur; Indian Institute of Technology System (IIT System); Indian Institute of Technology (IIT) - Bhubaneswar; Indian Institute of Technology System (IIT System); Indian Institute of Technology (Indian School of Mines) Dhanbad; Department of Science &amp; Technology (India); Wadia Institute of Himalayan Geology (WIHG)</t>
  </si>
  <si>
    <t>Das, M (corresponding author), Indian Inst Technol Kharagpur, Dept Geol &amp; Geophys, Kharagpur 721302, W Bengal, India.</t>
  </si>
  <si>
    <t>dasmoumita88@yahoo.com</t>
  </si>
  <si>
    <t>SINGH, RAJ K./ABE-4793-2021; Bhaumik, Ajoy K/N-6343-2019; SINGH, RAJ K./HGE-7393-2022</t>
  </si>
  <si>
    <t>SINGH, RAJ K./0000-0003-2900-7145; Bhaumik, Ajoy K/0000-0002-6217-8061; SINGH, RAJ K./0000-0003-2900-7145; Gupta, Anil/0000-0003-0536-3911</t>
  </si>
  <si>
    <t>DST, New Delhi [SR/S4/ES-46/2003]; CSIR, New Delhi; IIT Bhubaneswar; MoES, Govt. of India; NCAOR, Goa</t>
  </si>
  <si>
    <t>DST, New Delhi(Department of Science &amp; Technology (India)); CSIR, New Delhi(Council of Scientific &amp; Industrial Research (CSIR) - India); IIT Bhubaneswar; MoES, Govt. of India; NCAOR, Goa</t>
  </si>
  <si>
    <t>International Ocean Drilling Program (IODP) is thankfully acknowledged for providing core samples to carry out the present study. This study was supported by DST, New Delhi (SR/S4/ES-46/2003 and J.C. Bose fellowship) to A.K.G. and CSIR, New Delhi, through an independent fellowship to M.D. RKS acknowledges the support of IIT Bhubaneswar, NCAOR, Goa and MoES, Govt. of India. The authors also thank the two anonymous reviewers for their thoughtful reviews.</t>
  </si>
  <si>
    <t>0031-0182</t>
  </si>
  <si>
    <t>1872-616X</t>
  </si>
  <si>
    <t>PALAEOGEOGR PALAEOCL</t>
  </si>
  <si>
    <t>Paleogeogr. Paleoclimatol. Paleoecol.</t>
  </si>
  <si>
    <t>10.1016/j.palaeo.2016.10.035</t>
  </si>
  <si>
    <t>Geography, Physical; Geosciences, Multidisciplinary; Paleontology</t>
  </si>
  <si>
    <t>Physical Geography; Geology; Paleontology</t>
  </si>
  <si>
    <t>FH9QR</t>
  </si>
  <si>
    <t>WOS:000411547300010</t>
  </si>
  <si>
    <t>Azharuddin, S; Govil, P; Singh, AD; Mishra, R; Agrawal, S; Tiwari, AK; Kumar, K</t>
  </si>
  <si>
    <t>Azharuddin, Syed; Govil, Pawan; Singh, A. D.; Mishra, Ravi; Agrawal, Shailesh; Tiwari, A. K.; Kumar, Kamlesh</t>
  </si>
  <si>
    <t>Monsoon-influenced variations in productivity and lithogenic flux along offshore Saurashtra, NE Arabian Sea during the Holocene and Younger Dryas: A multi-proxy approach</t>
  </si>
  <si>
    <t>Palaeoclimate; NE Arabian Sea; Oxygen isotope; Planktonic foraminifera; Offshore Saurashtra</t>
  </si>
  <si>
    <t>WESTERN CONTINENTAL-SHELF; INDIAN-SUMMER MONSOON; CLIMATE-CHANGE; PLANKTONIC-FORAMINIFERA; SURFACE TEMPERATURE; ORGANIC-CARBON; ASIAN MONSOON; OMZ INTENSITY; NORTH KERALA; LEVEL</t>
  </si>
  <si>
    <t>A sediment core from NE Arabian Sea was studied to reveal the variations in shelf environment of western continental margin of India. A multi-proxy analysis based on planktonic foraminifera abundance (PFA), benthic foraminifera abundance (BFA), planktonic-benthic foraminiferal ratio (P/B), CaCO3 percentage (wt%), Oxygen (delta O-18(G.ruber)) and Carbon (delta O-18(G.ruber)) isotopes of foraminifera as well as sediment X-ray studies were carried out on 3.4 m long core SK-240/485 recovered from offshore Saurashtra, NE Arabian Sea. The study aims to understand the monsoon variability in the NE Arabian Sea offshore Saurashtra since the late Pleistocene-Holocene transition and how monsoon climate coupled with sea-level change influenced paleo-productivity pattern. Six AMS radiocarbon dates place the core in the time interval 12-1 Ka. Our study reveals that there have been three periods of major changes in the monsoonal climate, productivity and sea level; viz. 12-8 Ka (Younger Dryas and early Holocene); 8-4 Ka (middle Holocene) and 4-1 Ka (late Holocene). The studied time period was also marked by weakened south west monsoon (SWM) during the cold events such as Younger Dryas (YD), Abrupt Event (AE) centring around 9.8 Ka as well as 8.2 and 4 Ka cold events. The Younger Dryas and early Holocene shows the low sea level stand and less Indus river discharge. Thereafter during middle and late Holocene the monsoon strengthened which resulted in raised sea level and increased Indus river discharge. The proxy records broadly suggest relatively low foraminiferal productivity at the core location during the Younger Dryas and early Holocene. We record a moderate foraminiferal productivity during the middle Holocene between 8 and 4 Ka, which suggest the mesotrophic condition. The foraminiferal productivity however was relatively high since 4 Ka suggesting the eutrophic conditions at the core site. (C) 2016 Elsevier B.V. All rights reserved.</t>
  </si>
  <si>
    <t>[Azharuddin, Syed; Govil, Pawan; Agrawal, Shailesh; Kumar, Kamlesh] Birbal Sahni Inst Palaeosci, 53 Univ Rd, Lucknow 226007, Uttar Pradesh, India; [Singh, A. D.] Banaras Hindu Univ, Dept Geol, Varanasi 221005, Uttar Pradesh, India; [Mishra, Ravi; Tiwari, A. K.] Natl Ctr Antarctic &amp; Ocean Res, Vasco Da Gama 403804, Goa, India</t>
  </si>
  <si>
    <t>Department of Science &amp; Technology (India); Birbal Sahni Institute of Palaeobotany (BSIP); Banaras Hindu University (BHU); Ministry of Earth Sciences (MoES) - India; National Centre for Polar and Ocean Research (NCPOR)</t>
  </si>
  <si>
    <t>Govil, P (corresponding author), Birbal Sahni Inst Palaeosci, 53 Univ Rd, Lucknow 226007, Uttar Pradesh, India.</t>
  </si>
  <si>
    <t>pawanali@gmail.com</t>
  </si>
  <si>
    <t>TIWARI, ANOOP KUMAR/AAY-8915-2021; Azharuddin, Syed/AAZ-6586-2020</t>
  </si>
  <si>
    <t>Azharuddin, Syed/0000-0002-5945-9305</t>
  </si>
  <si>
    <t>SERB-DST [SR/FTP/ES-53/2013]</t>
  </si>
  <si>
    <t>SERB-DST(Department of Science &amp; Technology (India)Science Engineering Research Board (SERB), India)</t>
  </si>
  <si>
    <t>The authors are thankful to Prof. Sunil Bajpai, Director, BSIP, Lucknow for providing necessary facilities to carry out this work and permitting us to publish the same. Extended thanks to the shipboard team of 143rd Sagar kanya cruise for sampling core location SK-240/485. SA is also thankful to SERB-DST Project No. SR/FTP/ES-53/2013 for the award of junior Research Fellowship. This work was supported by fastrack grant of SERB-DST under project No. SR/FTP/ES-53/2013.</t>
  </si>
  <si>
    <t>10.1016/j.palaeo.2016.11.018</t>
  </si>
  <si>
    <t>WOS:000411547300011</t>
  </si>
  <si>
    <t>Li, H; Wang, ZM; An, JC</t>
  </si>
  <si>
    <t>Li, Hang; Wang, Zemin; An, Jiachun</t>
  </si>
  <si>
    <t>GPS differential code biases considering the second-order ionospheric term</t>
  </si>
  <si>
    <t>GPS SOLUTIONS</t>
  </si>
  <si>
    <t>Second-order ionospheric term; Magnetic field of the earth; IGRF-12; Differential code bias</t>
  </si>
  <si>
    <t>Differential code biases (DCBs) of the global positioning system (GPS) are generally estimated together with total electron content (TEC) along the signal transmission path through the ionosphere. However, better accuracy can be obtained theoretically by also considering the second-order ionospheric term, which is related to the magnetic field of the earth and TEC along the signal path. Using data from the international GNSS service tracking network stations, we built a regional TEC model by considering the second-order ionospheric term and estimated the DCBs of both GPS satellites and receivers. The geomagnetic field was calculated by IGRF-12 model. The results show that the second-order ionospheric term causes a 10(-3) ns level effect to the estimated DCBs of GPS satellites and receivers and a 10(-2) TECU (TEC unit) level change of modeled TEC. As higher accuracy is achieved, more input data such as magnetic field data of the earth are also needed. When the second-order ionospheric term is considered, the processing gets more complicated and needs more time. However, the effect of the second-order ionospheric term on DCB estimate also shows an obvious diurnal variation and showing the same monotonicity over time as local VTEC.</t>
  </si>
  <si>
    <t>[Li, Hang; Wang, Zemin; An, Jiachun] Wuhan Univ, Chinese Antarctic Ctr Surveying &amp; Mapping, Wuhan, Hubei, Peoples R China</t>
  </si>
  <si>
    <t>Wuhan University</t>
  </si>
  <si>
    <t>Wang, ZM (corresponding author), Wuhan Univ, Chinese Antarctic Ctr Surveying &amp; Mapping, Wuhan, Hubei, Peoples R China.</t>
  </si>
  <si>
    <t>zmwang@whu.edu.cn</t>
  </si>
  <si>
    <t>An, Jiachun/ABG-4275-2020; ZeMin, Wang/AAU-3422-2020</t>
  </si>
  <si>
    <t>Li, Hang/0000-0001-7458-0608</t>
  </si>
  <si>
    <t>SPRINGER HEIDELBERG</t>
  </si>
  <si>
    <t>HEIDELBERG</t>
  </si>
  <si>
    <t>TIERGARTENSTRASSE 17, D-69121 HEIDELBERG, GERMANY</t>
  </si>
  <si>
    <t>1080-5370</t>
  </si>
  <si>
    <t>1521-1886</t>
  </si>
  <si>
    <t>GPS SOLUT</t>
  </si>
  <si>
    <t>GPS Solut.</t>
  </si>
  <si>
    <t>10.1007/s10291-017-0643-4</t>
  </si>
  <si>
    <t>Remote Sensing</t>
  </si>
  <si>
    <t>FI3WW</t>
  </si>
  <si>
    <t>WOS:000411901900022</t>
  </si>
  <si>
    <t>Gallego, R; Dennis, TE; Basher, Z; Lavery, S; Sewell, MA</t>
  </si>
  <si>
    <t>Gallego, Ramon; Dennis, Todd E.; Basher, Zeenatul; Lavery, Shane; Sewell, Mary A.</t>
  </si>
  <si>
    <t>On the need to consider multiphasic sensitivity of marine organisms to climate change: a case study of the Antarctic acorn barnacle</t>
  </si>
  <si>
    <t>JOURNAL OF BIOGEOGRAPHY</t>
  </si>
  <si>
    <t>benthos; climate change; distribution shifts; larvae; marine; Maxent; species distribution models</t>
  </si>
  <si>
    <t>ROSS SEA; SPECIES DISTRIBUTIONS; DISTRIBUTION MODELS; LARVAE; BIODIVERSITY; MAXENT; INVERTEBRATES; COMPLEXITY; EMBRYOS; IMPACT</t>
  </si>
  <si>
    <t>Aim Species distribution models (SDMs) are routinely employed to evaluate shifts in the geographic distributions of organisms in response to changing climatic conditions. Many marine invertebrates exhibit a biphasic life cycle: benthic adults and planktonic larvae, which inhabit different environments and may react dissimilarly to anticipated changes in climatological patterns. To date, SDMs applied to benthic species have only considered adult life-history stages. Here, we present the first study in which SDMs have been simultaneously developed for both the larval and adult stages of the same organism. Location The Southern Ocean. Methods Occurrence data for the study species, the Antarctic barnacle Bathylasma corolliforme, were sourced from: (1) benthic geo-referenced records from museum collections and online databases; and (2) observations of planktonic larvae identified with genetic and morphological methods. These records were used to construct two independent SDMs (adult-larvae) with Maxent 3.3.3k; their outputs were then projected to environmental conditions forecast for the year 2050 (IPCC scenario A1B). Results The two different SDMs had high predictive capability and identified preferred environmental conditions of each life-history stage. For the projected 2050 climate change scenario, SDMs predicted that the extent of environmentally suitable areas of both life-history stages was reduced, with planktonic larvae experiencing greater reductions and latitudinal displacement of their suitable areas. Main conclusions For multiphasic species, considering only a single life-history stage while studying distribution shifts may lead to erroneous conclusions for the species as a whole, regardless of the predictive capability of models employed. Ignoring the changes in suitable areas for larval stages can lead to underestimation of habitat reduction, distribution shifts, effects on population connectivity and potential for colonization of newly available habitats.</t>
  </si>
  <si>
    <t>[Gallego, Ramon] Univ Washington, Sch Marine &amp; Environm Affairs, Box 355685, Seattle, WA 98195 USA; [Gallego, Ramon; Dennis, Todd E.; Basher, Zeenatul; Lavery, Shane; Sewell, Mary A.] Univ Auckland, Sch Biol Sci, Auckland Mail Ctr, Private Bag 92019, Auckland 1142, New Zealand; [Basher, Zeenatul] Michigan State Univ, Ctr Syst Integrat &amp; Sustainabil, 115 Manley Miles Bldg, E Lansing, MI 28823 USA</t>
  </si>
  <si>
    <t>University of Washington; University of Washington Seattle; University of Auckland; Michigan State University</t>
  </si>
  <si>
    <t>Gallego, R (corresponding author), Univ Washington, Sch Marine &amp; Environm Affairs, Box 355685, Seattle, WA 98195 USA.</t>
  </si>
  <si>
    <t>rgallego@uw.edu</t>
  </si>
  <si>
    <t>Gallego, Ramon/AAA-6840-2020; Lavery, Shane/AFX-7929-2022; Sewell, Mary A/C-9017-2009</t>
  </si>
  <si>
    <t>Gallego, Ramon/0000-0003-4990-9648; Lavery, Shane/0000-0003-3038-292X; Sewell, Mary A/0000-0002-1595-7951; Basher, Zeenatul/0000-0002-6439-8324</t>
  </si>
  <si>
    <t>New Zealand Government [So001IPY, IPY2007-01]; University of Auckland; Antarctic Science Ltd through the Antarctic Science Bursary; NSF</t>
  </si>
  <si>
    <t>New Zealand Government; University of Auckland; Antarctic Science Ltd through the Antarctic Science Bursary; NSF(National Science Foundation (NSF))</t>
  </si>
  <si>
    <t>The financial support for this study was provided by the New Zealand Government under the New Zealand International Polar Year-Census of Antarctic Marine Life Project (Phase 1: So001IPY; Phase 2: IPY2007-01); the University of Auckland under the Latitudinal Gradient Project; Antarctic Science Ltd through the Antarctic Science Bursary and the NSF by funding the attendance of R.G. to the VertNet Biodiversity Informatics Workshop. We thank the National Institute of Water and Atmospheric Research and the team at the Invertebrate collection for providing samples from adult specimens, and Dan Warren for insightful comments on the validation of SDMs and ENMtools. Lastly, we thank three anonymous reviewers for their comments and suggestions, which had significantly improved the quality of the final manuscript.</t>
  </si>
  <si>
    <t>0305-0270</t>
  </si>
  <si>
    <t>1365-2699</t>
  </si>
  <si>
    <t>J BIOGEOGR</t>
  </si>
  <si>
    <t>J. Biogeogr.</t>
  </si>
  <si>
    <t>10.1111/jbi.13023</t>
  </si>
  <si>
    <t>Ecology; Geography, Physical</t>
  </si>
  <si>
    <t>Environmental Sciences &amp; Ecology; Physical Geography</t>
  </si>
  <si>
    <t>FI6BO</t>
  </si>
  <si>
    <t>WOS:000412074300001</t>
  </si>
  <si>
    <t>Fica, E; Díaz, ER; Valdivia, N</t>
  </si>
  <si>
    <t>Fica, Eliseo; Rodrigo Diaz, Eliecer; Valdivia, Nelson</t>
  </si>
  <si>
    <t>General spatial spectral variation in rocky intertidal communities from three biogeographical regions</t>
  </si>
  <si>
    <t>biogeographical gradient; cross-semivariogram; filter feeders; macroalgae; patchiness; red spectrum; spatial noise; spectral density</t>
  </si>
  <si>
    <t>MUSSEL PERNA-PERNA; ECOSYSTEM STABILITY; INVASION RESISTANCE; BENTHIC COMMUNITIES; ECOLOGICAL-SYSTEMS; SPECIES-DIVERSITY; PATCH SIZE; VARIABILITY; HETEROGENEITY; PATTERNS</t>
  </si>
  <si>
    <t>Aim: Understanding general spatial patterns of multiple species is a central aim of biogeography. Spatial analyses of coastal marine assemblages have shown an emergent pattern in that the variability in population abundances increases with increasing spatial scale of observation; i.e. a red spectrum of variation in population abundances. However, the generalization of these patterns to other ecological levels and across biogeographical regions remains unexplored. Here, we evaluate the consistency of a reddened relationship between the scale of observation and the variance in ecosystem properties in sessile intertidal rocky-shore assemblages across three biogeographical regions. Location: Replicate sites located in temperate (southern-central Chile), sub-Antarctic (Chilean South Patagonia) and Antarctic (West Antarctic Peninsula) regions. Methods: A total of 16,225 photo-quadrants were used to analyse local patterns of total community cover, bare substratum, total algal cover and total invertebrate cover. We used spectral analyses in which the spatial variance of each property was decomposed along a gradient of increasing distances between observations. Cross-semivariograms were used to analyse the spatial covariation of dominant taxa. Results: The analysed ecosystem properties showed a general reddened spectrum of variation that resembled patchy configurations of local communities. Additionally, cross-semivariance analyses indicated mainly negative relationships of covariation between the abundances dominant sessile species at each site, suggesting a general trend of spatial asynchrony between competing species. Main conclusions: To the best of our knowledge, this is the first study showing a general reddened pattern of spatial variation in relevant ecosystem-level properties across the Pacific shore of South America, southern Patagonia and West Antarctic Peninsula. These patterns reflect the result of multiple biotic and abiotic processes that interact across spatial scales. In particular, we suggest that processes that generate spatial asynchrony between competing species, such as compensatory dynamics, are relevant to maintain the spatial structure of rocky-shore communities.</t>
  </si>
  <si>
    <t>[Fica, Eliseo; Valdivia, Nelson] Univ Austral Chile, Fac Ciencias, Inst Ciencias Marinas &amp; Limnol, Valdivia, Chile; [Rodrigo Diaz, Eliecer] Univ Helsinki, Dept Environm Sci, Helsinki, Finland; [Valdivia, Nelson] Ctr FONDAP Invest Dinam Ecosistemas Marinos Altas, Valdivia, Chile</t>
  </si>
  <si>
    <t>Universidad Austral de Chile; University of Helsinki</t>
  </si>
  <si>
    <t>Valdivia, N (corresponding author), Campus Isla Teja SN, Valdivia, Chile.</t>
  </si>
  <si>
    <t>nelson.valdivia@uach.cl</t>
  </si>
  <si>
    <t>Valdivia, Nelson/C-3613-2009</t>
  </si>
  <si>
    <t>Valdivia, Nelson/0000-0002-5394-2072</t>
  </si>
  <si>
    <t>Comision Nacional de Investigacion Cientifica y Tecnologica [15150003, 1101, 1141037]</t>
  </si>
  <si>
    <t>Comision Nacional de Investigacion Cientifica y Tecnologica</t>
  </si>
  <si>
    <t>Comision Nacional de Investigacion Cientifica y Tecnologica, Grant/Award Number: FONDAP # 15150003, PIA Anillo # 1101, FONDECYT # 1141037</t>
  </si>
  <si>
    <t>10.1111/jbi.13041</t>
  </si>
  <si>
    <t>WOS:000412074300017</t>
  </si>
  <si>
    <t>Güller, M; Zelaya, DG</t>
  </si>
  <si>
    <t>Guller, Marina; Zelaya, Diego G.</t>
  </si>
  <si>
    <t>New insigths into the diversity of rissoids from sub-antarctic and antarctic waters (Gastropoda: Rissooidea)</t>
  </si>
  <si>
    <t>POLAR BIOLOGY</t>
  </si>
  <si>
    <t>Antarctica; Southwestern Atlantic; Rissoidae; Mollusca; Southern Ocean</t>
  </si>
  <si>
    <t>BIODIVERSITY; ABUNDANCE; BIOMASS; FAUNA</t>
  </si>
  <si>
    <t>Molluscs have been regarded as one of the most extensively studied and better known marine invertebrates groups in sub-Antarctic and Antarctic benthic communities. In order to test this statement we address here the study of some species of the caenogastropod family Rissoidae, collected during several expeditions to Tierra del Fuego and the Scotia Arc. Currently, the local diversity of this family accounts for a total of 30 species, which were thoroughly revised mostly as part of two monographs. The present study provides new information on shell morphology, radulae and distribution for four of these species: Onoba fuegoensis (Strebel, 1908), O. delecta Ponder, 1983, O. klausgrohi Engl, 2011 and Haurakia averni Ponder and Worsfold, 1994; also contributes to a better understanding of the intraspecific variability of two other species: Onoba schythei (Philippi, 1868) and O. algida Ponder and Worsfold, 1994; and seven new species are described: Onoba clara, O. sandwichensis, O. verrucosa, O. antleri, O. caribu, O. oligochordata, and O. ernestoi. These new findings increase the number of species currently known from the studied area, and provide the first record of a species with multispiral protoconch, and the first record of a bathyal species from southern South America. Furthermore, as part of this study the presence of antler-like marginal teeth is reported for two species, a condition thus far not reported for any other Rissoidae. This study highlights that, even being one of the most intensively studied marine invertebrate groups, molluscs from the Sub-Antarctic and Antarctic waters still remain scarcely known.</t>
  </si>
  <si>
    <t>[Guller, Marina] Consejo Nacl Invest Cient &amp; Tecn, Museo Argentino Ciencias Nat Bernardino Rivadavia, Av Angel Gallardo 470, Buenos Aires, DF, Argentina; [Guller, Marina; Zelaya, Diego G.] UBA, FCEN, Dept Biodiversidad &amp; Biol Expt, Ciudad Univ,Pabellon 2,4To Piso, Buenos Aires, DF, Argentina; [Guller, Marina; Zelaya, Diego G.] Consejo Nacl Invest Cient &amp; Tecn, Buenos Aires, DF, Argentina</t>
  </si>
  <si>
    <t>Museo Argentino de Ciencias Naturales Bernardino Rivadavia (MACN); Consejo Nacional de Investigaciones Cientificas y Tecnicas (CONICET); University of Buenos Aires; Consejo Nacional de Investigaciones Cientificas y Tecnicas (CONICET)</t>
  </si>
  <si>
    <t>Güller, M (corresponding author), Consejo Nacl Invest Cient &amp; Tecn, Museo Argentino Ciencias Nat Bernardino Rivadavia, Av Angel Gallardo 470, Buenos Aires, DF, Argentina.;Güller, M (corresponding author), UBA, FCEN, Dept Biodiversidad &amp; Biol Expt, Ciudad Univ,Pabellon 2,4To Piso, Buenos Aires, DF, Argentina.;Güller, M (corresponding author), Consejo Nacl Invest Cient &amp; Tecn, Buenos Aires, DF, Argentina.</t>
  </si>
  <si>
    <t>mguller@macn.gov.ar</t>
  </si>
  <si>
    <t>UBACyT [20020150100195BA]</t>
  </si>
  <si>
    <t>UBACyT</t>
  </si>
  <si>
    <t>The authors would like to express their gratitude to Dr. Ponder, who provided his valuable opinion on some of our findings; to Matthias Glaubrecht and Frank Kohler for allowing access to the collection of ZMB and Alejandro Tablado, to MACN. Also a special thanking to the LAMPOS (R/V Polarstern) cruise, and to the crews of A.R.A. Alferez Sobral and the B.O. Puerto Deseado. Cristian Ituarte provided valuable suggestions to improve the Ms. The authors are members of the Consejo Nacional de Investigaciones Cientificas y Tecnicas (CONICET). This study was partially funded by UBACyT 20020150100195BA.</t>
  </si>
  <si>
    <t>0722-4060</t>
  </si>
  <si>
    <t>1432-2056</t>
  </si>
  <si>
    <t>POLAR BIOL</t>
  </si>
  <si>
    <t>Polar Biol.</t>
  </si>
  <si>
    <t>10.1007/s00300-017-2108-1</t>
  </si>
  <si>
    <t>Biodiversity Conservation; Ecology</t>
  </si>
  <si>
    <t>Biodiversity &amp; Conservation; Environmental Sciences &amp; Ecology</t>
  </si>
  <si>
    <t>FI3OE</t>
  </si>
  <si>
    <t>WOS:000411873100001</t>
  </si>
  <si>
    <t>Casares, BM; Angel, JJS; Cantero, AL</t>
  </si>
  <si>
    <t>Mercado Casares, Borja; Soto Angel, Joan J.; Pena Cantero, Alvaro L.</t>
  </si>
  <si>
    <t>Towards a better understanding of Southern Ocean biogeography: new evidence from benthic hydroids</t>
  </si>
  <si>
    <t>Hydrozoa; Antarctica; Zoogeography; Biodiversity; Endemism; Sub-Antarctic islands</t>
  </si>
  <si>
    <t>SCOTIA ARC; BOUVET ISLAND; TELL US; CNIDARIA; HYDROZOA; FAUNA; BIODIVERSITY; ANTARCTICA; AFFINITIES; DIVERSITY</t>
  </si>
  <si>
    <t>Benthic hydroids are an important component of the Antarctic benthic ecosystem. They have been studied since the first Antarctic expeditions, and in recent years, there has been an important increase in biodiversity studies. In order to analyse the relationship among different areas and validate/dismiss previous biogeographical hypotheses, we have compiled all valid records of the known benthic hydroid species from the Antarctic and Sub-Antarctic regions, and used two previous scheme divisions of the Southern Ocean. In both cases, a hierarchical cluster was performed with the SIMPROF test. Our results suggest the division of the Southern Ocean into three main regions: the first corresponds to the classical Patagonian region; the second consists of the Kerguelen Archipelago, Crozet Island, Prince Edward Islands and Bouvet; the third, here referred to as the Antarctic region, is formed by South Georgia, the Scotia Arc archipelagos and High Antarctica. The results obtained also support the classical division of High Antarctica into two subregions, corresponding to West and East Antarctica. Nevertheless, the limits between both regions are still unclear, mainly because of the scarcity of data from some areas and the complete absence of information from others.</t>
  </si>
  <si>
    <t>[Mercado Casares, Borja; Soto Angel, Joan J.; Pena Cantero, Alvaro L.] Univ Valencia, Dept Zool, Biodivers &amp; Cnidarians Evolut Grp, Cavanilles Inst Biodivers &amp; Evolutionary Biol ICB, POB 22085, Valencia 46071, Spain</t>
  </si>
  <si>
    <t>University of Valencia</t>
  </si>
  <si>
    <t>Casares, BM (corresponding author), Univ Valencia, Dept Zool, Biodivers &amp; Cnidarians Evolut Grp, Cavanilles Inst Biodivers &amp; Evolutionary Biol ICB, POB 22085, Valencia 46071, Spain.</t>
  </si>
  <si>
    <t>borja.mercado@gmail.com; alvaro.l.pena@uv.es</t>
  </si>
  <si>
    <t>Àngel, Joan J. Soto/AAS-6133-2021; Mercado Casares, Borja/HJH-6251-2023; Cantero, Álvaro Luis Peña/F-7888-2016</t>
  </si>
  <si>
    <t>Àngel, Joan J. Soto/0000-0002-9132-4822; Pena Cantero, Alvaro/0000-0003-3056-6673</t>
  </si>
  <si>
    <t>10.1007/s00300-017-2113-4</t>
  </si>
  <si>
    <t>WOS:000411873100005</t>
  </si>
  <si>
    <t>Ghiglione, C; Alvaro, MC; Piazza, P; Bowden, D; Griffiths, HJ; Carota, C; Nava, CR; Schiaparelli, S</t>
  </si>
  <si>
    <t>Ghiglione, Claudio; Alvaro, Maria Chiara; Piazza, Paola; Bowden, David; Griffiths, Huw J.; Carota, Cinzia; Nava, Consuelo R.; Schiaparelli, Stefano</t>
  </si>
  <si>
    <t>Mollusc species richness and abundance from shelf to abyssal depths in the Ross Sea (Antarctica): the importance of fine-mesh-towed gears and implications for future sampling</t>
  </si>
  <si>
    <t>Antarctica; Ross Sea; Victoria Land Coast; Seamounts; Benthos; Mollusca; Species richness; Abundance; Fine mesh; Sampling efficiency; Full census</t>
  </si>
  <si>
    <t>EPIBENTHIC-SLEDGE; DEEP-SEA; 1ST INSIGHTS; POLAR FRONT; DIVERSITY; FAUNA; EXTRAPOLATION; RAREFACTION; SIZE; ASSEMBLAGES</t>
  </si>
  <si>
    <t>In polar areas, where benthic sampling is constrained by a series of limitations imposed by climate and logistic challenges, knowledge about the key elements required to plan a successful survey is fundamental. During the International Polar Year (IPY, 2007/2008), under the Census of Antarctic Marine Life (CAML), new sampling campaigns were undertaken in several Antarctic areas comprising the Ross Sea. In this region, the 2008 NIWA IPY-CAML voyage obtained benthos samples from shelf to abyssal depths. In the present study, we focus on the Mollusca from this expedition and on the possible variations in their richness and composition with latitude and depth. Given the use of sampling gears selective for different size fractions of the macrofauna, we also assess which size fraction contained the highest biodiversity. Differences were detected in species composition with latitude (averaged across depth groups) but not for depth (averaged across latitudinal groups). Richness varied locally and showed a variety of patterns depending on the areas and depths considered. The greatest diversity of molluscs was found in the fine fraction (i.e., &lt; 4.1 mm) where a considerable number of species corresponded to new species or new regional records. Rarity was high with up to 41% of species represented by single individuals and 63% occurring at one station only. Fine-mesh trawling appears to be of fundamental importance in accelerating the census of the fine fraction, which is the one containing the highest diversity, and is recommended for future sampling in Antarctica and in polar areas in general.</t>
  </si>
  <si>
    <t>[Ghiglione, Claudio; Piazza, Paola] Univ Siena, Dept Phys Earth &amp; Environm Sci, Siena, Italy; [Ghiglione, Claudio; Alvaro, Maria Chiara; Piazza, Paola; Schiaparelli, Stefano] Univ Genoa, Italian Natl Antarctic Museum MNA, Genoa, Italy; [Alvaro, Maria Chiara; Schiaparelli, Stefano] Univ Genoa, Dept Earth Environm &amp; Life Sci DISTAV, Genoa, Italy; [Bowden, David] Natl Inst Water &amp; Atmospher Res NIWA, Wellington, New Zealand; [Griffiths, Huw J.] British Antarctic Survey, Cambridge, England; [Carota, Cinzia; Nava, Consuelo R.] Univ Turin, Dept Econ &amp; Stat Cognetti de Martiis, Turin, Italy</t>
  </si>
  <si>
    <t>University of Siena; University of Genoa; University of Genoa; National Institute of Water &amp; Atmospheric Research (NIWA) - New Zealand; UK Research &amp; Innovation (UKRI); Natural Environment Research Council (NERC); NERC British Antarctic Survey; University of Turin</t>
  </si>
  <si>
    <t>Schiaparelli, S (corresponding author), Univ Genoa, Italian Natl Antarctic Museum MNA, Genoa, Italy.;Schiaparelli, S (corresponding author), Univ Genoa, Dept Earth Environm &amp; Life Sci DISTAV, Genoa, Italy.</t>
  </si>
  <si>
    <t>Stefano.Schiaparelli@unige.it</t>
  </si>
  <si>
    <t>Griffiths, Huw J/D-4234-2009; Schiaparelli, Stefano/AAI-4024-2020; Nava, Consuelo/AAH-8788-2020</t>
  </si>
  <si>
    <t>Griffiths, Huw J/0000-0003-1764-223X; Schiaparelli, Stefano/0000-0002-0137-3605; Nava, Consuelo/0000-0002-8046-8185</t>
  </si>
  <si>
    <t>New Zealand Ministry of Fisheries (MFish); NIWA (Wellington); Italian PNRA [PNRA 2010/A1.10]; Natural Environment Research Council [bas0100036] Funding Source: researchfish; NERC [bas0100036] Funding Source: UKRI</t>
  </si>
  <si>
    <t>New Zealand Ministry of Fisheries (MFish); NIWA (Wellington); Italian PNRA(Ministry of Education, Universities and Research (MIUR)); Natural Environment Research Council(UK Research &amp; Innovation (UKRI)Natural Environment Research Council (NERC)); NERC(UK Research &amp; Innovation (UKRI)Natural Environment Research Council (NERC))</t>
  </si>
  <si>
    <t>We would like to acknowledge the crew of the Tangaroa 'IPY-CAML TAN0802' for logistic support. We are indebted to the New Zealand Ministry of Fisheries (MFish) and NIWA (Wellington) for the financial support of the cruise and related study activities. We are indebted to Laura D'Annibale for sorting operations at the Italian National Antarctic Museum (Section of Genoa). We thank the Italian PNRA for the financial support to the research program BAMBi (Barcoding of Antarctic Marine Biodiversity, PNRA 2010/A1.10).</t>
  </si>
  <si>
    <t>10.1007/s00300-017-2117-0</t>
  </si>
  <si>
    <t>WOS:000411873100006</t>
  </si>
  <si>
    <t>Belcher, A; Tarling, GA; Manno, C; Atkinson, A; Ward, P; Skaret, G; Fielding, S; Henson, SA; Sanders, R</t>
  </si>
  <si>
    <t>Belcher, A.; Tarling, G. A.; Manno, C.; Atkinson, A.; Ward, P.; Skaret, G.; Fielding, S.; Henson, S. A.; Sanders, R.</t>
  </si>
  <si>
    <t>The potential role of Antarctic krill faecal pellets in efficient carbon export at the marginal ice zone of the South Orkney Islands in spring</t>
  </si>
  <si>
    <t>Faecal pellet attenuation; Antarctic krill; Southern Ocean; Carbon flux; Faecal pellet</t>
  </si>
  <si>
    <t>NATURAL IRON FERTILIZATION; PARTICULATE ORGANIC-CARBON; SCOTIA SEA; EUPHAUSIA-SUPERBA; PARTICLE-FLUX; VERTICAL FLUX; WEDDELL SEA; JANUARY/FEBRUARY 2000; COMMUNITY STRUCTURE; OCEAN INTERIOR</t>
  </si>
  <si>
    <t>Antarctic krill (Euphausia superba) play a central role in the food web of the Southern Ocean, forming a link between primary production and large predators. Krill produce large, faecal pellets (FP) which can form a large component of mesopelagic particulate organic carbon (POC) fluxes. However, the patchy distribution of krill swarms, highly variable pellet composition, and variable sinking and attenuation rates means that these episodic, but potentially large, carbon fluxes are difficult to sample or model. We measured particle flux and type using Marine Snow Catchers (MSC) in the marginal ice zone near the South Orkneys, Antarctica. Krill FP were the dominant component of the POC flux in the upper 200 m (typically 60-85%). FP sinking velocities measured onboard were highly variable (15-507 m d(-1)) but overall high, with mean equivalent velocities of 172, 267, and 161 m d(-1) at our three stations. The high numbers of krill FP sinking through the mesopelagic suggest that krill FP can be transferred efficiently and/or that rates of krill FP production are high. We compared our direct MSC-derived estimates of krill FP POC flux (33-154 mg C m(-2) d(-1)) and attenuation to estimates of krill FP production based on previous measurements of krill density and literature FP egestion rates, and estimated net krill FP attenuation rates in the upper mesopelagic. Calculated attenuation rates are sensitive to krill densities in the overlying water column but suggest that krill FP could be transferred efficiently through the upper mesopelagic, and, in agreement with our MSC attenuation estimates, could make large contributions to bathypelagic POC fluxes. Our study contrasts with some others which suggest rapid FP attenuation, highlighting the need for further work to constrain attenuation rates and assess how important the contribution of Antarctic krill FP could be to the Southern Ocean biological carbon pump.</t>
  </si>
  <si>
    <t>[Belcher, A.; Henson, S. A.; Sanders, R.] Natl Oceanog Ctr, Southampton SO14 3ZH, Hants, England; [Belcher, A.] Univ Southampton, Southampton SO14 3ZH, Hants, England; [Tarling, G. A.; Manno, C.; Ward, P.; Fielding, S.] British Antarctic Survey, Cambridge CB3 0ET, England; [Atkinson, A.] Plymouth Marine Lab, Prospect Pl, Plymouth PL1 3DH, Devon, England; [Skaret, G.] Inst Marine Res, POB 1870, N-5817 Bergen, Norway</t>
  </si>
  <si>
    <t>NERC National Oceanography Centre; University of Southampton; UK Research &amp; Innovation (UKRI); Natural Environment Research Council (NERC); NERC British Antarctic Survey; Plymouth Marine Laboratory; Institute of Marine Research - Norway</t>
  </si>
  <si>
    <t>Belcher, A (corresponding author), Natl Oceanog Ctr, Southampton SO14 3ZH, Hants, England.;Belcher, A (corresponding author), Univ Southampton, Southampton SO14 3ZH, Hants, England.</t>
  </si>
  <si>
    <t>A.Belcher@noc.soton.ac.uk</t>
  </si>
  <si>
    <t>Sanders, Richard J/B-8717-2012; Atkinson, Angus/HOH-3417-2023; Fielding, Sophie/E-5137-2012; Henson, Stephanie/AAC-9709-2019</t>
  </si>
  <si>
    <t>Sanders, Richard J/0000-0002-6884-7131; Belcher, Anna/0000-0002-9583-5910</t>
  </si>
  <si>
    <t>NERC [NE/1362197]; NERC AFI Collaborative Gearing Scheme; Ocean Ecosystems programme at British Antarctic Survey; Natural Environment Research Council [noc010009, bas0100035, 1362197, pml010004] Funding Source: researchfish; NERC [pml010009, bas0100035, pml010004, noc010009] Funding Source: UKRI</t>
  </si>
  <si>
    <t>NERC(UK Research &amp; Innovation (UKRI)Natural Environment Research Council (NERC)); NERC AFI Collaborative Gearing Scheme(UK Research &amp; Innovation (UKRI)Natural Environment Research Council (NERC)); Ocean Ecosystems programme at British Antarctic Survey; Natural Environment Research Council(UK Research &amp; Innovation (UKRI)Natural Environment Research Council (NERC)); NERC(UK Research &amp; Innovation (UKRI)Natural Environment Research Council (NERC))</t>
  </si>
  <si>
    <t>We would like to thank the crew, officers, and scientific party of research cruises JR291, JR304 aboard the RSS James Clark Ross. In particular, we would like to thank Elena Ceballos Romero, Fred le Moigne, Andy Richardson, and Manon Duret for their help deploying Marine Snow Catchers at all hours of the day and night! Additionally we would like to thank the editor and two anonymous reviewers, whose suggestions helped improve the manuscript. Work was funded by the NERC studentship of Anna Belcher (NE/1362197). Fieldwork was supported by a NERC AFI Collaborative Gearing Scheme grant to Stephanie Henson. Geraint A. Tarling and Clara Manno were supported by the Ocean Ecosystems programme at British Antarctic Survey.</t>
  </si>
  <si>
    <t>10.1007/s00300-017-2118-z</t>
  </si>
  <si>
    <t>WOS:000411873100007</t>
  </si>
  <si>
    <t>Coello-Camba, A; Llabrés, M; Duarte, CM; Agustí, S</t>
  </si>
  <si>
    <t>Coello-Camba, A.; Llabres, M.; Duarte, C. M.; Agusti, S.</t>
  </si>
  <si>
    <t>Zooplankton excretion metabolites stimulate Southern Ocean phytoplankton growth</t>
  </si>
  <si>
    <t>Phytoplankton; Nutrient recycling; Ammonia; Southern Ocean</t>
  </si>
  <si>
    <t>EUPHAUSIA-SUPERBA; ANTARCTIC KRILL; FRESH-WATER; NITROGEN ASSIMILATION; BRANSFIELD STRAIT; AMMONIUM UPTAKE; AUSTRAL SUMMER; NITRATE UPTAKE; MARINE; SEA</t>
  </si>
  <si>
    <t>Warming over Antarctica is leading to changes in the zooplankton communities inhabiting the Southern Ocean. It has been observed that zooplankton not only regulates phytoplankton through grazing, but also through the recycling of nutrients that are essential for phytoplankton growth. In this way, the effects of warming on zooplankton populations will change the amount or proportion at which recycled nutrients are restored. To estimate how the recycled nutrients released by zooplankton populations, dominated by krill (Euphausia superba), amphipods or copepods, affect the phytoplankton uptake and communities, we performed four incubation experiments: two close to the Antarctic Peninsula and two at the Southern Atlantic Ocean. Our results showed a stimulating effect of the addition of metabolites on ammonia removal rates and on the net growth of phytoplankton communities, with different responses amongst the different phytoplankton groups. According to our results, phytoplankton net growth and community composition may be altered if this relevant source of nutrients is lost due to projected changes in the abundance or distribution of these zooplankton populations.</t>
  </si>
  <si>
    <t>[Coello-Camba, A.; Duarte, C. M.; Agusti, S.] KAUST, Red Sea Res Ctr, Thuwal 23955, Saudi Arabia; [Llabres, M.] UIB, IMEDEA, Inst Mediterraneo Estudios Avanzados, Dept Global Change Res,CSIC, Esporles 07190, Spain; [Duarte, C. M.; Agusti, S.] Univ Tromso, Dept Arctic &amp; Marine Biol, Fac Biosci Fishery &amp; Econ, N-9037 Tromso, Norway</t>
  </si>
  <si>
    <t>King Abdullah University of Science &amp; Technology; Universitat de les Illes Balears; Consejo Superior de Investigaciones Cientificas (CSIC); ATTITUS Educacao; UiT The Arctic University of Tromso</t>
  </si>
  <si>
    <t>Coello-Camba, A (corresponding author), KAUST, Red Sea Res Ctr, Thuwal 23955, Saudi Arabia.</t>
  </si>
  <si>
    <t>alexandra.camba@kaust.edu.sa</t>
  </si>
  <si>
    <t>Duarte, Carlos M/A-7670-2013; Agusti, Susana/G-2864-2017; Duarte Quesada, Carlos Manuel/ABD-6208-2021</t>
  </si>
  <si>
    <t>Duarte, Carlos M/0000-0002-1213-1361; Agusti, Susana/0000-0003-0536-7293; , Alexandra/0000-0001-7419-2103</t>
  </si>
  <si>
    <t>Spanish Ministry of Education and Science [REN2002-04165-C03-02/ANT]; Max Planck Society</t>
  </si>
  <si>
    <t>Spanish Ministry of Education and Science(Spanish Government); Max Planck Society(Max Planck Society)</t>
  </si>
  <si>
    <t>This is a contribution to the projects ATOS (Aportes Atmosfericos de Carbono Organico y Contaminantes al Oceano Polar) and ICEPOS (REN2002-04165-C03-02/ANT) funded by the Spanish Ministry of Education and Science, and to the LOHAFEX project, funded by the Max Planck Society. We thank S. W. A. Naqvi, chief scientist of the LOHAFEX project, for his leadership, Victor Smetacek, Regino Martinez for experiment setup and sampling, and Maria Grazia Mazzocchi (Stazione Zoologica Anton Dohrn, Napoli, Italy) for help with zooplankton information. We also thank the crew of the RV Polarstern and BIO Hesperides for their help.</t>
  </si>
  <si>
    <t>ONE NEW YORK PLAZA, SUITE 4600, NEW YORK, NY, UNITED STATES</t>
  </si>
  <si>
    <t>10.1007/s00300-017-2123-2</t>
  </si>
  <si>
    <t>WOS:000411873100010</t>
  </si>
  <si>
    <t>Barrera-Oro, E; Marschoff, E; Ainley, D</t>
  </si>
  <si>
    <t>Barrera-Oro, Esteban; Marschoff, Enrique; Ainley, David</t>
  </si>
  <si>
    <t>Changing status of three notothenioid fish at the South Shetland Islands (1983-2016) after impacts of the 1970-80s commercial fishery</t>
  </si>
  <si>
    <t>Antarctic Nototheniidae; Fishery depletion; Slow recovery; CCAMLR</t>
  </si>
  <si>
    <t>POTTER COVE; ANTARCTIC PENINSULA; CLIMATE-CHANGE; FOOD-WEB; GOBIONOTOTHEN-GIBBERIFRONS; CORIICEPS; ABUNDANCE; VARIABILITY; ECOSYSTEMS; ROSSII</t>
  </si>
  <si>
    <t>Owing to commercial fishing during the late 1970s/early 1980s, targeted notothenioid species had become depleted around the South Shetland Islands. Herein we report subsequent changes in the prevalence of three species, Notothenia rossii, Gobionotothen gibberifrons and Notothenia coriiceps in Potter Cove, King George Islands/Isla 25 de Mayo, in a 33-year effort to monitor recovery. N. rossii and G. gibberifrons had been severely impacted by industrial fishing but in offshore waters N. coriiceps had never been commercially fished; however, all three species exhibit similar nearshore habitats and life history. We examined composition in trammel net catches during 2012-2016, augmenting a time series started in 1983. Our inshore results were consistent with those from offshore bottom trawl sampling in 2007 and 2012 around the South Shetland Islands: (1) continued increase in the abundance of N. rossii; (2) further decline in G. gibberifrons recruitment evidenced by low proportions of juvenile fish; and (3) a high abundance of N. coriiceps. Reasons for lack of recovery in G. gibberifrons remain obscure but seemingly relate to the dramatically changing ecosystem of the region due in part to climate as well as recovery among previously depleted upper trophic level species. Our results are also consistent with trends reported in seabirds that feed on juveniles of these notothenioids: decrease in the areas commercially fished. Under the regulation of CCAMLR, commercial fishing for finfish in the South Shetland Islands region (FAO Subarea 48.1) remains prohibited since 1991; results indicate that it cannot be reinstated.</t>
  </si>
  <si>
    <t>[Barrera-Oro, Esteban; Marschoff, Enrique] Inst Antartico Argentino, 25 Mayo 1143, San Martin, Buenos Aires, Argentina; [Barrera-Oro, Esteban] Consejo Nacl Invest Cient &amp; Tecn, Angel Gallardo 470,C1405DJR, Buenos Aires, DF, Argentina; [Barrera-Oro, Esteban] Museo Argentino Ciencias Nat Bernardino Rivadavia, Angel Gallardo 470,C1405DJR, Buenos Aires, DF, Argentina; [Ainley, David] HT Harvey &amp; Associates, 983 Univ Ave, Los Gatos, CA USA</t>
  </si>
  <si>
    <t>Instituto Antartico Argentino; Consejo Nacional de Investigaciones Cientificas y Tecnicas (CONICET); Museo Argentino de Ciencias Naturales Bernardino Rivadavia (MACN)</t>
  </si>
  <si>
    <t>Barrera-Oro, E (corresponding author), Inst Antartico Argentino, 25 Mayo 1143, San Martin, Buenos Aires, Argentina.;Barrera-Oro, E (corresponding author), Consejo Nacl Invest Cient &amp; Tecn, Angel Gallardo 470,C1405DJR, Buenos Aires, DF, Argentina.;Barrera-Oro, E (corresponding author), Museo Argentino Ciencias Nat Bernardino Rivadavia, Angel Gallardo 470,C1405DJR, Buenos Aires, DF, Argentina.</t>
  </si>
  <si>
    <t>ebarreraoro@dna.gov.ar</t>
  </si>
  <si>
    <t>US National Science Foundation [ANT-0944411]</t>
  </si>
  <si>
    <t>US National Science Foundation(National Science Foundation (NSF))</t>
  </si>
  <si>
    <t>We are grateful to C. Bellisio, L. Vila, O. Gonzalez and Dr. E. Moreira for their help in field activities and to Lic. M. Novillo for technical support. We thank Dr. L. Blight and two anonymous referees for their useful comments on the manuscript. The contribution of D.A. was funded by the US National Science Foundation grant, ANT-0944411.</t>
  </si>
  <si>
    <t>10.1007/s00300-017-2125-0</t>
  </si>
  <si>
    <t>WOS:000411873100011</t>
  </si>
  <si>
    <t>Hughes, KA; Greenslade, P; Convey, P</t>
  </si>
  <si>
    <t>Hughes, Kevin A.; Greenslade, Penelope; Convey, Peter</t>
  </si>
  <si>
    <t>The fate of the non-native Collembolon, Hypogastrura viatica, at the southern extent of its introduced range in Antarctica</t>
  </si>
  <si>
    <t>Biosecurity; Invasive; Transient; Alien; Springtail</t>
  </si>
  <si>
    <t>BIOLOGICAL INVASIONS; TERRESTRIAL; ISLANDS; FAUNA</t>
  </si>
  <si>
    <t>Invasive species present a risk to Antarctic ecosystems by altering community structure and function. Reports of non-native invertebrates are increasing at Antarctic sites subject to tourism industry and national operator activity. Furthermore, dispersal of existing non-native species to other Antarctic sites may greatly expand their distributions and increase the spatial scale of potential impacts. Consequently, non-native species occurring near logistical hubs present an enhanced risk. The non-native Collembolon, Hypogastrura viatica, was introduced to L,onie Island, Ryder Bay, near the logistical hub of Rothera Research Station, Rothera Point, Adelaide Island, at some point before 1993, but no attempt had been made to assess the extent of its distribution in the local area. In this study, we surveyed the regularly frequented islands of Ryder Bay and Rothera Point to attempt to assess the continued presence and distribution of this species. Hypogastrura viatica was not identified amongst the 36,796 Collembola specimens extracted from 138 samples taken from the islands and Rothera Point. With no evidence of the continued presence of this non-native Collembolon in the local area, either H. viatica has become extinct or has such a restricted spatial distribution that our monitoring programme failed to detect it. In light of these results, existing local biosecurity measures will be maintained as a precautionary measure to reduce the risk of further anthropogenic dispersal of this potentially invasive Collembolon as well as of any other species imported unintentionally in future.</t>
  </si>
  <si>
    <t>[Hughes, Kevin A.; Convey, Peter] British Antarctic Survey, Nat Environm Res Council, High Cross,Madingley Rd, Cambridge CB3 0ET, England; [Greenslade, Penelope] Federat Univ Australia, Ballarat, Vic, Australia</t>
  </si>
  <si>
    <t>UK Research &amp; Innovation (UKRI); Natural Environment Research Council (NERC); NERC British Antarctic Survey; Federation University Australia</t>
  </si>
  <si>
    <t>Hughes, KA (corresponding author), British Antarctic Survey, Nat Environm Res Council, High Cross,Madingley Rd, Cambridge CB3 0ET, England.</t>
  </si>
  <si>
    <t>kehu@bas.ac.uk</t>
  </si>
  <si>
    <t>Convey, Peter/AAV-5728-2020; Hughes, Kevin/JVZ-0793-2024</t>
  </si>
  <si>
    <t>Convey, Peter/0000-0001-8497-9903;</t>
  </si>
  <si>
    <t>Natural Environment Research Council; Natural Environment Research Council [bas010011, bas0100036] Funding Source: researchfish; NERC [bas0100036, bas010011] Funding Source: UKRI</t>
  </si>
  <si>
    <t>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</si>
  <si>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This paper contributes to the British Antarctic Survey Polar Science for Planet Earth (PSPE) Biodiversity, Evolution and Adaptation Team (BEA), and the Environment Office Long Term Monitoring and Survey (EO-LTMS) projects, and the 'State of the Antarctic Ecosystem' research programme (AntEco) of the Scientific Committee on Antarctic Research (SCAR). KH and PC were supported by Natural Environment Research Council core funding to BAS. Laura Gerrish is thanked for map preparation. The authors acknowledge the helpful comments of the Editor and three anonymous reviewers.</t>
  </si>
  <si>
    <t>10.1007/s00300-017-2121-4</t>
  </si>
  <si>
    <t>WOS:000411873100019</t>
  </si>
  <si>
    <t>Wu, SF; Zhao, TC; Gao, Y; Cheng, X</t>
  </si>
  <si>
    <t>Wu, Shufan; Zhao, Tiancheng; Gao, Yuan; Cheng, Xiao</t>
  </si>
  <si>
    <t>Design and implementation of a Cube satellite mission for Antarctic glacier and sea ice observation</t>
  </si>
  <si>
    <t>ACTA ASTRONAUTICA</t>
  </si>
  <si>
    <t>Nano satellite; CubeSat; Antarctic observation; Glacier observation</t>
  </si>
  <si>
    <t>The research for global climate changes calls for high quality satellite data and imageries regarding the Polar Regions. In recent years, the emerging Earth-Observation micro/nano satellite technology provides new data sources for polar region observations. The STU-2A, also named TW-1A, is such a nano satellite designed for polar region observation activities. It is a 3U CubeSat of 2.9 kg with a size of 30 x 10 x 10 cm carrying an Earth observation camera, launched into a Sun Synchronous Orbit (SSO) at 481 km with an inclination of 97.3, on September 25, 2015. During the Antarctic summer of 2015/16, it has acquired visible-light true color images with a resolution of 94 m, covering different sea and coastal regions including Amundsen Sea, Ross Sea and Vincennes Bay. These images were used to analyze the change of glacier and sea ice, compared and calibrated with reference to the publically available MODIS images with a resolution of 250 m. As the camera was specially designed for the Polar regions which have an environment of low solar elevation angle and high surface reflectance, it eliminates the oversaturation problem of the MODIS sensors and can provide high quality images. Based on data analysis and assessment, it is confirmed that this satellite data can meet the demand of glacier and sea ice observation. This paper presents the Cubesat system design and configuration, the payload camera design, and its application in Antarctic glacier and sea ice observation.</t>
  </si>
  <si>
    <t>[Wu, Shufan] Shanghai Jiao Tong Univ, Sch Aeronaut &amp; Astronaut, Shanghai, Peoples R China; [Gao, Yuan] Shanghai Engn Ctr Microsatellites, Haike Rd 99, Shanghai 201203, Peoples R China; [Zhao, Tiancheng; Cheng, Xiao] Beijing Normal Univ, Coll Global Change &amp; Earth Syst Sci, Beijing, Peoples R China</t>
  </si>
  <si>
    <t>Shanghai Jiao Tong University; Beijing Normal University</t>
  </si>
  <si>
    <t>Wu, SF (corresponding author), Shanghai Jiao Tong Univ, Sch Aeronaut &amp; Astronaut, Shanghai, Peoples R China.</t>
  </si>
  <si>
    <t>shufan.wu@sjtu.edu.cn</t>
  </si>
  <si>
    <t>0094-5765</t>
  </si>
  <si>
    <t>1879-2030</t>
  </si>
  <si>
    <t>ACTA ASTRONAUT</t>
  </si>
  <si>
    <t>Acta Astronaut.</t>
  </si>
  <si>
    <t>10.1016/j.actaastro.2017.07.023</t>
  </si>
  <si>
    <t>FH6PR</t>
  </si>
  <si>
    <t>WOS:000411299700034</t>
  </si>
  <si>
    <t>Krüger, L; Ramos, JA; Xavier, JC; Grémillet, D; González-Solís, J; Kolbeinsson, Y; Militao, T; Navarro, J; Petry, MV; Phillips, RA; Ramírez, I; Reyes-González, JM; Ryan, PG; Sigurdsson, IA; Van Sebille, E; Wanless, RM; Paiva, VH</t>
  </si>
  <si>
    <t>Kruger, L.; Ramos, J. A.; Xavier, J. C.; Gremillet, D.; Gonzalez-Solis, J.; Kolbeinsson, Y.; Militao, T.; Navarro, J.; Petry, M. V.; Phillips, R. A.; Ramirez, I.; Reyes-Gonzalez, J. M.; Ryan, P. G.; Sigurdsson, I. A.; Van Sebille, E.; Wanless, R. M.; Paiva, V. H.</t>
  </si>
  <si>
    <t>Identification of candidate pelagic marine protected areas through a seabird seasonal-, multispecific- and extinction risk-based approach</t>
  </si>
  <si>
    <t>ANIMAL CONSERVATION</t>
  </si>
  <si>
    <t>marine protected areas; seabird tracking; species distribution modelling; Zonation; Brazil; species distribution model; conservation value</t>
  </si>
  <si>
    <t>SUGGESTS SPATIAL SEGREGATION; BLACK-BROWED ALBATROSSES; ROUND DISTRIBUTION; OCEAN ACIDIFICATION; CORYS SHEARWATERS; LONGLINE FISHERY; TROPHIC ECOLOGY; FLOATING DEBRIS; GLOBAL PATTERNS; CONSERVATION</t>
  </si>
  <si>
    <t>With increasing pressure on the oceans from environmental change, there has been a global call for improved protection of marine ecosystems through the implementation of marine protected areas (MPAs). Here, we used species distribution modelling (SDM) of tracking data from 14 seabird species to identify key marine areas in the southwest Atlantic Ocean, valuing areas based on seabird species occurrence, seasonality and extinction risk. We also compared overlaps between the outputs generated by the SDM and layers representing important human threats (fishing intensity, ship density, plastic and oil pollution, ocean acidification), and calculated loss in conservation value using fishing and ship density as cost layers. The key marine areas were located on the southern Patagonian Shelf, overlapping extensively with areas of high fishing activity, and did not change seasonally, while seasonal areas were located off south and southeast Brazil and overlapped with areas of high plastic pollution and ocean acidification. Non-seasonal key areas were located off northeast Brazil on an area of high biodiversity, and with relatively low human impacts. We found support for the use of seasonal areas depending on the seabird assemblage used, because there was a loss in conservation value for the seasonal compared to the non-seasonal approach when using cost' layers. Our approach, accounting for seasonal changes in seabird assemblages and their risk of extinction, identified additional candidate areas for incorporation in the network of pelagic MPAs.</t>
  </si>
  <si>
    <t>[Kruger, L.; Ramos, J. A.; Xavier, J. C.; Paiva, V. H.] Univ Coimbra, Dept Life Sci, MARE Marine &amp; Environm Sci Ctr, Coimbra, Portugal; [Kruger, L.; Petry, M. V.] INCT APA, Rio De Janeiro, Brazil; [Xavier, J. C.; Phillips, R. A.] British Antarctic Survey, Nat Environm Res Council, Cambridge, England; [Gremillet, D.; Navarro, J.] Univ Paul Valery Montpellier, Univ Montpellier, CNRS, Ctr Ecol Fonct &amp; Evolut,EPHE,UMR 5175, Montpellier, France; [Gremillet, D.; Ryan, P. G.; Wanless, R. M.] Univ Cape Town, DST NRF Ctr Excellence, Percy Fitzpatrick Inst African Ornithol, Rondebosch, South Africa; [Gonzalez-Solis, J.; Militao, T.; Reyes-Gonzalez, J. M.] Univ Barcelona, Fac Biol, Dept Anim Biol, Barcelona, Spain; [Gonzalez-Solis, J.; Militao, T.; Reyes-Gonzalez, J. M.] Univ Barcelona, Fac Biol, Biodivers Res Inst IRBio, Barcelona, Spain; [Kolbeinsson, Y.] Northeast Iceland Nat Res Ctr, Husavik, Iceland; [Navarro, J.] Estn Biol Donana, Conservat Biol Dept, Seville, Spain; [Petry, M. V.] Univ Vale Rio dos Sinos, Lab Ornitol &amp; Anim Marinhos, Sao Leopoldo, Brazil; [Ramirez, I.] Birdlife Int, Conservat Europe &amp; Cent Asia, Cambridge, England; [Sigurdsson, I. A.] South Iceland Nat Ctr, Vestmannaeyjar, Iceland; [Van Sebille, E.] Imperial Coll London, Grantham Inst, London, England; [Van Sebille, E.] Imperial Coll London, Dept Phys, London, England; [Wanless, R. M.] BirdLife South Africa, Seabird Conservat Programme, Johannesburg, South Africa</t>
  </si>
  <si>
    <t>Universidade de Coimbra; UK Research &amp; Innovation (UKRI); Natural Environment Research Council (NERC); NERC British Antarctic Survey; Universite PSL; Ecole Pratique des Hautes Etudes (EPHE); Institut Agro; Montpellier SupAgro; CIRAD; Centre National de la Recherche Scientifique (CNRS); Institut de Recherche pour le Developpement (IRD); Universite Paul-Valery; Universite de Montpellier; CNRS - Institute of Ecology &amp; Environment (INEE); University of Cape Town; National Research Foundation - South Africa; University of Barcelona; University of Barcelona; Consejo Superior de Investigaciones Cientificas (CSIC); CSIC - Estacion Biologica de Donana (EBD); Universidade do Vale do Rio dos Sinos (Unisinos); BirdLife International; Imperial College London; Imperial College London</t>
  </si>
  <si>
    <t>Krüger, L (corresponding author), Marine &amp; Environm Sci Ctr MARE, Rua Matemat 49, P-3000214 Coimbra, Portugal.</t>
  </si>
  <si>
    <t>biokruger@gmail.com</t>
  </si>
  <si>
    <t>González-Solís, Jacob/AAB-1161-2019; Petry, Maria Virginia/AAG-5333-2021; Xavier, José/KFB-6739-2024; Militao, Teresa/AAA-6151-2019; Paiva, Vitor H./J-1092-2019; Navarro, Joan/C-2119-2009; Paiva, Vitor Hugo/GRX-9179-2022; Ramos, Jaime A./B-6616-2018; Krüger, Lucas/O-8912-2015; Gonzalez-Solis, Jacob/C-3942-2008; REYES-GONZALEZ, JOSE MANUEL/N-9182-2017; Gremillet, David/W-1946-2018; petry, maria/K-8410-2013</t>
  </si>
  <si>
    <t>Militao, Teresa/0000-0002-2862-1592; Paiva, Vitor H./0000-0001-6368-9579; Navarro, Joan/0000-0002-5756-9543; Ramos, Jaime A./0000-0002-9533-987X; Krüger, Lucas/0000-0003-4637-5302; Gonzalez-Solis, Jacob/0000-0002-8691-9397; Ramirez, Ivan/0000-0001-7944-8710; REYES-GONZALEZ, JOSE MANUEL/0000-0001-8311-3235; Gremillet, David/0000-0002-7711-9398; /0000-0002-9621-6660; petry, maria/0000-0002-7870-7394</t>
  </si>
  <si>
    <t>Brazilian National Council of Technological and Scientific Development CNPq [245540/2012-1]; Fundacao para a Ciencia e Tecnologia [SFRH/BD/47467/2008, SFRH/BPD/85024/2012]; Biodiversity Research Institute (IRBio); Investigator FCT Program [IF/00616/2013]; Formacion de Profesorado Universitario PhD grants programme (FPU) [AP2009-2163]; Andalucia Talent Hub Program by Andalusian Knowledge Agency; European Union; Ministry of Economy, Innovation, Science and Employment of the Junta de Andalucia, Spain; Brazilian Navy in Antarctica; Trindade Island; National Institute of Science and Technology Antarctic Environmental Research (INCT-APA); National Council for Research and Development (CNPq) [574018/2008-5]; Carlos Chagas Research Support Foundation of the State of Rio de Janeiro (FAPERJ) [E-16/ 170.023/2008]; Brazilian Ministry of Science, Technology and Innovation (MCTI); Brazilian Ministry of Environment (MMA); Brazilian Ministry of Inter-Ministry Commission for Sea Resources (CIRM); FCT [MARE - UID/MAR/04292/2013]; NERC [bas0100035] Funding Source: UKRI; Natural Environment Research Council [bas0100035] Funding Source: researchfish; Fundação para a Ciência e a Tecnologia [SFRH/BD/47467/2008] Funding Source: FCT</t>
  </si>
  <si>
    <t>Brazilian National Council of Technological and Scientific Development CNPq(Conselho Nacional de Desenvolvimento Cientifico e Tecnologico (CNPQ)); Fundacao para a Ciencia e Tecnologia(Fundacao para a Ciencia e a Tecnologia (FCT)); Biodiversity Research Institute (IRBio); Investigator FCT Program(Fundacao para a Ciencia e a Tecnologia (FCT)); Formacion de Profesorado Universitario PhD grants programme (FPU)(German Research Foundation (DFG)); Andalucia Talent Hub Program by Andalusian Knowledge Agency; European Union(European Union (EU)); Ministry of Economy, Innovation, Science and Employment of the Junta de Andalucia, Spain(Spanish Government); Brazilian Navy in Antarctica; Trindade Island; National Institute of Science and Technology Antarctic Environmental Research (INCT-APA); National Council for Research and Development (CNPq)(Conselho Nacional de Desenvolvimento Cientifico e Tecnologico (CNPQ)); Carlos Chagas Research Support Foundation of the State of Rio de Janeiro (FAPERJ)(Fundacao Carlos Chagas Filho de Amparo a Pesquisa do Estado do Rio De Janeiro (FAPERJ)); Brazilian Ministry of Science, Technology and Innovation (MCTI); Brazilian Ministry of Environment (MMA); Brazilian Ministry of Inter-Ministry Commission for Sea Resources (CIRM); FCT(Fundacao para a Ciencia e a Tecnologia (FCT)); NERC(UK Research &amp; Innovation (UKRI)Natural Environment Research Council (NERC)); Natural Environment Research Council(UK Research &amp; Innovation (UKRI)Natural Environment Research Council (NERC)); Fundação para a Ciência e a Tecnologia(Fundacao para a Ciencia e a Tecnologia (FCT))</t>
  </si>
  <si>
    <t>L.K. acknowledges the Brazilian National Council of Technological and Scientific Development CNPq for his PhD scholarship (Programa Ciencia sem Fronteiras processo 245540/2012-1). T.M. and V.H.P. acknowledge the doctoral and post-doctoral grants (respectively) given by 'Fundacao para a Ciencia e Tecnologia' (SFRH/BD/47467/2008 and SFRH/BPD/85024/2012) and the Biodiversity Research Institute (IRBio). J.C.X. was supported by the Investigator FCT Program (IF/00616/2013). J.M.R.-G. was supported by Formacion de Profesorado Universitario PhD grants programme (FPU; AP2009-2163). J.N. was supported by the Andalucia Talent Hub Program launched by the Andalusian Knowledge Agency, co-funded by the European Union's Seventh Framework Program, Marie Sklodowska-Curie actions and the Ministry of Economy, Innovation, Science and Employment of the Junta de Andalucia, Spain. We acknowledge the Brazilian Navy for field research support in Antarctica and at Trindade Island, for collecting data of Southern Giant Petrels and Trindade Petrels respectively. The project received funding from the National Institute of Science and Technology Antarctic Environmental Research (INCT-APA) that receives scientific and financial support from the National Council for Research and Development (CNPq process: no 574018/2008-5) and Carlos Chagas Research Support Foundation of the State of Rio de Janeiro (FAPERJ no E-16/ 170.023/2008). The authors also acknowledge the support of the Brazilian Ministries of Science, Technology and Innovation (MCTI), of Environment (MMA) and Inter-Ministry Commission for Sea Resources (CIRM). We thank Maria Dias from BirdLife International for providing support with the seabird tracking database. We thank Ben Lascelles from BirdLife International for providing the mIBA shapefiles. This study benefited from the strategic programme of MARE, financed by FCT (MARE - UID/MAR/04292/2013).</t>
  </si>
  <si>
    <t>1367-9430</t>
  </si>
  <si>
    <t>1469-1795</t>
  </si>
  <si>
    <t>ANIM CONSERV</t>
  </si>
  <si>
    <t>Anim. Conserv.</t>
  </si>
  <si>
    <t>10.1111/acv.12339</t>
  </si>
  <si>
    <t>FK2NN</t>
  </si>
  <si>
    <t>WOS:000413319000006</t>
  </si>
  <si>
    <t>Walton, DWH</t>
  </si>
  <si>
    <t>Walton, D. W. H.</t>
  </si>
  <si>
    <t>Losing control - the future management of bioprospecting in the Antarctic Treaty Area</t>
  </si>
  <si>
    <t>Editorial Material</t>
  </si>
  <si>
    <t>10.1017/S0954102017000323</t>
  </si>
  <si>
    <t>WOS:000412678800001</t>
  </si>
  <si>
    <t>Lavin, PL; Yong, ST; Wong, CMVL; Perez, ARG; Dorador, C</t>
  </si>
  <si>
    <t>Leonardo Lavin, Paris; Yong, Sheau Ting; Wong, Clemente Michael V. L.; Gonzalez Perez, Alex Ricardo; Dorador, Cristina</t>
  </si>
  <si>
    <t>The trade-off between antimicrobial production and growth of an Antarctic psychrotroph Streptomyces sp strain INACH3013</t>
  </si>
  <si>
    <t>[Leonardo Lavin, Paris; Dorador, Cristina] Univ Antofagasta, Inst Antofagasta, Lab Complejidad Microbiana &amp; Ecol Func, Antofagasta, Chile; [Yong, Sheau Ting; Wong, Clemente Michael V. L.] Univ Malaysia Sabah, Biotechnol Res Inst, Jalan UMS, Kota Kinabalu 88400, Sabah, Malaysia; [Wong, Clemente Michael V. L.] Univ Malaya, Natl Antarctic Res Ctr, Kuala Lumpur 50603, Malaysia; [Gonzalez Perez, Alex Ricardo] Univ Lagos, Osorno, Region De Los L, Chile</t>
  </si>
  <si>
    <t>Universidad de Antofagasta; Universiti Malaysia Sabah; Universiti Malaya; Universidad de Los Lagos</t>
  </si>
  <si>
    <t>Lavin, PL (corresponding author), Univ Antofagasta, Inst Antofagasta, Lab Complejidad Microbiana &amp; Ecol Func, Antofagasta, Chile.</t>
  </si>
  <si>
    <t>palavin@gmail.com</t>
  </si>
  <si>
    <t>Dorador, Cristina/M-9936-2019; Lavin, Paris/AAI-9053-2020; Wong, Clemente Michael Vui Ling/M-8372-2013</t>
  </si>
  <si>
    <t>Dorador, Cristina/0000-0002-7641-2154; Wong, Clemente Michael Vui Ling/0000-0003-3431-8896; Lavin, Paris/0000-0002-8893-526X</t>
  </si>
  <si>
    <t>Universidad de Antofagasta, Chile [ANT1655]; Sultan Mizan Antarctic Research Foundation; Malaysian Antarctic Research Programme; Academy of Sciences Malaysia, Ministry of Science, Technology and Innovation, Malaysia [FP1213E036]</t>
  </si>
  <si>
    <t>Universidad de Antofagasta, Chile; Sultan Mizan Antarctic Research Foundation; Malaysian Antarctic Research Programme; Academy of Sciences Malaysia, Ministry of Science, Technology and Innovation, Malaysia</t>
  </si>
  <si>
    <t>Work was funded by Projects ANT1655 of Universidad de Antofagasta, Chile, Sultan Mizan Antarctic Research Foundation, Malaysian Antarctic Research Programme, Academy of Sciences Malaysia, Ministry of Science, Technology and Innovation, Malaysia (Flagship Project: FP1213E036). The authors thank the reviewers whose suggestions improved the quality of the manuscript.</t>
  </si>
  <si>
    <t>10.1017/S0954102017000141</t>
  </si>
  <si>
    <t>WOS:000412678800005</t>
  </si>
  <si>
    <t>Blanco, Y; Gallardo-Carreño, I; Ruiz-Bermejo, M; Puente-Sánchez, F; Cavalcante-Silva, E; Quesada, A; Prieto-Ballesteros, O; Parro, V</t>
  </si>
  <si>
    <t>Blanco, Yolanda; Gallardo-Carreno, Ignacio; Ruiz-Bermejo, Marta; Puente-Sanchez, Fernando; Cavalcante-Silva, Erika; Quesada, Antonio; Prieto-Ballesteros, Olga; Parro, Victor</t>
  </si>
  <si>
    <t>Critical Assessment of Analytical Techniques in the Search for Biomarkers on Mars: A Mummified Microbial Mat from Antarctica as a Best-Case Scenario</t>
  </si>
  <si>
    <t>ASTROBIOLOGY</t>
  </si>
  <si>
    <t>Planetary exploration; Life detection; Microbial mat; Life detector chip; Thermogravimetry; Raman spectroscopy; NIR; DRIFTS.</t>
  </si>
  <si>
    <t>MCMURDO ICE SHELF; ORGANIC-MOLECULES; LIFE; CYANOBACTERIA; IDENTIFICATION; HABITABILITY; PRESERVATION; PERCHLORATE; COMMUNITIES; INSTRUMENT</t>
  </si>
  <si>
    <t>The search for biomarkers of present or past life is one of the major challenges for in situ planetary exploration. Multiple constraints limit the performance and sensitivity of remote in situ instrumentation. In addition, the structure, chemical, and mineralogical composition of the sample may complicate the analysis and interpretation of the results. The aim of this work is to highlight the main constraints, performance, and complementarity of several techniques that have already been implemented or are planned to be implemented on Mars for detection of organic and molecular biomarkers on a best-case sample scenario. We analyzed a 1000-year-old desiccated and mummified microbial mat from Antarctica by Raman and IR (infrared) spectroscopies (near- and mid-IR), thermogravimetry (TG), differential thermal analysis, mass spectrometry (MS), and immunological detection with a life detector chip. In spite of the high organic content (ca. 20% wt/wt) of the sample, the Raman spectra only showed the characteristic spectral peaks of the remaining beta-carotene biomarker and faint peaks of phyllosilicates over a strong fluorescence background. IR spectra complemented the mineralogical information from Raman spectra and showed the main molecular vibrations of the humic acid functional groups. The TG-MS system showed the release of several volatile compounds attributed to biopolymers. An antibody microarray for detecting cyanobacteria (CYANOCHIP) detected biomarkers from Chroococcales, Nostocales, and Oscillatoriales orders. The results highlight limitations of each technique and suggest the necessity of complementary approaches in the search for biomarkers because some analytical techniques might be impaired by sample composition, presentation, or processing. Key Words: Planetary explorationLife detectionMicrobial matLife detector chipThermogravimetryRaman spectroscopyNIRDRIFTS. Astrobiology 17, 984-996.</t>
  </si>
  <si>
    <t>[Blanco, Yolanda; Gallardo-Carreno, Ignacio; Ruiz-Bermejo, Marta; Puente-Sanchez, Fernando; Cavalcante-Silva, Erika; Quesada, Antonio; Prieto-Ballesteros, Olga; Parro, Victor] CSIC, Dept Mol Evolut, INTA, Ctr Astrobiol, Carretera Ajalvir Km 4, Madrid 28850, Spain; [Quesada, Antonio] Univ Autonoma Madrid, Dept Biol, Madrid, Spain</t>
  </si>
  <si>
    <t>Consejo Superior de Investigaciones Cientificas (CSIC); CSIC - Centro de Astrobiologia (INTA); Autonomous University of Madrid</t>
  </si>
  <si>
    <t>Parro, V (corresponding author), CSIC, Dept Mol Evolut, INTA, Ctr Astrobiol, Carretera Ajalvir Km 4, Madrid 28850, Spain.</t>
  </si>
  <si>
    <t>parrogv@cab.inta-csic.es</t>
  </si>
  <si>
    <t>Parro, Victor/K-3788-2014; Puente-Sánchez, Fernando/K-7973-2018; Prieto-Ballesteros, Olga/J-8510-2012; Ruiz-Bermejo, Marta/L-1163-2014; , Adrian/L-6475-2014; Quesada, Antonio/L-2430-2013</t>
  </si>
  <si>
    <t>Puente-Sánchez, Fernando/0000-0002-6341-3692; Prieto-Ballesteros, Olga/0000-0002-2278-1210; Ruiz-Bermejo, Marta/0000-0002-8059-1335; , Adrian/0000-0002-6994-0514; Parro, Victor/0000-0003-3738-0724; Quesada, Antonio/0000-0002-8913-5993</t>
  </si>
  <si>
    <t>Spanish Secretaria de Estado de Investigacion Desarrollo e Innovacion from the Ministry of Economy and Competitiveness (MINECO) [AYA2011-24803, ESP2014-58494-R, ESP2015-69540-R, CTM2011-28736-ANT]; NSF; Brazilian Government</t>
  </si>
  <si>
    <t>Spanish Secretaria de Estado de Investigacion Desarrollo e Innovacion from the Ministry of Economy and Competitiveness (MINECO); NSF(National Science Foundation (NSF)); Brazilian Government</t>
  </si>
  <si>
    <t>The authors thank Miriam Garcia-Villadangos for technical assistance and Alfonso Davila for critical review of the manuscript and Carol Stoker for editorial review. This work was funded by Spanish Secretaria de Estado de Investigacion Desarrollo e Innovacion from the Ministry of Economy and Competitiveness (MINECO), Grant Nos. AYA2011-24803, ESP2014-58494-R, ESP2015-69540-R, and CTM2011-28736-ANT. The authors also thank the Antarctic Biology Training Course funded by NSF in 1996 and Dr. Howard-Williams and Dr. Hawes from Antarctica New Zealand for their help in sampling. I.G.-C. has an FPI contract from the Spanish Ministry and E.C.-S. has a post-doc grant from the Brazilian Government at CAB.</t>
  </si>
  <si>
    <t>MARY ANN LIEBERT, INC</t>
  </si>
  <si>
    <t>NEW ROCHELLE</t>
  </si>
  <si>
    <t>140 HUGUENOT STREET, 3RD FL, NEW ROCHELLE, NY 10801 USA</t>
  </si>
  <si>
    <t>1531-1074</t>
  </si>
  <si>
    <t>1557-8070</t>
  </si>
  <si>
    <t>Astrobiology</t>
  </si>
  <si>
    <t>10.1089/ast.2016.1467</t>
  </si>
  <si>
    <t>Astronomy &amp; Astrophysics; Biology; Geosciences, Multidisciplinary</t>
  </si>
  <si>
    <t>Astronomy &amp; Astrophysics; Life Sciences &amp; Biomedicine - Other Topics; Geology</t>
  </si>
  <si>
    <t>FK1YD</t>
  </si>
  <si>
    <t>WOS:000413278600007</t>
  </si>
  <si>
    <t>Lynch, MA; Lynch, HJ</t>
  </si>
  <si>
    <t>Lynch, Maureen A.; Lynch, Heather J.</t>
  </si>
  <si>
    <t>Variation in the ecstatic display call of the Gentoo Penguin (Pygoscelis papua) across regional geographic scales</t>
  </si>
  <si>
    <t>AUK</t>
  </si>
  <si>
    <t>Antarctic Peninsula; dialect; Pygoscelis ellsworthii; Pygoscelis papua</t>
  </si>
  <si>
    <t>INDIVIDUAL RECOGNITION; SONG; DISCRIMINATION; DIVERGENCE; SIGNATURE; DIALECTS; SYSTEM; NOISE; MATES; NEST</t>
  </si>
  <si>
    <t>Geographic variation in bird vocalizations is common and has been associated with genetic differences and speciation, as well as with short-term changes in response to anthropogenic noise. Because vocalizations are used for individual recognition in many species, geographic variation in these traits may affect mate choice, pair bonding, and territory defense. Anecdotal evidence suggests the existence of geographic variation in vocalizations between isolated populations of Gentoo Penguins (Pygoscelis papua), but there have been no comprehensive studies of Gentoo Penguin vocalizations across a broad geographic range. We used acoustic recordings of ambient colony sound at 22 breeding colonies in the Antarctic Peninsula and South Shetland Islands, South Georgia, the Falkland Islands, and Argentina to address 2 main questions regarding Gentoo Penguin vocalizations: (1) How do ecstatic display calls vary both within and between individuals, colonies, and regions? (2) Can ecstatic display calls be used to distinguish subspecies? We found high levels of variation between individuals and between colonies, but little additional variation between regions or subspecies. We found no trends to suggest a latitudinal gradient in vocal characteristics, although we did find that some measures varied with relative distance between colonies. Although we found significant differences at the colony level, unknown calls could not easily be categorized to colony or region by machine learning. We conclude that the vocal soundscape of each colony is driven by variation between individuals within a colony and, developing independently from neighboring colonies, becomes differentiated from other colonies through a process of drift. Although individual calls could, in most cases, be identified to subspecies bymachine learning, our analysis suggests that subspecies differences may be driven by variation among colonies and that subspecies identification may be unreliable using acoustics alone.</t>
  </si>
  <si>
    <t>[Lynch, Maureen A.; Lynch, Heather J.] SUNY Stony Brook, Dept Ecol &amp; Evolut, Stony Brook, NY 11794 USA</t>
  </si>
  <si>
    <t>State University of New York (SUNY) System; State University of New York (SUNY) Stony Brook</t>
  </si>
  <si>
    <t>Lynch, MA (corresponding author), SUNY Stony Brook, Dept Ecol &amp; Evolut, Stony Brook, NY 11794 USA.</t>
  </si>
  <si>
    <t>maureen.a.lynch@stonybrook.edu</t>
  </si>
  <si>
    <t>Lynch, Maureen/0000-0003-4494-7012</t>
  </si>
  <si>
    <t>Oceanites Inc.; Tinker Foundation</t>
  </si>
  <si>
    <t>Funding was provided by Oceanites Inc. and the Tinker Foundation. No funders had input into the content of the manuscript or require approval of the manuscript before submission or publication.</t>
  </si>
  <si>
    <t>AMER ORNITHOLOGISTS UNION</t>
  </si>
  <si>
    <t>LAWRENCE</t>
  </si>
  <si>
    <t>ORNITHOLOGICAL SOC NORTH AMER PO BOX 1897, LAWRENCE, KS 66044-8897 USA</t>
  </si>
  <si>
    <t>0004-8038</t>
  </si>
  <si>
    <t>1938-4254</t>
  </si>
  <si>
    <t>10.1642/AUK-17-4.1</t>
  </si>
  <si>
    <t>Ornithology</t>
  </si>
  <si>
    <t>Zoology</t>
  </si>
  <si>
    <t>FJ5YD</t>
  </si>
  <si>
    <t>Green Submitted, Bronze</t>
  </si>
  <si>
    <t>WOS:000412829200010</t>
  </si>
  <si>
    <t>Caamaño, E; Loperena, L; Hinzpeter, I; Pradel, P; Gordillo, F; Corsini, G; Tello, M; Lavín, P; González, AR</t>
  </si>
  <si>
    <t>Caamano, Esteban; Loperena, Lyliam; Hinzpeter, Ivonne; Pradel, Paulina; Gordillo, Felipe; Corsini, Gino; Tello, Mario; Lavin, Paris; Gonzalez, Alex R.</t>
  </si>
  <si>
    <t>Isolation and molecular characterization of Thraustochytrium strain isolated from Antarctic Peninsula and its biotechnological potential in the production of fatty acids</t>
  </si>
  <si>
    <t>BRAZILIAN JOURNAL OF MICROBIOLOGY</t>
  </si>
  <si>
    <t>Thraustochytrids; Antarctic; Docosahexaenoic acid; Eicosapentaenoic acid; Temperature</t>
  </si>
  <si>
    <t>LIPID-ACCUMULATION; MARINE PROTISTS; BIODIESEL; DHA; OIL; PHYLOGENY; ALIGNMENT; SEARCH; FUNGI; PUFAS</t>
  </si>
  <si>
    <t>Thraustochytrids are unicellular protists belonging to the Labyrinthulomycetes class, which are characterized by the presence of a high lipid content that could replace conventional fatty acids. They show a wide geographic distribution, however their diversity in the Antarctic Region is rather scarce. The analysis based on the complete sequence of 18S rRNA gene showed that strain 34-2 belongs to the species Thraustochytrium kinnei, with 99% identity. The total lipid profile shows a wide range of saturated fatty acids with abundance of palmitic acid (16:0), showing a range of 16.1-19.7%. On the other hand, long-chain polyunsaturated fatty acids, mainly docosahexaenoic acid and eicosapentaenoic acid are present in a range of 24-48% and 6.1-9.3%, respectively. All factors analyzed in cells (biomass, carbon consumption and lipid content) changed with variations of culture temperature (10 degrees C and 25 degrees C). The growth in glucose at a temperature of 10 degrees C presented the most favorable conditions to produce omega-3fatty acid. This research provides the identification and characterization of a Thraustochytrids strain, with a total lipid content that presents potential applications in the production of nutritional supplements and as well biofuels. (C) 2017 Sociedade Brasileira de Microbiologia. Published by Elsevier Editora Ltda.</t>
  </si>
  <si>
    <t>[Caamano, Esteban; Gonzalez, Alex R.] Univ Lagos, Dept Ciencias Biol, Lab Microbiol Ambiental &amp; Extremofilos, Osorno, Chile; [Loperena, Lyliam] Univ Republica, Dept Bioingn, Inst Ingn Quim, Montevideo, Uruguay; [Hinzpeter, Ivonne] Univ Lagos, Dept Gobierno &amp; Empresa, Osorno, Chile; [Pradel, Paulina] Univ La Frontera, Ctr Interacc Planta Suelo &amp; Biotecnol Recursos Na, Lab Fisiol &amp; Biol Mol Vegetal, Temuco, Chile; [Gordillo, Felipe] Univ Catolica Maule, Fac Ciencias Agr &amp; Forestales, Ctr Biotecnol Recursos Nat, Talca, Chile; [Corsini, Gino] Univ Autonoma Chile, Inst Ciencias Biomed, Fac Ciencias Salud, Santiago, Chile; [Corsini, Gino] Univ Cient Sur, Lima, Peru; [Tello, Mario] Univ Santiago, Fac Quim &amp; Biol, Dept Biol, Ctr Biotecnol Acuicola, Santiago, Chile; [Lavin, Paris] Univ Antofagasta, Inst Antofagasta, Lab Complejidad Microbiana &amp; Ecol Func, Antofagasta, Chile</t>
  </si>
  <si>
    <t>Universidad de Los Lagos; Universidad de la Republica, Uruguay; Universidad de Los Lagos; Universidad de La Frontera; Universidad Catolica del Maule; Universidad Autonoma de Chile; Universidad Cientifica del Sur (CIENTIFICA); Universidad de Santiago de Chile; Universidad de Antofagasta</t>
  </si>
  <si>
    <t>González, AR (corresponding author), Univ Lagos, Dept Ciencias Biol, Lab Microbiol Ambiental &amp; Extremofilos, Osorno, Chile.</t>
  </si>
  <si>
    <t>Alex.gonzalez@ulagos.cl</t>
  </si>
  <si>
    <t>González, Alex/GYU-3220-2022; Tello, Mario/N-4198-2019; Lavin, Paris/AAI-9053-2020</t>
  </si>
  <si>
    <t>Tello, Mario/0000-0003-4573-6460; Gonzalez, Alex/0000-0001-9968-8623; Corsini, Gino/0000-0002-0418-8616; Lavin, Paris/0000-0002-8893-526X</t>
  </si>
  <si>
    <t>PROJECT from PROGRAMA PAI-CONICYT [79112042]; Universidad Autonoma de Chile [30/2014 DPI]; CONICYT Doctoral Fellowship [21130177]; Chilean Antarctic Institute Grants [DG_07-16]; [DIULA 09/14]; [Basales Usa1555 USACH-MECESUP]</t>
  </si>
  <si>
    <t>PROJECT from PROGRAMA PAI-CONICYT; Universidad Autonoma de Chile; CONICYT Doctoral Fellowship(Comision Nacional de Investigacion Cientifica y Tecnologica (CONICYT)); Chilean Antarctic Institute Grants; ;</t>
  </si>
  <si>
    <t>The authors wish to thank Mauricio Quiroz for his valuable assistance in microscopy work and Barbara Burmeister for proof-reading the manuscript. This work was supported by DIULA 09/14 (AG), PROJECT 79112042 from PROGRAMA PAI-CONICYT (FG), Grant Basales Usa1555 USACH-MECESUP to MT, Fund Research Support 30/2014 DPI Universidad Autonoma de Chile to (GC) and CONICYT Doctoral Fellowship No 21130177 and Chilean Antarctic Institute Grants DG_07-16 (PP).</t>
  </si>
  <si>
    <t>1517-8382</t>
  </si>
  <si>
    <t>1678-4405</t>
  </si>
  <si>
    <t>BRAZ J MICROBIOL</t>
  </si>
  <si>
    <t>Braz. J. Microbiol.</t>
  </si>
  <si>
    <t>10.1016/j.bjm.2017.01.011</t>
  </si>
  <si>
    <t>FM0ZJ</t>
  </si>
  <si>
    <t>WOS:000414697800010</t>
  </si>
  <si>
    <t>Normandeau, A; Lajeunesse, P; Trottier, AP; Poiré, AG; Pienitz, R</t>
  </si>
  <si>
    <t>Normandeau, Alexandre; Lajeunesse, Patrick; Trottier, Annie-Pier; Poire, Antoine G.; Pienitz, Reinhard</t>
  </si>
  <si>
    <t>Sedimentation in isolated glaciomarine embayments during glacio-isostatically induced relative sea level fall (northern Champlain Sea basin)</t>
  </si>
  <si>
    <t>CANADIAN JOURNAL OF EARTH SCIENCES</t>
  </si>
  <si>
    <t>ST-LAWRENCE ESTUARY; RESOLUTION SEISMIC STRATIGRAPHY; LAURENTIDE ICE-SHEET; LATE-QUATERNARY; LAKE-SEDIMENTS; GLACIMARINE SEDIMENTATION; ANTARCTIC PENINSULA; BRITISH-COLUMBIA; QUEBEC; HISTORY</t>
  </si>
  <si>
    <t>The nature of glaciomarine sediments deposited during ice margin retreat can vary according to physiographic setting and relative sea level fluctuations. To understand the effects of these two parameters on sedimentation, we analyzed the sediment records of four lakes located within former isolated glaciomarine embayments of the northern Champlain Sea basin. These lakes were initially inundated by marine water of the Champlain Sea, following deglaciation, and have subsequently experienced basin isolation owing to glacio-isostatic rebound. Three of these lakes reveal a common litho-and acoustic stratigraphic succession, characterized by an IRD-free glaciomarine to marine facies consisting of homogeneous to faintly laminated clayey silts grading into well-laminated silts with rapidly deposited layers. These two units recorded the transitional environment from glaciomarine sedimentation below multiyear shorefast ice to increased terrestrial runoff and rapid glacio-isostatic rebound once the ice margin retreated inland. During ice margin retreat, relative sea level fell concomitantly resulting in the deposition of coarser sediments in marine embayments. Upon the complete retreat of the ice margin, the supply of terrestrial sediments diminished and lake isolation, driven by relative sea level fall, led to higher biogenic content and increased biotur-bation. This study provides a framework for sedimentation in isolated glaciomarine embayments which differs from deep-water sedimentation owing to the presence of shorefast sea-ice and their protected location from major ice-stream outlets.</t>
  </si>
  <si>
    <t>[Normandeau, Alexandre] Geol Survey Canada Atlantic, 1 Challenger Dr, Dartmouth, NS B2Y 4A2, Canada; [Normandeau, Alexandre; Lajeunesse, Patrick; Trottier, Annie-Pier; Poire, Antoine G.; Pienitz, Reinhard] Univ Laval, Ctr Etud Nord, 2405 Rue Terrasse, Quebec City, PQ G1V 0A6, Canada; [Normandeau, Alexandre; Lajeunesse, Patrick; Trottier, Annie-Pier; Poire, Antoine G.; Pienitz, Reinhard] Univ Laval, Dept Geog, 2405 Rue Terrasse, Quebec City, PQ G1V 0A6, Canada</t>
  </si>
  <si>
    <t>Natural Resources Canada; Lands &amp; Minerals Sector - Natural Resources Canada; Geological Survey of Canada; Laval University; Laval University</t>
  </si>
  <si>
    <t>Normandeau, A (corresponding author), Geol Survey Canada Atlantic, 1 Challenger Dr, Dartmouth, NS B2Y 4A2, Canada.;Normandeau, A (corresponding author), Univ Laval, Ctr Etud Nord, 2405 Rue Terrasse, Quebec City, PQ G1V 0A6, Canada.;Normandeau, A (corresponding author), Univ Laval, Dept Geog, 2405 Rue Terrasse, Quebec City, PQ G1V 0A6, Canada.</t>
  </si>
  <si>
    <t>alexandre.normandeau@canada.ca</t>
  </si>
  <si>
    <t>Lajeunesse, Patrick/0000-0002-2265-4529; Normandeau, Alexandre/0000-0001-7900-7763</t>
  </si>
  <si>
    <t>Natural Sciences and Engineering Research Council of Canada (NSERC); Canadian Foundation for Innovation; Ministere de l'Education du Quebec; NSERC</t>
  </si>
  <si>
    <t>Natural Sciences and Engineering Research Council of Canada (NSERC)(Natural Sciences and Engineering Research Council of Canada (NSERC)); Canadian Foundation for Innovation(Canada Foundation for Innovation); Ministere de l'Education du Quebec; NSERC(Natural Sciences and Engineering Research Council of Canada (NSERC))</t>
  </si>
  <si>
    <t>Financial support was provided by the Natural Sciences and Engineering Research Council of Canada (NSERC) through a Discovery grant to P.L. Hydroacoustic survey instruments were acquired through research grants awarded to P.L. by the Canadian Foundation for Innovation, the Ministere de l'Education du Quebec, and NSERC. We thank the journal editor Ali Poliat, the associate editor Alan Trenhaile, as well as Pierre J. Richard, Mark Furze, and an anonymous reviewer, for their comments that greatly improved this manuscript.</t>
  </si>
  <si>
    <t>CANADIAN SCIENCE PUBLISHING, NRC RESEARCH PRESS</t>
  </si>
  <si>
    <t>OTTAWA</t>
  </si>
  <si>
    <t>65 AURIGA DR, SUITE 203, OTTAWA, ON K2E 7W6, CANADA</t>
  </si>
  <si>
    <t>0008-4077</t>
  </si>
  <si>
    <t>1480-3313</t>
  </si>
  <si>
    <t>CAN J EARTH SCI</t>
  </si>
  <si>
    <t>Can. J. Earth Sci.</t>
  </si>
  <si>
    <t>10.1139/cjes-2017-0002</t>
  </si>
  <si>
    <t>FI7JH</t>
  </si>
  <si>
    <t>WOS:000412172500003</t>
  </si>
  <si>
    <t>Corsolini, S; Cincinelli, A; Capodaglio, G; Fuoco, R</t>
  </si>
  <si>
    <t>Corsolini, Simonetta; Cincinelli, Alessandra; Capodaglio, Gabriele; Fuoco, Roger</t>
  </si>
  <si>
    <t>The Italian National Antarctic Research Programme (PNRA): Contribution to the study of environmental contamination in the Ross Sea and Victoria Land, Antarctica</t>
  </si>
  <si>
    <t>CHEMOSPHERE</t>
  </si>
  <si>
    <t>[Corsolini, Simonetta] Univ Siena, Dept Phys Earth &amp; Environm Sci, Siena, Italy; [Cincinelli, Alessandra] Univ Florence, Dept Chem Ugo Schiff, Florence, Italy; [Capodaglio, Gabriele] Univ Ca Foscari, Dept Environm Sci Informat &amp; Stat, Venice, Italy; [Fuoco, Roger] Univ Pisa, Dept Chem &amp; Ind Chem, Pisa, Italy</t>
  </si>
  <si>
    <t>University of Siena; University of Florence; Universita Ca Foscari Venezia; University of Pisa</t>
  </si>
  <si>
    <t>Corsolini, S (corresponding author), Univ Siena, Dept Phys Earth &amp; Environm Sci, Siena, Italy.</t>
  </si>
  <si>
    <t>simonetta.corsolini@unisi.it; alessandra.cincinelli@unifi.it; capoda@unive.it; roger.fuoco@unipi.it</t>
  </si>
  <si>
    <t>Corsolini, Simonetta/B-9460-2012; Cincinelli, Alessandra/A-8468-2011; Capodaglio, Gabriele/D-5295-2014</t>
  </si>
  <si>
    <t>Corsolini, Simonetta/0000-0002-9772-2362; Capodaglio, Gabriele/0000-0002-3689-4865</t>
  </si>
  <si>
    <t>0045-6535</t>
  </si>
  <si>
    <t>1879-1298</t>
  </si>
  <si>
    <t>Chemosphere</t>
  </si>
  <si>
    <t>10.1016/j.chemosphere.2017.07.026</t>
  </si>
  <si>
    <t>Environmental Sciences</t>
  </si>
  <si>
    <t>FF0NB</t>
  </si>
  <si>
    <t>WOS:000408597300057</t>
  </si>
  <si>
    <t>Illuminati, S; Annibaldi, A; Romagnoli, T; Libani, G; Antonucci, M; Scarponi, G; Totti, C; Truzzi, C</t>
  </si>
  <si>
    <t>Illuminati, S.; Annibaldi, A.; Romagnoli, T.; Libani, G.; Antonucci, M.; Scarponi, G.; Totti, C.; Truzzi, C.</t>
  </si>
  <si>
    <t>Distribution of Cd, Pb and Cu between dissolved fraction, inorganic particulate and phytoplankton in seawater of Terra Nova Bay (Ross Sea, Antarctica) during austral summer 2011-12</t>
  </si>
  <si>
    <t>Metal quotas; Metal stoichiometry; Seasonal evolution of metals; Metal partitioning; Phytoplankton; Terra Nova Bay</t>
  </si>
  <si>
    <t>ANODIC-STRIPPING VOLTAMMETRY; MARINE-PHYTOPLANKTON; TRACE-ELEMENTS; SOUTHERN-OCEAN; WATER COLUMN; ANALYTICAL METHODOLOGY; TEMPORAL DISTRIBUTION; COPPER COMPLEXATION; SILICEOUS SPICULES; COASTAL SEAWATER</t>
  </si>
  <si>
    <t>During the austral summer 2011-2012, the metal quotas of Cd, Pb and Cu in the phytoplankton of Terra Nova Bay (TNB, Antarctica) were measured for the first time. Evolution of all the three metal distributions between dissolved and particulate fractions during the season was also evaluated. Metal concentrations were mainly affected by the dynamic of the pack ice melting and phytoplankton activity. In mid December when TNB area was covered by a thick pack ice layer and phytoplankton activity was very low, all the three metals were present mainly in their dissolved species. When the pack ice started to melt and the water column characteristics became ideal (i.e. moderate stratification, ice free area), the phytoplankton bloom occurred. Cd showed a nutrient-type behaviour with dissolved and particulate fractions mainly influenced by phytoplankton activity. Cd quota showed a mean value of 0.12 +/- 0.07 nmol L-1 (30-100% of the total particulate). Also Cu showed a nutrient-type behaviour, with its quota in phytoplankton varying between 0.08 and 2.1 nmol L-1 (20-100% of the total particulate). Pb features the typical distribution of a scavenged element with very low algal content (0.03 +/- 0.02 nmol L-1, representing 20-50% of the total particulate). The vertical distribution of this element was influenced by several factors (e.g. pack ice melting, atmospheric inputs), the phytoplankton activity affecting Pb behaviour only partially. Metal:C ratios provide valuable information on the biological requirements for Cd, Pb and Cu, leading us to better understand their biogeochemical cycles. (C) 2017 Elsevier Ltd. All rights reserved.</t>
  </si>
  <si>
    <t>[Illuminati, S.; Annibaldi, A.; Romagnoli, T.; Libani, G.; Antonucci, M.; Scarponi, G.; Totti, C.; Truzzi, C.] Univ Politecn Marche, Dipartimento Sci Vita &amp; Ambiente, Via Brecce Bianche, I-60131 Ancona, Italy</t>
  </si>
  <si>
    <t>Marche Polytechnic University</t>
  </si>
  <si>
    <t>Illuminati, S (corresponding author), Univ Politecn Marche, Dipartimento Sci Vita &amp; Ambiente, Via Brecce Bianche, I-60131 Ancona, Italy.</t>
  </si>
  <si>
    <t>s.illuminati@univpm.it</t>
  </si>
  <si>
    <t>Illuminati, Silvia/GXZ-5038-2022; Scarponi, Giuseppe/AAQ-6394-2021; Illuminati, Silvia/T-7873-2019; TOTTI, Cecilia Maria/A-9178-2016</t>
  </si>
  <si>
    <t>Scarponi, Giuseppe/0000-0003-2932-0596; Illuminati, Silvia/0000-0001-6465-5477; TOTTI, Cecilia Maria/0000-0002-1532-6009; Romagnoli, Tiziana/0009-0009-5181-987X; Antonucci, Matteo/0000-0003-1466-9162</t>
  </si>
  <si>
    <t>Italian Programma Nazionale di Ricerche in Antartide (PNRA) through the project Assessment and evolution of the chemical contamination by organic and inorganic constituents in Antarctic coastal areas [PdR 2013/AZ1.01]</t>
  </si>
  <si>
    <t>Italian Programma Nazionale di Ricerche in Antartide (PNRA) through the project Assessment and evolution of the chemical contamination by organic and inorganic constituents in Antarctic coastal areas</t>
  </si>
  <si>
    <t>We thank prof. Paolo Povero (Department of Earth, Environment and Life Sciences, DISTAV of the University of Genova) for providing the data on the master hydrographic variables and chlorophyll-a concentrations. This work was financially supported by the Italian Programma Nazionale di Ricerche in Antartide (PNRA) through the project (PdR 2013/AZ1.01) Assessment and evolution of the chemical contamination by organic and inorganic constituents in Antarctic coastal areas.</t>
  </si>
  <si>
    <t>10.1016/j.chemosphere.2017.07.087</t>
  </si>
  <si>
    <t>WOS:000408597300125</t>
  </si>
  <si>
    <t>Li, JX; Ren, HL; Lu, B; Liu, JP; Kang, YZ</t>
  </si>
  <si>
    <t>Li Jing-Xin; Ren Hong-Li; Lu Bo; Liu Jing-Peng; Kang Yan-Zhen</t>
  </si>
  <si>
    <t>Collaborative effects of phase configurations of North Atlantic Oscillation and Southern Annular Mode on summer precipitation anomalies over Southern China</t>
  </si>
  <si>
    <t>CHINESE JOURNAL OF GEOPHYSICS-CHINESE EDITION</t>
  </si>
  <si>
    <t>Chinese</t>
  </si>
  <si>
    <t>NAO; SAM; Collaborative effects; Southern China; Summer precipitation</t>
  </si>
  <si>
    <t>ANTARCTIC OSCILLATION; MEI-YU; INTERANNUAL VARIABILITY; ARCTIC OSCILLATION; RIVER VALLEY; MONSOON; CIRCULATION; YANGTZE; HEMISPHERE; SIGNATURE</t>
  </si>
  <si>
    <t>We have studied the collaborative effects of phase configurations in the prophase spring (April and May) of the North Atlantic Oscillation (NAO) and Southern Annular Mode (SAM) on abnormal precipitation in the ensuing summer (June and July) in southern China by utilizing the dataset of meteorological stations and NCEP reanalysis. Results demonstrate that the summer precipitation anomalies over southern China significantly respond to the various phase configurations of NAO and SAM, the dominant modes of interannual variability, after excluding the strongest ENSO years. Namely, the patterns of precipitation anomalies are primarily affected by the combination effects of NAO and SAM. The strong positive phase of SAM associated with strong negative phase of NAO synergistically makes significant normal anomalies of summer precipitation in the most areas of southern China, especially in the middle and lower reaches of the Yangtze as well as the vicinity to the south. On the contrary, coupling strong negative phase of SAM with strong positive phase of NAO strengthens negative anomalies in the middle and lower reaches of the Yangtze, implying collaborative negative effects. It is pointed out that inverting phases between SAM and NAO make the abnormal alteration of sea surface temperature in the northern tropical Atlantic through the ocean-atmosphere interactions, which collaboratively enhance the abnormal tripole-pattern signal of the sea surface temperature in the North Atlantic. Furthermore, the teleconnection wave train propagating over Eurasia, associated with the generated tripole-pattern signal, has significantly influenced the East Asian summer monsoon and summer precipitation in southern China. However, identical phases of SAM and NAO inhibit the development of the abnormal tripole-pattern signal of sea surface temperature in the North Atlantic to further weaken the impact on the summer precipitation in southern China, which needs further in-depth study in the future.</t>
  </si>
  <si>
    <t>[Li Jing-Xin] Chinese Acad Meteorol Sci, Inst Climate Syst, Beijing 100081, Peoples R China; [Ren Hong-Li; Lu Bo; Liu Jing-Peng] China Meteorol Adm, Natl Climate Ctr, Lab Climate Studies, Beijing 100081, Peoples R China; [Ren Hong-Li; Lu Bo] CMA NJU Joint Lab Climate Predict Studies, Beijing 100081, Peoples R China; [Kang Yan-Zhen] Lanzhou Univ, Coll Atmospher Sci, Lanzhou 730000, Gansu, Peoples R China</t>
  </si>
  <si>
    <t>China Meteorological Administration; Chinese Academy of Meteorological Sciences (CAMS); China Meteorological Administration; Lanzhou University</t>
  </si>
  <si>
    <t>Ren, HL (corresponding author), China Meteorol Adm, Natl Climate Ctr, Lab Climate Studies, Beijing 100081, Peoples R China.;Ren, HL (corresponding author), CMA NJU Joint Lab Climate Predict Studies, Beijing 100081, Peoples R China.</t>
  </si>
  <si>
    <t>lijingxin@camscma.cn; renhl@cma.gov.cn</t>
  </si>
  <si>
    <t>LIU, JIALIN/JXN-8034-2024; Ren, Hong-Li/X-9632-2018; Li, Zexi/KFA-6939-2024</t>
  </si>
  <si>
    <t>Ren, Hong-Li/0000-0001-7194-0567;</t>
  </si>
  <si>
    <t>SCIENCE PRESS</t>
  </si>
  <si>
    <t>BEIJING</t>
  </si>
  <si>
    <t>16 DONGHUANGCHENGGEN NORTH ST, BEIJING 100717, PEOPLES R CHINA</t>
  </si>
  <si>
    <t>0001-5733</t>
  </si>
  <si>
    <t>CHINESE J GEOPHYS-CH</t>
  </si>
  <si>
    <t>Chinese J. Geophys.-Chinese Ed.</t>
  </si>
  <si>
    <t>10.6038/cjg20171004</t>
  </si>
  <si>
    <t>FK0NL</t>
  </si>
  <si>
    <t>WOS:000413176400004</t>
  </si>
  <si>
    <t>Yan, P; Li, ZW; Li, F; Yang, YD; Hao, WF; Zhou, L</t>
  </si>
  <si>
    <t>Yan Peng; Li Zhi-Wei; Li Fei; Yang Yuan-De; Hao Wei-Feng; Zhou Lei</t>
  </si>
  <si>
    <t>Antarctic ice sheet thickness derived from teleseismic receiver functions</t>
  </si>
  <si>
    <t>Antarctica; Ice sheet thickness; Teleseismic receiver function; H-Kappa grid search</t>
  </si>
  <si>
    <t>EAST ANTARCTICA; MOHO DEPTH; STATION; CRUSTAL; REGION; CHINA; BED</t>
  </si>
  <si>
    <t>Ice sheet thickness is a fundamental parameter in research on Antarctic ice sheet mass and ice sheet dynamic model construction, which has great significance for glacial isostatic adjustment, ice sheet mass balance and global climate change studies. Accurate ice thickness acquired utilizing the seismological receiver function and H-Kappa grid search method can not only be an independent comparison and verification for the ice thickness obtained by radio echo sounding method, but also fill the gap of radio echo sounding measurement in Antarctica. In this paper, P-receiver functions (PRFs) are extracted from teleseismic events waveform data recorded by the temporary seismic arrays deployed on the ice sheet, then the ice thickness beneath the stations is calculated using the H-Kappa method. Compared the ice thickness derived from PRFs with Bedmap2 ice sheet thickness database, the results show that most of the differences are within 200 meters, and only a few reach 600 meters, which may be attributed to the vacancy of Bedmap2 survey lines and the uncertainty of radio echo sounding, as well as the inherit complexity of the inner ice structure beneath some stations. It can be concluded that the ice thickness obtained from the teleseismic receiver function method is reliable, thus it can not only be an independent verification for radio echo sounding results, but also provide an effective method for making up the limitations of radio echo sounding measurements. At the same time, the complexity of the receiver function waveforms beneath several stations may also indicate that the inner velocity structure of the Antarctic ice sheet is not homogeneous. There may be complex velocity structure in the ice sheet, and it is necessary to use some other methods such as receiver function waveform inversion and surface wave inversion for further study.</t>
  </si>
  <si>
    <t>[Yan Peng; Li Fei; Yang Yuan-De; Hao Wei-Feng; Zhou Lei] Wuhan Univ, Chinese Antarctic Ctr Surveying &amp; Mapping, Wuhan 430079, Hubei, Peoples R China; [Li Zhi-Wei] Chinese Acad Sci, Inst Geodesy &amp; Geophys, State Key Lab Geodesy &amp; Earths Dynam, Wuhan 430077, Hubei, Peoples R China; [Li Fei] Wuhan Univ, State Key Lab Informat Engn Surveying Mapping &amp; R, Wuhan 430079, Hubei, Peoples R China</t>
  </si>
  <si>
    <t>Wuhan University; Chinese Academy of Sciences; Innovation Academy for Precision Measurement Science &amp; Technology, CAS; Wuhan University</t>
  </si>
  <si>
    <t>Li, F (corresponding author), Wuhan Univ, Chinese Antarctic Ctr Surveying &amp; Mapping, Wuhan 430079, Hubei, Peoples R China.;Li, F (corresponding author), Wuhan Univ, State Key Lab Informat Engn Surveying Mapping &amp; R, Wuhan 430079, Hubei, Peoples R China.</t>
  </si>
  <si>
    <t>pyan@whu.edu.cn; fli@whu.edu.cn</t>
  </si>
  <si>
    <t>Li, Zhiwei/GMX-3670-2022</t>
  </si>
  <si>
    <t>Li, Zhiwei/0000-0001-7505-5899; Yan, Peng/0000-0003-4210-533X</t>
  </si>
  <si>
    <t>10.6038/cjg20171008</t>
  </si>
  <si>
    <t>WOS:000413176400008</t>
  </si>
  <si>
    <t>Wahiduzzaman, M; Oliver, ECJ; Wotherspoon, SJ; Holbrook, NJ</t>
  </si>
  <si>
    <t>Wahiduzzaman, Mohammad; Oliver, Eric C. J.; Wotherspoon, Simon J.; Holbrook, Neil J.</t>
  </si>
  <si>
    <t>A climatological model of North Indian Ocean tropical cyclone genesis, tracks and landfall</t>
  </si>
  <si>
    <t>CLIMATE DYNAMICS</t>
  </si>
  <si>
    <t>Tropical cyclone; Genesis; Tracks; Landfall; North Indian Ocean; Generalised additive model; Kernel density estimation</t>
  </si>
  <si>
    <t>ATLANTIC HURRICANE ACTIVITY; BANDWIDTH SELECTION; SOUTHERN-HEMISPHERE; SEASONAL PREDICTION; PLUG-IN; BENGAL; BAY; VARIABILITY; INTENSITY; REGION</t>
  </si>
  <si>
    <t>Extensive damage and loss of life can be caused by tropical cyclones (TCs) that make landfall. Modelling of TC landfall probability is beneficial to insurance/re-insurance companies, decision makers, government policy and planning, and residents in coastal areas. In this study, we develop a climatological model of tropical cyclone genesis, tracks and landfall for North Indian Ocean (NIO) rim countries based on kernel density estimation, a generalised additive model (GAM) including an Euler integration step, and landfall detection using a country mask approach. Using a 35-year record (1979-2013) of tropical cyclone track observations from the Joint Typhoon Warning Centre (part of the International Best Track Archive Climate Stewardship Version 6), the GAM is fitted to the observed cyclone track velocities as a smooth function of location in each season. The distribution of cyclone genesis points is approximated by kernel density estimation. The model simulated TCs are randomly selected from the fitted kernel (TC genesis), and the cyclone paths (TC tracks), represented by the GAM together with the application of stochastic innovations at each step, are simulated to generate a suite of NIO rim landfall statistics. Three hindcast validation methods are applied to evaluate the integrity of the model. First, leave-one-out cross validation is applied whereby the country of landfall is determined by the majority vote (considering the location by only highest percentage of landfall) from the simulated tracks. Second, the probability distribution of simulated landfall is evaluated against the observed landfall. Third, the distances between the point of observed landfall and simulated landfall are compared and quantified. Overall, the model shows very good cross-validated hindcast skill of modelled landfalling cyclones against observations in each of the NIO tropical cyclone seasons and for most NIO rim countries, with only a relatively small difference in the percentage of predicted landfall locations compared with observations.</t>
  </si>
  <si>
    <t>[Wahiduzzaman, Mohammad; Oliver, Eric C. J.; Wotherspoon, Simon J.; Holbrook, Neil J.] Univ Tasmania, IMAS, Hobart, Tas 7001, Australia; [Wahiduzzaman, Mohammad] Jahangirnagar Univ, Dept Geog &amp; Environm, Dhaka, Bangladesh; [Oliver, Eric C. J.; Holbrook, Neil J.] Univ Tasmania, Australian Res Council, Ctr Excellence Climate Syst Sci, Hobart, Tas, Australia; [Wotherspoon, Simon J.] Australian Antarctic Div, 203 Channel Highway, Kingston, Tas 7050, Australia</t>
  </si>
  <si>
    <t>University of Tasmania; Jahangirnagar University; University of Tasmania; Australian Antarctic Division</t>
  </si>
  <si>
    <t>Holbrook, NJ (corresponding author), Univ Tasmania, IMAS, Hobart, Tas 7001, Australia.;Holbrook, NJ (corresponding author), Univ Tasmania, Australian Res Council, Ctr Excellence Climate Syst Sci, Hobart, Tas, Australia.</t>
  </si>
  <si>
    <t>neil.holbrook@utas.edu.au</t>
  </si>
  <si>
    <t>Wotherspoon, Simon J/B-2390-2013; Wahiduzzaman/T-7361-2019; Holbrook, Neil/M-7544-2013; Oliver, Eric/G-5118-2014</t>
  </si>
  <si>
    <t>Wotherspoon, Simon J/0000-0002-6947-4445; Wahiduzzaman/0000-0002-8974-8247; Holbrook, Neil/0000-0002-3523-6254; Oliver, Eric/0000-0002-4006-2826</t>
  </si>
  <si>
    <t>Tasmania Graduate Research Scholarship (TGRS)</t>
  </si>
  <si>
    <t>We would like to sincerely thank the two anonymous reviewers for their insightful comments that helped us to significantly improve the quality of this manuscript. Mohammad Wahiduzzaman was supported by a Tasmania Graduate Research Scholarship (TGRS) for this PhD research undertaken at the University of Tasmania, Hobart, Tasmania, Australia. This paper makes a contribution to the objectives of the Australian Research Council Centre of Excellence for Climate System Science (ARCCCS).</t>
  </si>
  <si>
    <t>0930-7575</t>
  </si>
  <si>
    <t>1432-0894</t>
  </si>
  <si>
    <t>CLIM DYNAM</t>
  </si>
  <si>
    <t>Clim. Dyn.</t>
  </si>
  <si>
    <t>7-8</t>
  </si>
  <si>
    <t>10.1007/s00382-016-3461-4</t>
  </si>
  <si>
    <t>FH0BE</t>
  </si>
  <si>
    <t>WOS:000410803300021</t>
  </si>
  <si>
    <t>Hill, NA; Foster, SD; Duhamel, G; Welsford, D; Koubbi, P; Johnson, CR</t>
  </si>
  <si>
    <t>Hill, Nicole A.; Foster, Scott D.; Duhamel, Guy; Welsford, Dirk; Koubbi, Philippe; Johnson, Craig R.</t>
  </si>
  <si>
    <t>Model-based mapping of assemblages for ecology and conservation management: A case study of demersal fish on the Kerguelen Plateau</t>
  </si>
  <si>
    <t>DIVERSITY AND DISTRIBUTIONS</t>
  </si>
  <si>
    <t>bioregionalization; ecological mapping; ecoregionalization; Regions of Common Profile; Southern Ocean</t>
  </si>
  <si>
    <t>COMMUNITY; ABUNDANCE; CCAMLR; SCALE</t>
  </si>
  <si>
    <t>Aim: Quantifying biological assemblages and their environment is a fundamental, yet statistically challenging task in conservation ecology. Here, we use a recently developed approach called Regions of Common Profile (RCP) to quantify and map the distribution of demersal fish assemblages in an ecologically significant region of the Southern Ocean to (1) gain ecological and management insights and (2) evaluate the utility of the new method for ecoregionalization. Location: Northern Kerguelen Plateau, Subantarctic Islands, Southern Ocean. Methods: The RCP approach is a multispecies, model-based approach that can overcome many limitations of traditional distance-based approaches. It simultaneously groups sites with a similar composition of species and describes the patterns of variation in assemblages using environmental data, allowing the prediction of assemblages across the study region. We apply RCP to a unique dataset of demersal fish occurrences across the northern Kerguelen Plateau to model and map the distribution of assemblages and examine the representativeness of the Heard Island and McDonald Island marine reserve. Results: We demonstrate that the RCP approach allows a direct and quantitative interpretation of the composition of assemblages as well as their environment. Further, the model reasonably predicts the occurrence of individual species across the plateau as well as the species composition of sites. We distinguish and map seven assemblages defined by depth, surface temperature and chlorophyll a. Shallow-water assemblages contain a high proportion of endemic species, while deep-water assemblages contain more cosmopolitan species. With the exception of one deep-water assemblage, -assemblages were well represented within the current Heard and McDonald Islands marine reserve. Main conclusions: The RCP is a valuable tool for classifying biological regions with a range of ecological and conservation management applications. Our results extend current ecological and biogeographic knowledge for the northern Kerguelen Plateau, and maps of the distribution of assemblages will be useful for ongoing spatial management.</t>
  </si>
  <si>
    <t>[Hill, Nicole A.; Johnson, Craig R.] Univ Tasmania, Inst Marine &amp; Antarctic Studies, Hobart, Tas, Australia; [Foster, Scott D.] CSIRO, Hobart, Tas, Australia; [Duhamel, Guy; Koubbi, Philippe] Univ Caen Basse Normandie, Univ Pierre &amp; Marie Curie, Sorbonne Univ,Unite Biol Organismes &amp; Ecosyst Aqu, UMR 7208,Museum Natl Hist Nat,CNRS,IRD, Paris, France; [Welsford, Dirk] Australian Antarctic Div, Southern Ocean Ecosyst Theme, Kingston, Tas, Australia</t>
  </si>
  <si>
    <t>University of Tasmania; Commonwealth Scientific &amp; Industrial Research Organisation (CSIRO); Centre National de la Recherche Scientifique (CNRS); CNRS - Institute of Ecology &amp; Environment (INEE); Universite de Caen Normandie; Institut de Recherche pour le Developpement (IRD); Museum National d'Histoire Naturelle (MNHN); Sorbonne Universite; Australian Antarctic Division</t>
  </si>
  <si>
    <t>Hill, NA (corresponding author), Univ Tasmania, Inst Marine &amp; Antarctic Studies, Hobart, Tas, Australia.</t>
  </si>
  <si>
    <t>Nicole.Hill@utas.edu.au</t>
  </si>
  <si>
    <t>Hill, Nicole/AAI-7323-2021; Koubbi, Philippe/D-5873-2015; Foster, Scott/E-9311-2010</t>
  </si>
  <si>
    <t>Hill, Nicole/0000-0001-9329-6717; Welsford, Dirk/0000-0001-5379-5052; Foster, Scott/0000-0002-6719-8002</t>
  </si>
  <si>
    <t>1366-9516</t>
  </si>
  <si>
    <t>1472-4642</t>
  </si>
  <si>
    <t>DIVERS DISTRIB</t>
  </si>
  <si>
    <t>Divers. Distrib.</t>
  </si>
  <si>
    <t>10.1111/ddi.12613</t>
  </si>
  <si>
    <t>FG0QK</t>
  </si>
  <si>
    <t>WOS:000409469400011</t>
  </si>
  <si>
    <t>Wong, TE; Keller, K</t>
  </si>
  <si>
    <t>Wong, Tony E.; Keller, Klaus</t>
  </si>
  <si>
    <t>Deep Uncertainty Surrounding Coastal Flood Risk Projections: A Case Study for New Orleans</t>
  </si>
  <si>
    <t>EARTHS FUTURE</t>
  </si>
  <si>
    <t>sea-level rise; scenarios; coastal flooding; deep uncertainty</t>
  </si>
  <si>
    <t>SEA-LEVEL PROJECTIONS; CLIMATE; ADAPTATION; MODELS; RCP</t>
  </si>
  <si>
    <t>Future sea-level rise drives severe risks for many coastal communities. Strategies to manage these risks hinge on a sound characterization of the uncertainties. For example, recent studies suggest that large fractions of the Antarctic ice sheet (AIS) may rapidly disintegrate in response to rising global temperatures, leading to potentially several meters of sea-level rise during the next few centuries. It is deeply uncertain, for example, whether such an AIS disintegration will be triggered, how much this would increase sea-level rise, whether extreme storm surges intensify in a warming climate, or which emissions pathway future societies will choose. Here, we assess the impacts of these deep uncertainties on projected flooding probabilities for a levee ring in New Orleans, LA. We use 18 scenarios, presenting probabilistic projections within each one, to sample key deeply uncertain future projections of sea-level rise, radiative forcing pathways, storm surge characterization, and contributions from rapid AIS mass loss. The implications of these deep uncertainties for projected flood risk are thus characterized by a set of 18 probability distribution functions. We use a global sensitivity analysis to assess which mechanisms contribute to uncertainty in projected flood risk over the course of a 50-year design life. In line with previous work, we find that the uncertain storm surge drives the most substantial risk, followed by general AIS dynamics, in our simple model for future flood risk for New Orleans.</t>
  </si>
  <si>
    <t>[Wong, Tony E.; Keller, Klaus] Penn State Univ, Earth &amp; Environm Syst Inst, University Pk, PA 16802 USA; [Keller, Klaus] Penn State Univ, Dept Geosci, University Pk, PA 16802 USA; [Keller, Klaus] Carnegie Mellon Univ, Dept Engn &amp; Publ Policy, Pittsburgh, PA 15213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</si>
  <si>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Carnegie Mellon University</t>
  </si>
  <si>
    <t>Wong, TE (corresponding author), Penn State Univ, Earth &amp; Environm Syst Inst, University Pk, PA 16802 USA.</t>
  </si>
  <si>
    <t>anthony.e.wong@colorado.edu</t>
  </si>
  <si>
    <t>Wong, Tony/AAS-9534-2020; Keller, Klaus/A-6742-2013</t>
  </si>
  <si>
    <t>Wong, Tony/0000-0002-7304-3883;</t>
  </si>
  <si>
    <t>National Science Foundation through the Network for Sustainable Climate Risk Management (SCRiM) under NSF [GEO-1240507]; Penn State Center for Climate Risk Management; Directorate For Geosciences [1240507] Funding Source: National Science Foundation</t>
  </si>
  <si>
    <t>National Science Foundation through the Network for Sustainable Climate Risk Management (SCRiM) under NSF; Penn State Center for Climate Risk Management; Directorate For Geosciences(National Science Foundation (NSF)NSF - Directorate for Geosciences (GEO))</t>
  </si>
  <si>
    <t>We gratefully acknowledge Greg Garner, Robert Fuller, Kelsey Ruckert, Benjamin Lee, Vivek Srikrishnan, Alexander Bakker, Rob Lempert, David Johnson, and Neil Berg, as well as Bella and Chris Forest for invaluable inputs. This work was partially supported by the National Science Foundation through the Network for Sustainable Climate Risk Management (SCRiM) under NSF cooperative agreement GEO-1240507 as well as the Penn State Center for Climate Risk Management. The authors are not aware of any real or perceived conflicts of interest. Any conclusions or recommendations expressed in this material are those of the authors and do not necessarily reflect the views of the funding agencies. Any errors and opinions are, of course, those of the authors. All model codes, analysis codes, data, and model output used for analysis are freely available at https://github.com/scrim-network/BRICK/tree/scenarios. TW and KK initiated the study and designed the research. TW produced the model simulations, designed the initial figures, and wrote the first draft. Both contributed to the final text and figures.</t>
  </si>
  <si>
    <t>2328-4277</t>
  </si>
  <si>
    <t>Earth Future</t>
  </si>
  <si>
    <t>10.1002/2017EF000607</t>
  </si>
  <si>
    <t>Environmental Sciences; Geosciences, Multidisciplinary; Meteorology &amp; Atmospheric Sciences</t>
  </si>
  <si>
    <t>Environmental Sciences &amp; Ecology; Geology; Meteorology &amp; Atmospheric Sciences</t>
  </si>
  <si>
    <t>FM6AA</t>
  </si>
  <si>
    <t>WOS:000415124900006</t>
  </si>
  <si>
    <t>Ortiz, M; Hermosillo-Nuñez, B; González, J; Rodríguez-Zaragoza, F; Gómez, I; Jordán, F</t>
  </si>
  <si>
    <t>Ortiz, Marco; Hermosillo-Nunez, Brenda; Gonzalez, Jorge; Rodriguez-Zaragoza, Fabian; Gomez, Ivan; Jordan, Ferenc</t>
  </si>
  <si>
    <t>Quantifying keystone species complexes: Ecosystem-based conservation management in the King George Island (Antarctic Peninsula)</t>
  </si>
  <si>
    <t>ECOLOGICAL INDICATORS</t>
  </si>
  <si>
    <t>Keystone species; Multispecies modelling; Benthic/pelagic ecosystems; Systems-based conservation; Monitoring; Fildes Bay</t>
  </si>
  <si>
    <t>COMPARATIVE NETWORK STRUCTURE; CHILE SE PACIFIC; TROPHIC MODELS; TONGOY BAY; FOOD WEBS; DYNAMIC SIMULATIONS; BENTHIC COMMUNITIES; FLOW MODEL; ROSS SEA; ECOPATH</t>
  </si>
  <si>
    <t>A keystone species complex (KSC) is a small set of interacting species that play an outstandingly important role in community organization. Two KSC indices are suggested and have been calculated in the coastal benthic/pelagic ecosystem of Fildes Bay, King George Island (Antarctica). These indices of keystoneness emerge after considering: (1) functional indices based on steady-state and dynamic quantitative trophic models (using bottom-up, mixed and top-down control flow mechanisms); (2) structural indices including bottom-up and top-down control mechanisms, (3) semi-quantitative (qualitative) keystone indices using loop analysis (under mixed control); and (4) topological key player indices based on the centrality of node sets in the network. The models constructed and analyzed describe the interactions of the most abundant species and functional groups inhabiting the coastal ecological systems of Fildes Bay. Although our results only represent the transient dynamics of these ecological systems, the KSC indices identified the following trophically connected common core of components: the functional groups of Seastars (top-predators), the herbivorous sea urchin species Sterechinus neumayeri and the Phytoplankton (primary producers). The KSC indices for Fildes Bay could facilitate the design and assessment of conservation monitoring, especially when the Antarctic ecosystems are being severely stressed by the direct effects of global warming and UV radiation. A more holistic view of conservation remains difficult because the traditional view is based principally on single species. This imposes an even greater challenge, for global changes accompany the network of interacting species, co-varying with the variables of the natural system.</t>
  </si>
  <si>
    <t>[Ortiz, Marco; Hermosillo-Nunez, Brenda; Gonzalez, Jorge] Univ Antofagasta, Fac Recursos Mar, Inst Ciencias Nat AvH, Inst Antofagasta, Antofagasta, Chile; [Hermosillo-Nunez, Brenda; Gonzalez, Jorge] Univ Antofagasta, Programa Doctorado Ciencias Aplicadas Menc Sistem, Antofagasta, Chile; [Rodriguez-Zaragoza, Fabian] Univ Guadalajara, CUCBA, Dept Ecol, LEMA, Carretera Guadalajara Nogales Km 15-5, Zapopan 45110, Jalisco, Mexico; [Gomez, Ivan] Univ Austral Chile, Inst Ciencias Marinas &amp; Limnol, Casilla 567, Valdivia, Chile; [Gomez, Ivan] Ctr FONDAP Invest Ecosistemas Marinos Altos Latit, Santiago, Chile; [Jordan, Ferenc] Danube Res Inst, MTA Ctr Ecol Res, Karolina Ut 29, H-1113 Budapest, Hungary; [Jordan, Ferenc] Stn Zool Anton Dohrn, Naples, Italy</t>
  </si>
  <si>
    <t>Universidad de Antofagasta; Universidad de Antofagasta; Universidad de Guadalajara; Universidad Austral de Chile; Hungarian Research Network; Hungarian Academy of Sciences; HUN-REN Centre for Ecological Research; Stazione Zoologica Anton Dohrn di Napoli</t>
  </si>
  <si>
    <t>Ortiz, M (corresponding author), Univ Antofagasta, Fac Recursos Mar, Inst Ciencias Nat AvH, Inst Antofagasta, Antofagasta, Chile.</t>
  </si>
  <si>
    <t>marco.ortiz@uantof.cl</t>
  </si>
  <si>
    <t>Zaragoza, Fabian Alejandro Rodriguez/B-3477-2015; Jordan, Ferenc/A-9940-2009</t>
  </si>
  <si>
    <t>Zaragoza, Fabian Alejandro Rodriguez/0000-0002-0066-4275; Jordan, Ferenc/0000-0002-0224-6472; Hermosillo-Nunez, Brenda B./0000-0003-3308-0257; Gomez, Ivan/0000-0001-8381-3792</t>
  </si>
  <si>
    <t>grant Proyecto Anillo (CONICYT-PIA) [ART1101]; National Research, Development and Innovation Office - NKFIH [OTKA K 116071]</t>
  </si>
  <si>
    <t>grant Proyecto Anillo (CONICYT-PIA); National Research, Development and Innovation Office - NKFIH</t>
  </si>
  <si>
    <t>This research was financed by the grant Proyecto Anillo ART1101 (CONICYT-PIA) (Dir. Dr. Ivan Gomez). We thank the Institute Antartico Chileno(INACH) for logistic support. The work of FJ was supported by the National Research, Development and Innovation Office - NKFIH, grant OTKA K 116071.</t>
  </si>
  <si>
    <t>1470-160X</t>
  </si>
  <si>
    <t>1872-7034</t>
  </si>
  <si>
    <t>ECOL INDIC</t>
  </si>
  <si>
    <t>Ecol. Indic.</t>
  </si>
  <si>
    <t>10.1016/j.ecolind.2017.06.016</t>
  </si>
  <si>
    <t>Biodiversity Conservation; Environmental Sciences</t>
  </si>
  <si>
    <t>FO9RN</t>
  </si>
  <si>
    <t>WOS:000417229100044</t>
  </si>
  <si>
    <t>Strugnell, JM; Allcock, AL; Watts, PC</t>
  </si>
  <si>
    <t>Strugnell, Jan M.; Allcock, A. Louise; Watts, Phillip C.</t>
  </si>
  <si>
    <t>Closely related octopus species show different spatial genetic structures in response to the Antarctic seascape</t>
  </si>
  <si>
    <t>ECOLOGY AND EVOLUTION</t>
  </si>
  <si>
    <t>Antarctica; octopus; microsatellite; isolation by depth; Southern Ocean</t>
  </si>
  <si>
    <t>ADELIELEDONE-POLYMORPHA ROBSON; PARELEDONE-CHARCOTI JOUBIN; SOUTHERN-OCEAN; POPULATION-STRUCTURE; LARVAL DISPERSAL; MITOCHONDRIAL LINEAGES; MICROSATELLITE LOCI; 1905 CEPHALOPODA; TURQUETI JOUBIN; DIVERSITY</t>
  </si>
  <si>
    <t>Determining whether comparable processes drive genetic divergence among marine species is relevant to molecular ecologists and managers alike. Sympatric species with similar life histories might be expected to show comparable patterns of genetic differentiation and a consistent influence of environmental factors in shaping divergence. We used microsatellite loci to quantify genetic differentiation across the Scotia Arc in three species of closely related benthic octopods, Pareledone turqueti, P. charcoti, and Adelieledone polymorpha. The relative importance of environmental factors (latitude, longitude, depth, and temperature) in shaping genetic structure was investigated when significant spatial genetic structure was uncovered. Isolated populations of P. turqueti and A. polymorpha at these species' range margins were genetically different to samples close to mainland Antarctica; however, these species showed different genetic structures at a regional scale. Samples of P. turqueti from the Antarctic Peninsula, Elephant Island, and Signy Island were genetically different, and this divergence was associated primarily with sample collection depth. By contrast, weak or nonsignificant spatial genetic structure was evident across the Antarctic Peninsula, Elephant Island, and Signy Island region for A. polymorpha, and slight associations between population divergence and temperature or depth (and/or longitude) were detected. Pareledone charcoti has a limited geographic range, but exhibited no genetic differentiation between samples from a small region of the Scotia Arc (Elephant Island and the Antarctic Peninsula). Thus, closely related species with similar life history strategies can display contrasting patterns of genetic differentiation depending on spatial scale; moreover, depth may drive genetic divergence in Southern Ocean benthos.</t>
  </si>
  <si>
    <t>[Strugnell, Jan M.] James Cook Univ, Ctr Sustainable Trop Fisheries &amp; Aquaculture, Marine Biol &amp; Aquaculture, Townsville, Qld, Australia; [Strugnell, Jan M.] La Trobe Univ, Sch Life Sci, Dept Ecol Environm &amp; Evolut, Melbourne, Vic, Australia; [Allcock, A. Louise] Natl Univ Ireland Galway, Ryan Inst, Galway, Ireland; [Allcock, A. Louise] Natl Univ Ireland Galway, Sch Nat Sci, Galway, Ireland; [Watts, Phillip C.] Univ Oulu, Dept Ecol &amp; Genet, Oulu, Finland</t>
  </si>
  <si>
    <t>James Cook University; Melbourne Genomics Health Alliance; La Trobe University; Ollscoil na Gaillimhe-University of Galway; Ollscoil na Gaillimhe-University of Galway; University of Oulu</t>
  </si>
  <si>
    <t>Strugnell, JM (corresponding author), James Cook Univ, Marine Biol &amp; Aquaculture, Townsville, Qld, Australia.</t>
  </si>
  <si>
    <t>jan.strugnell@jcu.edu.au</t>
  </si>
  <si>
    <t>Strugnell, Jan M/P-9921-2016; Allcock, Louise/A-7359-2012; Watts, Phill/G-7257-2011</t>
  </si>
  <si>
    <t>Allcock, Louise/0000-0002-4806-0040; Strugnell, Jan/0000-0003-2994-637X</t>
  </si>
  <si>
    <t>NERC/AFI [NE/C506321/1]; Lloyd's Tercentenary Fellowship; CoSyst; Antarctic Science Bursary; Systematics Association; Edith Mary Pratt Musgrave Fund; Australia and Pacific Science Foundation; Thomas Davies Research Fund; Finnish Academy [305532]; Academy of Finland (AKA) [305532] Funding Source: Academy of Finland (AKA)</t>
  </si>
  <si>
    <t>NERC/AFI(UK Research &amp; Innovation (UKRI)Natural Environment Research Council (NERC)); Lloyd's Tercentenary Fellowship; CoSyst; Antarctic Science Bursary; Systematics Association; Edith Mary Pratt Musgrave Fund; Australia and Pacific Science Foundation; Thomas Davies Research Fund; Finnish Academy(Research Council of Finland); Academy of Finland (AKA)(Research Council of Finland)</t>
  </si>
  <si>
    <t>NERC/AFI, Grant/Award Number: NE/C506321/1; Lloyd's Tercentenary Fellowship; CoSyst; Antarctic Science Bursary; Systematics Association; Edith Mary Pratt Musgrave Fund; Australia and Pacific Science Foundation; Thomas Davies Research Fund; Finnish Academy, Grant/Award Number: 305532</t>
  </si>
  <si>
    <t>2045-7758</t>
  </si>
  <si>
    <t>ECOL EVOL</t>
  </si>
  <si>
    <t>Ecol. Evol.</t>
  </si>
  <si>
    <t>10.1002/ece3.3327</t>
  </si>
  <si>
    <t>Ecology; Evolutionary Biology</t>
  </si>
  <si>
    <t>Environmental Sciences &amp; Ecology; Evolutionary Biology</t>
  </si>
  <si>
    <t>FJ2AS</t>
  </si>
  <si>
    <t>gold, Green Accepted, Green Published</t>
  </si>
  <si>
    <t>WOS:000412523700044</t>
  </si>
  <si>
    <t>Knox, MA; Andriuzzi, WS; Buelow, HN; Takacs-Vesbach, C; Adams, BJ; Wall, DH</t>
  </si>
  <si>
    <t>Knox, Matthew A.; Andriuzzi, Walter S.; Buelow, Heather N.; Takacs-Vesbach, Cristina; Adams, Byron J.; Wall, Diana H.</t>
  </si>
  <si>
    <t>Decoupled responses of soil bacteria and their invertebrate consumer to warming, but not freeze-thaw cycles, in the Antarctic Dry Valleys</t>
  </si>
  <si>
    <t>ECOLOGY LETTERS</t>
  </si>
  <si>
    <t>Body size distribution; climate change; McMurdo Dry Valleys; Nematode; Scottnema lindsayae; soil fauna; soil microbe; traits</t>
  </si>
  <si>
    <t>NEMATODE SCOTTNEMA-LINDSAYAE; COLD TOLERANCE; BODY-SIZE; TERRESTRIAL NEMATODES; MICROBIAL COMMUNITIES; SURVIVAL; BIODIVERSITY; IMPACT; ANHYDROBIOSIS; DIVERSITY</t>
  </si>
  <si>
    <t>Altered temperature profiles resulting in increased warming and freeze-thaw cycle (FTC) frequency pose great ecological challenges to organisms in alpine and polar ecosystems. We performed a laboratory microcosm experiment to investigate how temperature variability affects soil bacterial cell numbers, and abundance and traits of soil microfauna (the microbivorous nematode Scottnema lindsayae) from McMurdo Dry Valleys, Antarctica. FTCs and constant freezing shifted nematode body size distribution towards large individuals, driven by higher mortality among smaller individuals. FTCs reduced both bacterial and nematode abundance, but bacterial cell numbers also declined under warming, demonstrating decoupled consumer-prey responses. We predict that higher occurrence of FTCs in cold ecosystems will select for large body size within soil microinvertebrates and overall reduce their abundance. In contrast, warm temperatures without FTCs could lead to divergent responses in soil bacteria and their microinvertebrate consumers, potentially affecting energy and nutrient transfer rates in soil food webs of cold ecosystems.</t>
  </si>
  <si>
    <t>[Knox, Matthew A.; Andriuzzi, Walter S.; Wall, Diana H.] Colorado State Univ, Dept Biol, Ft Collins, CO 80523 USA; [Knox, Matthew A.] Massey Univ, Hopkirk Res Inst, IVABS, Private Bag 11-222, Palmerston North 4474, New Zealand; [Buelow, Heather N.; Takacs-Vesbach, Cristina] Univ New Mexico, Dept Biol, Albuquerque, NM 87131 USA; [Adams, Byron J.] Brigham Young Univ, Evolutionary Ecol Labs, Dept Biol, Provo, UT 84602 USA; [Adams, Byron J.] Brigham Young Univ, Monte L Bean Museum, Provo, UT 84602 USA; [Wall, Diana H.] Colorado State Univ, Sch Global Environm Sustainabil, Ft Collins, CO 80523 USA</t>
  </si>
  <si>
    <t>Colorado State University; Massey University; University of New Mexico; Brigham Young University; Brigham Young University; Colorado State University</t>
  </si>
  <si>
    <t>Knox, MA (corresponding author), Colorado State Univ, Dept Biol, Ft Collins, CO 80523 USA.;Knox, MA (corresponding author), Massey Univ, Hopkirk Res Inst, IVABS, Private Bag 11-222, Palmerston North 4474, New Zealand.</t>
  </si>
  <si>
    <t>m.knox@massey.ac.nz</t>
  </si>
  <si>
    <t>Knox, Matt/ABB-6073-2020; Andriuzzi, Walter/B-6579-2014; Wall, Diana H/F-5491-2011; Adams, Byron/C-3808-2009</t>
  </si>
  <si>
    <t>Andriuzzi, Walter/0000-0002-1271-265X; Adams, Byron/0000-0002-7815-3352; Buelow, Heather/0000-0003-3535-4151</t>
  </si>
  <si>
    <t>McMurdo LTER NSF OPP [1115245]; Office of Polar Programs (OPP); Directorate For Geosciences [1115245] Funding Source: National Science Foundation</t>
  </si>
  <si>
    <t>McMurdo LTER NSF OPP; Office of Polar Programs (OPP); Directorate For Geosciences(National Science Foundation (NSF)NSF - Directorate for Geosciences (GEO))</t>
  </si>
  <si>
    <t>This research was funded by McMurdo LTER NSF OPP Grant 1115245 to DHW, BJA and CTV. The laboratory and fieldwork for this project was carried out with the indispensable help of Emily Czajkowski, Nisha Gill, Diana Granados, Ruth Heindel, Abigail Jackson, Eric Sokol, Andrew Thompson and Adam Wlostowski. We gratefully acknowledge the assistance of the Crary Laboratory staff, Raytheon Polar Services and PHI Helicopters Inc. for supporting the logistical aspects of this project. This manuscript benefited greatly from the helpful comments of Chris McKay and three other anonymous reviewers.</t>
  </si>
  <si>
    <t>1461-023X</t>
  </si>
  <si>
    <t>1461-0248</t>
  </si>
  <si>
    <t>ECOL LETT</t>
  </si>
  <si>
    <t>Ecol. Lett.</t>
  </si>
  <si>
    <t>10.1111/ele.12819</t>
  </si>
  <si>
    <t>FH3HI</t>
  </si>
  <si>
    <t>WOS:000411035600003</t>
  </si>
  <si>
    <t>González-Alonso, S; Merino, LM; Esteban, S; de Alda, ML; Barceló, D; Durán, JJ; López-Martínez, J; Aceña, J; Pérez, S; Mastroianni, N; Silva, A; Catalá, M; Valcárcel, Y</t>
  </si>
  <si>
    <t>Gonzalez-Alonso, Silvia; Merino, Luis Moreno; Esteban, Sara; Lopez de Alda, Miren; Barcelo, Damia; Jose Duran, Juan; Lopez-Martinez, Jeronimo; Acena, Jaume; Perez, Sandra; Mastroianni, Nicola; Silva, Adrian; Catala, Myriam; Valcarcel, Yolanda</t>
  </si>
  <si>
    <t>Occurrence of pharmaceutical, recreational and psychotropic drug residues in surface water on the northern Antarctic Peninsula region</t>
  </si>
  <si>
    <t>ENVIRONMENTAL POLLUTION</t>
  </si>
  <si>
    <t>Antarctica; Pharmaceuticals; Recreational drugs; Caffeine; Risk assessment</t>
  </si>
  <si>
    <t>TROUT ONCORHYNCHUS-MYKISS; PERSONAL CARE PRODUCTS; ENVIRONMENTAL RISK-ASSESSMENT; TANDEM MASS-SPECTROMETRY; WASTE-WATER; ILLICIT DRUGS; FRESH-WATER; TREATMENT PLANTS; TAP WATER; ECOTOXICITY EVALUATION</t>
  </si>
  <si>
    <t>Human presence in the Antarctic is increasing due to research activities and the rise in tourism. These activities contribute a number of potentially hazardous substances. The aim of this study is to conduct the first characterisation of the pharmaceuticals and recreational drugs present in the northern Antarctic Peninsula region, and to assess the potential environmental risk they pose to the environment. The study consisted of a single sampling of ten water samples from different sources, including streams, ponds, glacier drains, and a wastewater discharge into the sea. Twenty-five selected pharmaceuticals and 21 recreational drugs were analysed. The highest concentrations were found for the analgesics acetaminophen (48.74 mu g L-1), diclofenac (15.09 mu g L-1) and ibuprofen (10.05 mu g L-1), and for the stimulant caffeine (71.33 mu g L-1). All these substances were detected in waters that were discharged directly into the ocean without any prior purification processes. The hazard quotient (HQ) values for ibuprofen, diclofenac and acetaminophen were far in excess of 10 at several sampling points. The concentrations of each substance measured and used as measured environmental concentration values for the HQ calculations are based on a one-time sampling. The Toxic Unit values indicate that analgesics and anti-inflammatories are the therapeutic group responsible for the highest toxic burden. This study is the first to analyse a wide range of substances and to determine the presence of pharmaceuticals and psychotropic drugs in the Antarctic Peninsula region. We believe it can serve as a starting point to focus attention on the need for continued environmental monitoring of these substances in the water cycle, especially in protected regions such as the Antarctic. This will determine whether pharmaceuticals and recreational drugs are hazardous to the environment and, if so, can be used as the basis for risk-assessment studies to prioritise the exposure to risk. (C) 2017 Elsevier Ltd. All rights reserved.</t>
  </si>
  <si>
    <t>[Gonzalez-Alonso, Silvia; Esteban, Sara; Valcarcel, Yolanda] Rey Juan Carlos Univ, Res Grp &amp; Teaching Environm Toxicol &amp; Risk Assess, Avda Atenas S-N, E-28922 Madrid, Spain; [Merino, Luis Moreno; Jose Duran, Juan] Geol Survery Spain, IGME, C Rios Rosas 23, Madrid 28003, Spain; [Lopez de Alda, Miren; Barcelo, Damia; Acena, Jaume; Perez, Sandra; Mastroianni, Nicola] Inst Environm Assessment &amp; Water Res IDAEA CSIC, Dept Environm Chem, Water &amp; Soil Qual Res Grp, C Jordi Girona 18-26, Barcelona 08034, Spain; [Barcelo, Damia] Univ Girona, Parc Cient &amp; Tecnol, Catalan Inst Water Res ICRA, Edifici H2O,Emili Grahit 101, Girona 17003, Spain; [Lopez-Martinez, Jeronimo] Univ Autonoma Madrid, Fac Sci, Dept Geol &amp; Geochem, E-28049 Madrid, Spain; [Silva, Adrian] Natl Inst Water, Empalme J Newbery Km 1,620, Ezeiza, Buenos Aires, Argentina; [Catala, Myriam] Rey Juan Carlos Univ, Dept Biol &amp; Geol Phys &amp; Inorgan Chem, Higher Sch Sci &amp; Technol ESCET, Tulipan S-N, E-28933 Madrid, Spain; [Valcarcel, Yolanda] Rey Juan Carlos Univ, Dept Med &amp; Surg Psychol Prevent Med &amp; Publ Hlth &amp;, Avda Atenas S-N, E-28922 Madrid, Spain</t>
  </si>
  <si>
    <t>Universidad Rey Juan Carlos; Consejo Superior de Investigaciones Cientificas (CSIC); CSIC - Centro de Investigacion y Desarrollo Pascual Vila (CID-CSIC); CSIC - Instituto de Diagnostico Ambiental y Estudios del Agua (IDAEA); Universitat de Girona; Institut Catala de Recerca de l'Aigua (ICRA); Autonomous University of Madrid; Universidad Rey Juan Carlos; Universidad Rey Juan Carlos</t>
  </si>
  <si>
    <t>González-Alonso, S; Valcárcel, Y (corresponding author), Rey Juan Carlos Univ, Res Grp &amp; Teaching Environm Toxicol &amp; Risk Assess, Avda Atenas S-N, E-28922 Madrid, Spain.</t>
  </si>
  <si>
    <t>silvia.alonso@urjc.es; yolanda.valcarcel@urjc.es</t>
  </si>
  <si>
    <t>Lopez-Martinez, Jeronimo/C-5744-2011; Pérez Franquet, Sandra/JLK-9038-2023; Solsona, Sandra/AAL-7967-2021; Esteban, Sara/AAC-1778-2021; López-de-Alda, Miren/E-3357-2014; BARCELO, DAMIA/O-4558-2016; Catala, Myriam/A-3830-2009</t>
  </si>
  <si>
    <t>Lopez-Martinez, Jeronimo/0000-0002-1750-8287; Esteban, Sara/0000-0002-2065-578X; López-de-Alda, Miren/0000-0002-9347-2765; BARCELO, DAMIA/0000-0002-8873-0491; Perez, Sandra/0000-0002-3179-3969; VALCARCEL, YOLANDA/0000-0001-5041-2204; Catala, Myriam/0000-0002-5114-6988; Moreno Merino, Luis/0000-0002-9984-6035</t>
  </si>
  <si>
    <t>Spanish National R+D Plan [CTM2014-57119-R]; Generalitat de Catalunya (Consolidated Research Groups Water and Soil Quality Unit) [2014 SGR 418]; European Union [603437]; Antarctic programme of Argentina; Antarctic programme of Spain</t>
  </si>
  <si>
    <t>Spanish National R+D Plan(Spanish Government); Generalitat de Catalunya (Consolidated Research Groups Water and Soil Quality Unit)(Generalitat de Catalunya); European Union(European Union (EU)); Antarctic programme of Argentina; Antarctic programme of Spain</t>
  </si>
  <si>
    <t>This research received funding from the project CTM2014-57119-R of the Spanish National R+D Plan; from the Generalitat de Catalunya (Consolidated Research Groups 2014 SGR 418-Water and Soil Quality Unit and 2014 SGR 291-ICRA), and from the European Union's Seventh Framework Programme for research, technological development and demonstration under grant agreement no. 603437. It reflects only the author's views and the Community is not liable for any use that may be made of the information contained therein. The fieldwork received support from the Antarctic programmes of Argentina and Spain.</t>
  </si>
  <si>
    <t>0269-7491</t>
  </si>
  <si>
    <t>1873-6424</t>
  </si>
  <si>
    <t>ENVIRON POLLUT</t>
  </si>
  <si>
    <t>Environ. Pollut.</t>
  </si>
  <si>
    <t>10.1016/j.envpol.2017.05.060</t>
  </si>
  <si>
    <t>FG3AW</t>
  </si>
  <si>
    <t>WOS:000410010200025</t>
  </si>
  <si>
    <t>Ramm, TD; Graham, S; White, CJ; Watson, CS</t>
  </si>
  <si>
    <t>Ramm, Timothy David; Graham, Sonia; White, Christopher John; Watson, Christopher Stephen</t>
  </si>
  <si>
    <t>Advancing values-based approaches to climate change adaptation: A case study from Australia</t>
  </si>
  <si>
    <t>ENVIRONMENTAL SCIENCE &amp; POLICY</t>
  </si>
  <si>
    <t>Coastal inundation; Local communities; Place values; Policy; Public participation GIS; Vulnerability</t>
  </si>
  <si>
    <t>SOCIAL VALUES; TYPOLOGY; RISK</t>
  </si>
  <si>
    <t>Coastal flooding affects physical and social place attachments. Values-based approaches to climate change adaptation examine how risks to place attachments are distributed within and among communities, with a view to informing equitable adaptation policies. In this nascent body of research, divergent theoretical frameworks and empirical approaches to measuring social values are evolving. While some studies explore the things people value about their everyday lives generally-the lived values approach, others locate specific social and cultural values in geographic space-the landscape values mapping approach. This study aims to compare the explanatory value of these two approaches for understanding the social risks of sea-level rise, and appraise whether either or both approaches are likely to meet local adaptation planning needs. It does this by examining the potential social impacts of sea-level rise in Kingston Beach, Australia, informed by a mail-out survey of the community. The lived values approach identified that the natural environment, scenery, relaxed lifestyle and safety are highly important to local residents, while the landscape values mapping approach revealed that Kingston Main Beach is the most highly valued of eight coastal landscape units. Incorporating the landscape values mapping into the lived values cluster analysis revealed that while Kingston Main Beach is highly important for its recreational value to some members of the community, for others manmade features such as community halls or sports ovals may be of higher importance because they facilitate social interactions. There is potential to further integrate these two approaches to better inform adaptation policy about how lived and landscape values are distributed among communities, where they are located in space and whether they change over time. A deeper understanding of such assigned values can lead to improved engagement with coastal residents to inform adaptation policy now and into the future.</t>
  </si>
  <si>
    <t>[Ramm, Timothy David; White, Christopher John] Univ Tasmania, Sch Engn &amp; ICT, Private Bag 65, Hobart, Tas 7001, Australia; [Ramm, Timothy David] Bushfire &amp; Nat Hazards Cooperat Res Ctr, Melbourne, Vic, Australia; [Graham, Sonia] Univ New South Wales, Sch Social Sci, Sydney, NSW, Australia; [White, Christopher John] Antarctic Climate &amp; Ecosyst Cooperat Res Ctr, Hobart, Tas, Australia; [White, Christopher John] Univ Exeter, European Ctr Environm &amp; Human Hlth, Truro, England; [Watson, Christopher Stephen] Univ Tasmania, Sch Land &amp; Food, Hobart, Tas, Australia</t>
  </si>
  <si>
    <t>University of Tasmania; Bushfire &amp; Natural Hazards CRC; Melbourne Genomics Health Alliance; University of New South Wales Sydney; Antarctic Climate &amp; Ecosystems Cooperative Research Centre (ACE CRC); University of Exeter; University of Tasmania</t>
  </si>
  <si>
    <t>Ramm, TD (corresponding author), Univ Tasmania, Sch Engn &amp; ICT, Private Bag 65, Hobart, Tas 7001, Australia.</t>
  </si>
  <si>
    <t>timothy.ramm@utas.edu.au</t>
  </si>
  <si>
    <t>Graham, Sonia/G-4399-2012; Watson, Christopher S/D-4707-2013</t>
  </si>
  <si>
    <t>Graham, Sonia/0000-0003-4195-4559; Ramm, Timothy/0000-0003-2496-7075; Watson, Christopher/0000-0002-7464-4592</t>
  </si>
  <si>
    <t>Commonwealth of Australia through the Bushfire and Natural Hazards Cooperative Research Centre program; Australian Government Research Training Program Scholarship</t>
  </si>
  <si>
    <t>Commonwealth of Australia through the Bushfire and Natural Hazards Cooperative Research Centre program(Australian GovernmentDepartment of Industry, Innovation and ScienceCooperative Research Centres (CRC) Programme); Australian Government Research Training Program Scholarship(Australian GovernmentDepartment of Industry, Innovation and Science)</t>
  </si>
  <si>
    <t>The authors are grateful for the financial support of the Commonwealth of Australia through the Bushfire and Natural Hazards Cooperative Research Centre program and the Australian Government Research Training Program Scholarship. The authors also thank individuals that participated in this research through survey and interviews.</t>
  </si>
  <si>
    <t>1462-9011</t>
  </si>
  <si>
    <t>1873-6416</t>
  </si>
  <si>
    <t>ENVIRON SCI POLICY</t>
  </si>
  <si>
    <t>Environ. Sci. Policy</t>
  </si>
  <si>
    <t>10.1016/j.envsci.2017.06.014</t>
  </si>
  <si>
    <t>FE1MC</t>
  </si>
  <si>
    <t>WOS:000407981300013</t>
  </si>
  <si>
    <t>Zhang, Y; He, SD; Simpson, BK</t>
  </si>
  <si>
    <t>Zhang, Yi; He, Shudong; Simpson, Benjamin K.</t>
  </si>
  <si>
    <t>A cold active transglutaminase from Antarctic krill (Euphausia superba): Purification, characterization and application in the modification of cold-set gelatin gel</t>
  </si>
  <si>
    <t>Transglutaminase; Cold-active enzyme; Antarctic krill; Gelatin; Characteristics</t>
  </si>
  <si>
    <t>MICROBIAL TRANSGLUTAMINASE; SHRIMP; PROTEIN; ENZYME; ICE</t>
  </si>
  <si>
    <t>Transglutaminase (TGase), EC 2.3.2.13, was purified from whole Antarctic krill (Euphausia superba) using ammonium sulfate fractionation and DEAE-Sephacel chromatography. The purified enzyme had specific activity, purification fold and yield of 53.518 U/mg, 10.272 and 10.992%, respectively. The molecular weight of the purified Antarctic krill TGase was estimated to be 78 kDa using sodium dodecyl sulphate-polyacrylamide gel electrophoresis (SDS-PAGE). The optimal pH and temperature for the activity of the purified TGase were pH 8.0-9.0 and 0-10 degrees C, respectively. However, the TGase activity reduced to 50% at a higher temperature of 45 degrees C. The cations Ca++ and Na+ activated the purified TGase activity optimally at levels of incorporation of 10 mM and 1.8 mM, respectively. Addition of TGase at 0.1 U/mg increased the gel strength (p &lt; 0.05), setting temperature, setting time (p &lt; 0.05) and melting temperature (p &lt; 0.05) of cold-set gelatin gel. (C) 2017 Elsevier Ltd. All rights reserved.</t>
  </si>
  <si>
    <t>[Zhang, Yi; Simpson, Benjamin K.] McGill Univ, Dept Food Sci &amp; Agr Chem, Macdonald Campus, Ste Anne De Bellevue, PQ H9X 3V9, Canada; [He, Shudong] Dalian Polytech Univ, Sch Food Sci &amp; Technol, Natl Engn Res Ctr Seafood, Dalian 116034, Peoples R China</t>
  </si>
  <si>
    <t>McGill University; Dalian Polytechnic University</t>
  </si>
  <si>
    <t>Simpson, BK (corresponding author), McGill Univ, Dept Food Sci &amp; Agr Chem, Macdonald Campus, Ste Anne De Bellevue, PQ H9X 3V9, Canada.</t>
  </si>
  <si>
    <t>yi.zhang10@mail.mcgill.ca; hsd527@163.com; benjamin.simpson@mcgill.ca</t>
  </si>
  <si>
    <t>He, Shudong/ABF-4582-2021; He, Shudong/H-4396-2014</t>
  </si>
  <si>
    <t>He, Shudong/0000-0002-1155-4928; Zhang, Yi/0000-0003-1780-0963</t>
  </si>
  <si>
    <t>Natural Sciences &amp; Engineering Research Council of Canada</t>
  </si>
  <si>
    <t>Natural Sciences &amp; Engineering Research Council of Canada(Natural Sciences and Engineering Research Council of Canada (NSERC))</t>
  </si>
  <si>
    <t>This research was supported with funds awarded by the Natural Sciences &amp; Engineering Research Council of Canada.</t>
  </si>
  <si>
    <t>10.1016/j.foodchem.2017.03.135</t>
  </si>
  <si>
    <t>EU5TX</t>
  </si>
  <si>
    <t>WOS:000401097700018</t>
  </si>
  <si>
    <t>Toullec, JY; Corre, E; Mandon, P; Gonzalez-Aravena, M; Ollivaux, C; Lee, CY</t>
  </si>
  <si>
    <t>Toullec, Jean-Yves; Corre, Erwan; Mandon, Perrine; Gonzalez-Aravena, Marcelo; Ollivaux, Celine; Lee, Chi-Ying</t>
  </si>
  <si>
    <t>Characterization of the neuropeptidome of a Southern Ocean decapod, the Antarctic shrimp Chorismus antarcticus: Focusing on a new decapod ITP-like peptide belonging to the CHH peptide family</t>
  </si>
  <si>
    <t>GENERAL AND COMPARATIVE ENDOCRINOLOGY</t>
  </si>
  <si>
    <t>Crustacea; Neuropeptides; CHH ITP-like; Transcriptomics; Antarctica</t>
  </si>
  <si>
    <t>NERVOUS-SYSTEM; ALLATOSTATINS; HORMONES; TRANSCRIPTOMICS; NEUROPARSIN; PHYLOGENIES; GENERATION; PREDICTION; MODEL; POWER</t>
  </si>
  <si>
    <t>As part of the study of the resilience of Antarctic crustaceans to global warming, the shrimp Chorismus antarcticus was subjected to an analysis of global approach using the Next Generation Sequencing Illumina Hi-Seq platform. With this data a detailed study into the principal neuropeptides and neurohormones of this species have been undertaken. Total RNAs from whole animals were enriched with eyestalk extracts to ensure maximum sequencing depth of the different neurohormones and neuropeptides mainly expressed into the X organ-sinus gland complex, which is a major endocrine organ of their synthesis. Apart from the information that can provide the availability of the transcriptome of a polar crustacean, the study of neuropeptides of a caridean shrimp will partially fill the limited data available for this taxon. Illumina sequencing was used to produce a transcriptome of the polar shrimp. Analysis of the Trinity assembled contigs produced 55 pre-pro-peptides, coding for 111 neuropeptides belonging to the following families: adipokinetic-corazonin-like peptide, Allatostatins (A, B et C), Bursicon (alpha), CCHamide, Crustacean Hyperglycemic Hormones (CHH), Crustacean Cardioactive Peptide (CCAP), Corazonin, Crustacean Female Sex Hormone (CSFH), Diuretic Hormones 31 and 45 (DH), Eclosion Hormone (EH), FLRFamide, GSEFLamide, Intocin, Ion Transport Peptide-like (ITP-like), Leucokinin, Molt-inhibiting Hormone, Myosuppresin, Neuroparsin, Neuropeptide F (NPF), Orcokinin, Orcomyotropin, Pigment Dispersing Hormone (PDH), Pyrokinin, Red Pigment Concentrating Hormone (RPCH), SlFamide, small Neuropeptide F (sNPF), Sulfakinin and finally Tachykinin Related peptides. Among the new peptides highlighted in this study, the focus was placed on the peptides of the CHH family and more particularly on a new ITP-like in order to confirm its belonging to a new group of peptides of the family. A phylogeny made from more than 200 sequences of peptides, included new sequences from new species besides Chorismus antarcticus, confirms the peculiarity of this new set of peptides gathered under the name ITP-like. (C) 2017 Elsevier Inc. All rights reserved.</t>
  </si>
  <si>
    <t>[Toullec, Jean-Yves; Mandon, Perrine] UPMC Univ Paris 06, Sorbonne Univ, UMR CNRS 7144, Stn Biol Roscoff,Equipe ABICE, F-29682 Roscoff, France; [Corre, Erwan] UPMC Univ Paris 06, Sorbonne Univ, FR CNRS 2424, ABiMS,Stn Biol Roscoff, F-29682 Roscoff, France; [Mandon, Perrine] UPMC Paris 06, Inst Systemat Evolut Biodiversite, Sorbonne Univ, ISYEB,UMR 7205,CNRS,MNHN,EPHE, 57 Rue Cuvier,CP26, F-75005 Paris, France; [Gonzalez-Aravena, Marcelo] Inst Antartico Chileno, Lab Biorecursos Antarticos, Dept Cient, Punta Arenas, Chile; [Ollivaux, Celine] UPMC Univ Paris 06, Sorbonne Univ, UMR CNRS 8227, Equipe PCE,Stn Biol Roscoff, F-29682 Roscoff, France; [Lee, Chi-Ying] Natl Changhua Univ Educ, Dept Biol, Changhua 50058, Taiwan</t>
  </si>
  <si>
    <t>Sorbonne Universite; Centre National de la Recherche Scientifique (CNRS); CNRS - Institute of Ecology &amp; Environment (INEE); Sorbonne Universite; Centre National de la Recherche Scientifique (CNRS); CNRS - Institute of Ecology &amp; Environment (INEE); Sorbonne Universite; Museum National d'Histoire Naturelle (MNHN); Universite PSL; Ecole Pratique des Hautes Etudes (EPHE); Sorbonne Universite; National Changhua University of Education</t>
  </si>
  <si>
    <t>Toullec, JY (corresponding author), UPMC Univ Paris 06, Sorbonne Univ, UMR CNRS 7144, Stn Biol Roscoff,Equipe ABICE, F-29682 Roscoff, France.</t>
  </si>
  <si>
    <t>jean-yves.toullec@sb-roscoff.fr</t>
  </si>
  <si>
    <t>González, Marcelo/ABF-1450-2020; corre, erwan/O-4669-2019</t>
  </si>
  <si>
    <t>corre, erwan/0000-0001-6354-2278; Gonzalez, Marcelo/0000-0001-9986-9504</t>
  </si>
  <si>
    <t>Institut Paul Emile Victor (KREVET program); la Region Bretagne (SAD1 - DRAKAR program); Ministry of Science and Technology, Taiwan [MOST 104-2311-B-018-002]</t>
  </si>
  <si>
    <t>Institut Paul Emile Victor (KREVET program); la Region Bretagne (SAD1 - DRAKAR program)(Region Bretagne); Ministry of Science and Technology, Taiwan(Ministry of Science and Technology, Taiwan)</t>
  </si>
  <si>
    <t>JYT would like to thank all the IPEV staff at the base Dumont d'Urville and especially A. Pottier for his help for fishing during different Antarctic campaigns in Terre Adelie. The authors are grateful to Philippe Bouchet, Laure Corbari and Sarah Samadi, expedition leaders of KAVIENG 2014, SALOMON2, MADEEP of the MNHN program Tropical Deep Sea Benthos, Marie-Anne Cambon-Bonavita, cruise leader of BICOSE 2014 and Stephane Hourdez, for the biological material they provided from which transcriptomes were produced. JYT benefited from funding provided by Institut Paul Emile Victor (KREVET program) and also by la Region Bretagne (SAD1 - DRAKAR program). CYL is sponsored by Ministry of Science and Technology, Taiwan (Grant number MOST 104-2311-B-018-002).</t>
  </si>
  <si>
    <t>ACADEMIC PRESS INC ELSEVIER SCIENCE</t>
  </si>
  <si>
    <t>SAN DIEGO</t>
  </si>
  <si>
    <t>525 B ST, STE 1900, SAN DIEGO, CA 92101-4495 USA</t>
  </si>
  <si>
    <t>0016-6480</t>
  </si>
  <si>
    <t>1095-6840</t>
  </si>
  <si>
    <t>GEN COMP ENDOCR</t>
  </si>
  <si>
    <t>Gen. Comp. Endocrinol.</t>
  </si>
  <si>
    <t>10.1016/j.ygcen.2017.07.015</t>
  </si>
  <si>
    <t>Endocrinology &amp; Metabolism; Zoology</t>
  </si>
  <si>
    <t>FG0GD</t>
  </si>
  <si>
    <t>WOS:000409396400007</t>
  </si>
  <si>
    <t>Nahar, A; Baker, AL; Charleston, MA; Bowman, JP; Britz, ML</t>
  </si>
  <si>
    <t>Nahar, Akhikun; Baker, Anthony L.; Charleston, Michael A.; Bowman, John P.; Britz, Margaret L.</t>
  </si>
  <si>
    <t>Draft Genome Sequences of Two Novel Sub-Antarctic Williamsia Species</t>
  </si>
  <si>
    <t>GENOME ANNOUNCEMENTS</t>
  </si>
  <si>
    <t>Illumina MiSeq shotgun sequencing technology was used to sequence the genomes of two novel sub-Antarctic Williamsia species, designated strains 1135 and 1138. The estimated genome sizes for strains 1135 and 1138 are 5.99 Mb and 6.08 Mb, respectively. This genome sequence information will aid in understanding the lipid metabolic pathways of cold-tolerant Williamsia species.</t>
  </si>
  <si>
    <t>[Nahar, Akhikun; Baker, Anthony L.; Bowman, John P.; Britz, Margaret L.] Univ Tasmania, Tasmanian Inst Agr, Hobart, Tas, Australia; [Charleston, Michael A.] Univ Tasmania, Sch Phys Sci, Hobart, Tas, Australia; [Britz, Margaret L.] Univ Melbourne, Fac Vet &amp; Agr Sci, Melbourne, Vic, Australia</t>
  </si>
  <si>
    <t>University of Tasmania; University of Tasmania; University of Melbourne; Melbourne Genomics Health Alliance</t>
  </si>
  <si>
    <t>Nahar, A (corresponding author), Univ Tasmania, Tasmanian Inst Agr, Hobart, Tas, Australia.</t>
  </si>
  <si>
    <t>akhikun.nahar@utas.edu.au</t>
  </si>
  <si>
    <t>Britz, Margaret L/J-7632-2014; Bowman, John P/C-2414-2014; Bowman, John P./ABF-5108-2020; Charleston, Michael/O-4903-2017; Baker, Anthony/C-2433-2014</t>
  </si>
  <si>
    <t>Bowman, John P/0000-0002-4528-9333; Bowman, John P./0000-0002-4528-9333; Charleston, Michael/0000-0001-8385-341X; Baker, Anthony/0000-0001-5455-2271</t>
  </si>
  <si>
    <t>UTAS Faculty of Science, Engineering and Technology Dean's support funds; Tasmanian Institute of Agriculture; Endeavour Australia Ph.D. scholarship</t>
  </si>
  <si>
    <t>This work was supported through the UTAS Faculty of Science, Engineering and Technology Dean's support funds and the Tasmanian Institute of Agriculture. Akhikun Nahar was supported by an Endeavour Australia Ph.D. scholarship.</t>
  </si>
  <si>
    <t>AMER SOC MICROBIOLOGY</t>
  </si>
  <si>
    <t>1752 N ST NW, WASHINGTON, DC 20036-2904 USA</t>
  </si>
  <si>
    <t>2169-8287</t>
  </si>
  <si>
    <t>Genom. Ann.</t>
  </si>
  <si>
    <t>e01047-17</t>
  </si>
  <si>
    <t>10.1128/genomeA.01047-17</t>
  </si>
  <si>
    <t>Emerging Sources Citation Index (ESCI)</t>
  </si>
  <si>
    <t>VI1FU</t>
  </si>
  <si>
    <t>WOS:000460737800013</t>
  </si>
  <si>
    <t>Sastre, DE; Santos, LP; Kagohara, E; Andrade, LH</t>
  </si>
  <si>
    <t>Sastre, Diego E.; Santos, Leidaiany P.; Kagohara, Edna; Andrade, Leandro H.</t>
  </si>
  <si>
    <t>Draft Whole-Genome Sequence of Psychrotrophic Arthrobacter sp. Strain 7749, Isolated from Antarctic Marine Sediments with Applications in Enantioselective Alcohol Oxidation</t>
  </si>
  <si>
    <t>Here, we report the 4.12-Mb draft genome sequence of Arthrobacter sp. strain 7749, isolated from marine sediment samples of the Antarctic Peninsula, using enriched medium with (RS)-1-(4-phenyl)-ethanol as a carbon source. This genome sequence will provide relevant information for applications in enantioselective alcohol oxidation to improve industrial catalytic processes.</t>
  </si>
  <si>
    <t>[Sastre, Diego E.] Univ Sao Paulo, Inst Chem, Biochem Dept, Sao Paulo, Brazil; [Santos, Leidaiany P.; Kagohara, Edna; Andrade, Leandro H.] Univ Sao Paulo, Inst Chem, Chem Dept, Sao Paulo, Brazil; [Sastre, Diego E.] Univ Sao Paulo, Inst Phys, Dept Phys &amp; Interdisciplinary, Sao Carlos, SP, Brazil</t>
  </si>
  <si>
    <t>Universidade de Sao Paulo; Universidade de Sao Paulo; Universidade de Sao Paulo</t>
  </si>
  <si>
    <t>Sastre, DE (corresponding author), Univ Sao Paulo, Inst Chem, Biochem Dept, Sao Paulo, Brazil.;Andrade, LH (corresponding author), Univ Sao Paulo, Inst Chem, Chem Dept, Sao Paulo, Brazil.</t>
  </si>
  <si>
    <t>sastre@iq.usp.br; leandroh@iq.usp.br</t>
  </si>
  <si>
    <t>Andrade, Leandro Helgueira/C-1406-2009</t>
  </si>
  <si>
    <t>Andrade, Leandro Helgueira/0000-0001-5975-4980</t>
  </si>
  <si>
    <t>CNPq (National Council for Scientific and Technological Development) [141914/2015-7]; FAPESP (Sao Paulo Research Foundation) [2017/02854-8, 2014/22457-2]; FAPESP [2014/13411-1]</t>
  </si>
  <si>
    <t>CNPq (National Council for Scientific and Technological Development)(Conselho Nacional de Desenvolvimento Cientifico e Tecnologico (CNPQ)); FAPESP (Sao Paulo Research Foundation)(Fundacao de Amparo a Pesquisa do Estado de Sao Paulo (FAPESP)); FAPESP(Fundacao de Amparo a Pesquisa do Estado de Sao Paulo (FAPESP))</t>
  </si>
  <si>
    <t>This research was supported by CNPq (National Council for Scientific and Technological Development, grant 141914/2015-7) and FAPESP (Sao Paulo Research Foundation, grants 2017/02854-8 and 2014/22457-2). A postdoctoral fellowship from FAPESP (2014/13411-1) was given to D.E.S.</t>
  </si>
  <si>
    <t>e01197-17</t>
  </si>
  <si>
    <t>10.1128/genomeA.01197-17</t>
  </si>
  <si>
    <t>VI1FW</t>
  </si>
  <si>
    <t>WOS:000460739300025</t>
  </si>
  <si>
    <t>Bouchet, PJ; Meeuwig, JJ; Huang, Z; Letessier, TB; Nichol, SL; Caley, MJ; Watson, RA</t>
  </si>
  <si>
    <t>Bouchet, Phil J.; Meeuwig, Jessica J.; Huang, Zhi; Letessier, Tom B.; Nichol, Scott L.; Caley, M. Julian; Watson, Reg A.</t>
  </si>
  <si>
    <t>Continental-scale hotspots of pelagic fish abundance inferred from commercial catch records</t>
  </si>
  <si>
    <t>GLOBAL ECOLOGY AND BIOGEOGRAPHY</t>
  </si>
  <si>
    <t>catch rate standardization; fisheries data; geomorphometrics; hotspot; marine reserves; pelagic fishes; random forest; spatial modelling; submarine canyons; topography</t>
  </si>
  <si>
    <t>MARINE PROTECTED AREAS; ABIOTIC SURROGATES; SUBMARINE CANYONS; SPATIAL-DISTRIBUTION; RELATIVE ROLES; DYNAMIC OCEAN; CONSERVATION; BIODIVERSITY; FISHERIES; HABITAT</t>
  </si>
  <si>
    <t>AimProtected areas have become pivotal to the modern conservation planning toolbox, but a limited understanding of marine macroecology is hampering their efficient design and implementation in pelagic environments. We explored the respective contributions of environmental factors and human impacts in capturing the distribution of an assemblage of commercially valuable, large-bodied, open-water predators (tunas, marlins and mackerels). LocationWestern Australia. Time period1997-2006. Major taxa studiedPelagic fishes. MethodsWe compiled 10 years of commercial fishing records from the Sea Around Us Project and derived relative abundance indices from standardized catch rates while accounting for confounding effects of effort, year and gear type. We used these indices to map pelagic hotspots over a 0.5 degrees-resolution grid and built random forests to estimate the importance of 33 geophysical, oceanographic and anthropogenic predictors in explaining their locations. We additionally examined the spatial congruence between these hotspots and an extensive network of marine reserves and determined whether patterns of co-occurrence deviated from random expectations using null model simulations. ResultsFirst, we identified several pelagic hotspots off the coast of Western Australia. Second, geomorphometrics explained up to 50% of the variance in relative abundance of pelagic fishes, and submarine canyon presence ranked as the most influential variable in the North bioregion. Seafloor complexity, geodiversity, salinity, temperature variability, primary production, ocean energy, current regimes and human impacts were also identified as important predictors. Third, spatial overlap between hotspots and marine reserves was limited, with most high-abundance areas primarily found in zones where anthropogenic activities are subject to few regulations. Main conclusionsThis study reveals geomorphometrics as valuable indicators of the distribution of mobile fish species and highlights the relevance of harnessing static topography as a key element in any blueprint for ocean zoning and spatial management.</t>
  </si>
  <si>
    <t>[Bouchet, Phil J.; Meeuwig, Jessica J.; Letessier, Tom B.] Univ Western Australia, Sch Biol Sci, Ctr Marine Futures, Crawley, WA 6009, Australia; [Bouchet, Phil J.; Meeuwig, Jessica J.; Letessier, Tom B.] Univ Western Australia, Sch Biol Sci, UWA Oceans Inst, Crawley, WA 6009, Australia; [Huang, Zhi; Nichol, Scott L.] Geosci Australia, Canberra, ACT 2601, Australia; [Letessier, Tom B.] Zool Soc London, Inst Zool, London NW1 4RY, England; [Caley, M. Julian] Queensland Univ Technol, Sch Math Sci, Brisbane, Qld 4000, Australia; [Caley, M. Julian] Australian Res Council, Ctr Excellence Math &amp; Stat Frontiers, Parkville, Vic, Australia; [Watson, Reg A.] Univ Tasmania, Inst Marine &amp; Antarctic Studies, Taroona, Tas 7001, Australia; [Watson, Reg A.] Ctr Marine Socioecol, Hobart, Tas 7001, Australia</t>
  </si>
  <si>
    <t>University of Western Australia; University of Western Australia; Geoscience Australia; Zoological Society of London; Queensland University of Technology (QUT); University of Tasmania</t>
  </si>
  <si>
    <t>Bouchet, PJ (corresponding author), Univ Western Australia, Ctr Marine Futures M092, 35 Stirling Highway, Crawley, WA 6009, Australia.</t>
  </si>
  <si>
    <t>phil.bouchet@uwa.edu.au</t>
  </si>
  <si>
    <t>Huang, Zhi/I-7367-2019; Letessier, Tom Bech/AAV-2759-2020; Bouchet, Phil J/I-4360-2019; Watson, Reg A/F-4850-2012</t>
  </si>
  <si>
    <t>Huang, Zhi/0000-0003-1760-062X; Letessier, Tom Bech/0000-0003-4011-0207; Bouchet, Phil J/0000-0002-2144-2049; Watson, Reg A/0000-0001-7201-8865; Meeuwig, Jessica/0000-0003-1169-8785</t>
  </si>
  <si>
    <t>Australian Government's Department of Sustainability, Environment, Water, Population and Communities; Australian Research Council [DP140101377]; University of Western Australia</t>
  </si>
  <si>
    <t>Australian Government's Department of Sustainability, Environment, Water, Population and Communities; Australian Research Council(Australian Research Council); University of Western Australia</t>
  </si>
  <si>
    <t>Australian Government's Department of Sustainability, Environment, Water, Population and Communities; University of Western Australia; Australian Research Council, Grant/Award Number: DP140101377</t>
  </si>
  <si>
    <t>1466-822X</t>
  </si>
  <si>
    <t>1466-8238</t>
  </si>
  <si>
    <t>GLOBAL ECOL BIOGEOGR</t>
  </si>
  <si>
    <t>Glob. Ecol. Biogeogr.</t>
  </si>
  <si>
    <t>10.1111/geb.12619</t>
  </si>
  <si>
    <t>FH3IX</t>
  </si>
  <si>
    <t>WOS:000411041600003</t>
  </si>
  <si>
    <t>DasSarma, P; Laye, VJ; Harvey, J; Reid, C; Shultz, J; Yarborough, A; Lamb, A; Koske-Phillips, A; Herbst, A; Molina, F; Grah, O; Phillips, T; DasSarma, S</t>
  </si>
  <si>
    <t>DasSarma, P.; Laye, V. J.; Harvey, J.; Reid, C.; Shultz, J.; Yarborough, A.; Lamb, A.; Koske-Phillips, A.; Herbst, A.; Molina, F.; Grah, O.; Phillips, T.; DasSarma, S.</t>
  </si>
  <si>
    <t>Survival of halophilic Archaea in Earth's cold stratosphere</t>
  </si>
  <si>
    <t>INTERNATIONAL JOURNAL OF ASTROBIOLOGY</t>
  </si>
  <si>
    <t>cold temperature; extremophiles; Halobacterium sp NRC-1; Halorubrum lacusprofundi; helium balloon; Mars analogue; stratosphere</t>
  </si>
  <si>
    <t>SIMULATED MARTIAN CONDITIONS; SPACE; SPORES; SALTS; MARS; EXPOSURE; MODELS; SITE</t>
  </si>
  <si>
    <t>Halophilic Archaea are known to tolerate multiple extreme conditions on Earth and have been proposed as models for astrobiology. In order to assess the importance of cold-adaptation of these microorganisms in surviving stratospheric conditions, we launched live, liquid cultures of two species, the mesophilic model Halobacterium sp. NRC-1 and the cold-adapted Antarctic isolate Halorubrum lacusprofundi ATCC 49239, on helium balloons. After return to Earth, the cold-adapted species showed nearly complete survival while the mesophilic species exhibited slightly reduced viability. Parallel studies found that the cold-adapted species was also better able to survive freezing and thawing in the laboratory. Genome-wide transcriptomic analysis was used to compare the two haloarchaea at optimum growth temperatures versus low temperatures supporting growth. The cold-adapted species displayed perturbation of a majority of genes upon cold temperature exposure, divided evenly between up-regulated and down-regulated genes, while the mesophile exhibited perturbation of only a fifth of its genes, with nearly two-thirds being down-regulated. These results underscore the importance of genetic responses of H. lacusprofundi to cold temperature for enhanced survival in the stratosphere.</t>
  </si>
  <si>
    <t>[DasSarma, P.; Laye, V. J.; DasSarma, S.] Univ Maryland, Dept Microbiol &amp; Immunol, Inst Marine &amp; Environm Technol, Sch Med, Baltimore, MD 21202 USA; [Harvey, J.; Reid, C.; Shultz, J.; Yarborough, A.; Lamb, A.; Koske-Phillips, A.; Herbst, A.; Molina, F.; Grah, O.; Phillips, T.] Earth Sky Calculus, Bishop, CA USA; [Harvey, J.; Reid, C.; Shultz, J.; Yarborough, A.; Lamb, A.; Koske-Phillips, A.; Herbst, A.; Molina, F.; Grah, O.; Phillips, T.] Spaceweather Com, Bishop, CA USA</t>
  </si>
  <si>
    <t>University System of Maryland; University of Maryland Baltimore; University of Maryland Center for Environmental Science; Institute of Marine &amp; Environmental Technology</t>
  </si>
  <si>
    <t>DasSarma, P (corresponding author), Univ Maryland, Dept Microbiol &amp; Immunol, Inst Marine &amp; Environm Technol, Sch Med, Baltimore, MD 21202 USA.</t>
  </si>
  <si>
    <t>pdassarma@som.umaryland.edu</t>
  </si>
  <si>
    <t>National Aeronautics and Space Administration [NNX15AM07]</t>
  </si>
  <si>
    <t>National Aeronautics and Space Administration(National Aeronautics &amp; Space Administration (NASA))</t>
  </si>
  <si>
    <t>Our work was supported by National Aeronautics and Space Administration grant NNX15AM07 G to S.D. We thank Sam Johnson, Justin Gilpin, Michael White, Bronwyn Stephenson and Jordan Herbst for assistance with balloon flights.</t>
  </si>
  <si>
    <t>1473-5504</t>
  </si>
  <si>
    <t>1475-3006</t>
  </si>
  <si>
    <t>INT J ASTROBIOL</t>
  </si>
  <si>
    <t>Int. J. Astrobiol.</t>
  </si>
  <si>
    <t>10.1017/S1473550416000410</t>
  </si>
  <si>
    <t>FG2YS</t>
  </si>
  <si>
    <t>WOS:000410001700003</t>
  </si>
  <si>
    <t>Sedlácek, I; Pantucek, R; Králová, S; Maslanová, I; Holochová, P; Stanková, E; Sobotka, R; Barták, M; Busse, HJ; Svec, P</t>
  </si>
  <si>
    <t>Sedlacek, Ivo; Pantucek, Roman; Kralova, Stanislava; Maslanova, Ivana; Holochova, Pava; Stankova, Eva; Sobotka, Roman; Bartak, Milos; Busse, Hans-Jurgen; Svec, Pavel</t>
  </si>
  <si>
    <t>Mucilaginibacter terrae sp nov., isolated from Antarctic soil</t>
  </si>
  <si>
    <t>Mucilaginibacter terrae sp nov.; James ross island; Antarctica; soil; taxonomy</t>
  </si>
  <si>
    <t>EMENDED DESCRIPTION; LIPID-COMPOSITION; FAMILY; MEMBERS</t>
  </si>
  <si>
    <t>A bacterial strain designated CCM 8645(T) was isolated from a soil sample collected nearby a mummified seal carcass in the northern part of James Ross Island, Antarctica. The cells were short rods, Gram-stain-negative, non-motile, catalase and oxidase positive, and produced a red-pink pigment on R2A agar. A polyphasic taxonomic approach based on 16S rRNA gene sequencing, extensive biotyping using conventional tests and commercial identification kits and chemotaxonomic analyses were applied to clarify its taxonomic position. Phylogenetic analysis based on the 16S rRNA gene placed strain CCM 8645(T) in the genus Mucilaginibacter with the closest relative being Mucilaginibacter daejeonensis Jip 10(T), exhibiting 96.5% 16S rRNA pairwise similarity which was clearly below the 97% threshold value recommended for species demarcation. The major components in fatty acid profiles were Summed feature 3 (C-16 : 1 omega 7c/ C-16 : 1 omega 6c), C-15 : 0 iso and C-17 : 0 iso 3OH. The cellular quinone content was exclusively menaquinone MK-7. The major polyamine was sym-homospermidine and predominant polar lipids were phosphatidylethanolamine and phosphatidylserine. Based on presented results, we propose a novel species for which the name Mucilaginibacter terrae sp. nov. is suggested, with the type strain CCM 8645(T) (=LMG 29437(T)).</t>
  </si>
  <si>
    <t>[Sedlacek, Ivo; Kralova, Stanislava; Holochova, Pava; Stankova, Eva; Svec, Pavel] Masaryk Univ, Fac Sci, Dept Expt Biol, Czech Collect Microorganisms, Kamenice 5, Brno 62500, Czech Republic; [Pantucek, Roman; Maslanova, Ivana] Masaryk Univ, Fac Sci, Dept Expt Biol, Sect Genet &amp; Mol Biol, Kotlarska 2, Brno 61137, Czech Republic; [Sobotka, Roman] Acad Sci, Inst Microbiol, Ctr Algatech, Novohradska 237, Trebon 37981, Czech Republic; [Bartak, Milos] Masaryk Univ, Fac Sci, Dept Expt Biol, Sect Plant Physiol, Kamenice 5, Brno 62500, Czech Republic; [Busse, Hans-Jurgen] Vet Med Univ Wien, Inst Mikrobiol, Vet Pl 1, A-1210 Vienna, Austria</t>
  </si>
  <si>
    <t>Masaryk University Brno; Masaryk University Brno; Czech Academy of Sciences; Institute of Microbiology of the Czech Academy of Sciences; Masaryk University Brno; University of Veterinary Medicine Vienna</t>
  </si>
  <si>
    <t>Svec, P (corresponding author), Masaryk Univ, Fac Sci, Dept Expt Biol, Czech Collect Microorganisms, Kamenice 5, Brno 62500, Czech Republic.</t>
  </si>
  <si>
    <t>mpavel@sci.muni.cz</t>
  </si>
  <si>
    <t>Svec, Pavel/B-1209-2008; Maslanova, Ivana/A-3081-2014; Pantůček, Roman/P-6758-2014; Sedlacek, Ivo/IWU-8828-2023; Kralova, Stanislava/AAW-4815-2021; Barták, Miloš/F-4714-2019; Sobotka, Roman/J-3077-2014</t>
  </si>
  <si>
    <t>Svec, Pavel/0000-0002-1051-5177; Maslanova, Ivana/0000-0002-2597-2848; Pantůček, Roman/0000-0002-3950-675X; Kralova, Stanislava/0000-0003-3384-5328; Sobotka, Roman/0000-0001-5909-3879</t>
  </si>
  <si>
    <t>Ministry of Education, Youth and Sports of the Czech Republic [LM2015078, LO1416]</t>
  </si>
  <si>
    <t>Ministry of Education, Youth and Sports of the Czech Republic(Ministry of Education, Youth &amp; Sports - Czech Republic)</t>
  </si>
  <si>
    <t>Ministry of Education, Youth and Sports of the Czech Republic projects LM2015078 and LO1416.</t>
  </si>
  <si>
    <t>14-16 MEREDITH ST, LONDON, ENGLAND</t>
  </si>
  <si>
    <t>10.1099/ijsem.0.002240</t>
  </si>
  <si>
    <t>WOS:000413484800049</t>
  </si>
  <si>
    <t>Huang, Y; Wei, ZY; Danzeng, W; Kim, MC; Zhu, GX; Zhang, YM; Liu, ZB; Peng, F</t>
  </si>
  <si>
    <t>Huang, Yao; Wei, Ziyan; Danzeng, Wangmu; Kim, Myong Chol; Zhu, Guoxin; Zhang, Yumin; Liu, Zuobing; Peng, Fang</t>
  </si>
  <si>
    <t>Sphingomonas antarctica sp nov., isolated from Antarctic tundra soil</t>
  </si>
  <si>
    <t>GEN. NOV.; PROPOSAL; RECLASSIFICATION; MEMBERS; GENERA</t>
  </si>
  <si>
    <t>Strain 200(T), isolated from a soil sample taken from Antarctic tundra soil around Zhongshan Station, was found to be a Gram-stain-negative, yellow-pigmented, catalase-positive, oxidase-negative, non-motile, non-spore-forming, rod-shaped and aerobic bacterium. Strain 200(T) grew optimally at pH 7.0 and in the absence of NaCl on R2A. Its optimum growth temperature was 20 degrees C. Phylogenetic analysis based on 16S rRNA gene sequences indicated that strain 200(T) belonged to the genus Sphingomonas. Strain 200(T) showed the highest sequence similarities to Sphingomonas kyeonggiense THG-DT81(T) (95.1 %) and Sphingomonas molluscorum KMM 3882(T) (95.1 %). Chemotaxonomic analysis showed that strain 200(T) had characteristics typical of members of the genus Sphingomonas. Ubiquinone 10 was the predominant respiratory quinone and symhomospermidine was the polyamine. The major polar lipids were sphingoglycolipid, phosphatidylethanolamine, phosphatidylglycerol, diphosphatidylglycerol and phosphatidylcholine. The G+C content of the genomic DNA was determined to be 60.9 mol%. Strain 200(T) contained C-16 : 0 (31.6 %), summed feature 8 (comprising C-18 : 1 omega 7c and/ or C-18 : 1 omega 6c, 22.7 %), summed feature 3 (comprising C-16 : 1 omega 7c and/ or C-16 : 1 omega 6c, 11.2 %), C-18 : 0 (7.8 %) and C-14 : 0 2OH (6.7 %) as the major cellular fatty acids. On the basis of phylogenetic analysis, and physiological and biochemical characterization, strain 200(T) should be classified as representing a novel species of the genus Sphingomonas, for which the name Sphingomonas antarctica sp. nov. is proposed. The type strain is 200(T) (= CCTCC AB 2016064(T) = KCTC 52488(T)).</t>
  </si>
  <si>
    <t>[Huang, Yao; Wei, Ziyan; Danzeng, Wangmu; Kim, Myong Chol; Zhu, Guoxin; Zhang, Yumin; Liu, Zuobing; Peng, Fang] Wuhan Univ, Coll Life Sci, CCTCC, Wuhan 430072, Hubei, Peoples R China; [Kim, Myong Chol] Kim II Sung Univ, Coll Life Sci, Pyongyang, North Korea; [Peng, Fang] Hubei Prov Cooperat Innovat Ctr Ind Fermentat, Wuhan 430072, Hubei, Peoples R China</t>
  </si>
  <si>
    <t>Peng, F (corresponding author), Wuhan Univ, Coll Life Sci, CCTCC, Wuhan 430072, Hubei, Peoples R China.;Peng, F (corresponding author), Hubei Prov Cooperat Innovat Ctr Ind Fermentat, Wuhan 430072, Hubei, Peoples R China.</t>
  </si>
  <si>
    <t>fangpeng2@aliyun.com</t>
  </si>
  <si>
    <t>Zhang, Han/JMR-0670-2023</t>
  </si>
  <si>
    <t>R&amp;D Infrastructure and Facility Development Program from the Ministry of Science and Technology of the People's Republic of China [NIMR-2017-8]; National Natural Science Foundation of China [31270538]; Chinese Polar Scientific Strategy Research Fund [IC201706]; Key Project of the Chinese Ministry of Education [113042A]</t>
  </si>
  <si>
    <t>R&amp;D Infrastructure and Facility Development Program from the Ministry of Science and Technology of the People's Republic of China; National Natural Science Foundation of China(National Natural Science Foundation of China (NSFC)); Chinese Polar Scientific Strategy Research Fund; Key Project of the Chinese Ministry of Education(Ministry of Education, China)</t>
  </si>
  <si>
    <t>The R&amp;D Infrastructure and Facility Development Program from the Ministry of Science and Technology of the People's Republic of China (No. NIMR-2017-8), the National Natural Science Foundation of China (No. 31270538), the Chinese Polar Scientific Strategy Research Fund IC201706 and the Key Project of the Chinese Ministry of Education (113042A).</t>
  </si>
  <si>
    <t>10.1099/ijsem.0.002253</t>
  </si>
  <si>
    <t>WOS:000413484800059</t>
  </si>
  <si>
    <t>Horswill, C; O'Brien, SH; Robinson, RA</t>
  </si>
  <si>
    <t>Horswill, Cat; O'Brien, Susan H.; Robinson, Robert A.</t>
  </si>
  <si>
    <t>Density dependence and marine bird populations: are wind farm assessments precautionary?</t>
  </si>
  <si>
    <t>JOURNAL OF APPLIED ECOLOGY</t>
  </si>
  <si>
    <t>demography; density dependence; environmental impact assessment; population dynamics; population management; population regulation; sea duck; seabird; vital rates; wind farms</t>
  </si>
  <si>
    <t>HERRING GULL LARUS; KITTIWAKE RISSA-TRIDACTYLA; BREEDING DISPERSAL; COLONY SIZE; SURVIVAL; RECRUITMENT; TERNS; VULNERABILITY; ARGENTATUS; PREDATION</t>
  </si>
  <si>
    <t>1. Although density-dependent regulation of population growth is thought to be relatively widespread in nature, density-independent models are often used to project the population response to drivers of change. Such models are often considered to provide a maximum estimate of mortality and therefore offer a precautionary approach to impact assessment. However, this perception assumes that density dependence operates as compensatory (negative density dependence), and overlooks that other forms of density dependence, such as depensation (positive density dependence), would generate a contrasting population response. 2. Currently, there is debate about including density-dependent mechanisms in models that assess the impact of offshore wind farms on marine bird populations. Density dependence is considered poorly understood for this group of species. Consequently, it is either excluded from assessments, or incorporated in a compensatory form that has little empirical validation. 3. We reviewed the evidence for compensatory and depensatory regulation of 31 marine bird species, and conducted a meta-analysis to examine the functional shape of density-dependent population growth. The evidence was also evaluated in relation to established species-specific indices of wind farm vulnerability in order to assess whether compensatory mechanisms are likely to offset losses associated with collision or displacement. 4. Compensatory regulation was reported across all of the demographic processes and focal groups considered, and was attributed to a variety of causal mechanisms. The strength of compensatory population growth appeared consistent between colonies; however, the regulation of productivity was highly context-dependent with a similar number of studies reporting compensatory, depensatory and insignificant effects. Depensation was consistently attributed to increased rates of predation at lower population densities. 5. Synthesis and applications. We conclude that among marine bird species with high vulnerability to wind farms, compensatory regulation is unlikely to offset large and sustained losses from the breeding population. In addition, depensation has the potential to accelerate population declines and generate local or regional extinctions, especially in smaller colonial species. Consequently, density-independent models will not offer a consistently precautionary approach for assessing the potential impact of wind farms on marine bird populations. Instead, assessments should examine the potential population response using a range of density-dependent structures.</t>
  </si>
  <si>
    <t>[Horswill, Cat; Robinson, Robert A.] British Trust Ornithol, Thetford IP24 2PU, Norfolk, England; [O'Brien, Susan H.] Joint Nat Conservat Comm, Inverdee House,Baxter St, Aberdeen AB11 9QA, Scotland</t>
  </si>
  <si>
    <t>British Trust for Ornithology</t>
  </si>
  <si>
    <t>Horswill, C (corresponding author), British Trust Ornithol, Thetford IP24 2PU, Norfolk, England.</t>
  </si>
  <si>
    <t>catrsw@gmail.com</t>
  </si>
  <si>
    <t>Robinson, Robert/B-8237-2009</t>
  </si>
  <si>
    <t>Robinson, Robert/0000-0003-0504-9906; Horswill, Cat/0000-0002-1795-0753</t>
  </si>
  <si>
    <t>Joint Nature Conservation Committee, Peterborough</t>
  </si>
  <si>
    <t>We thank Glen Tyler (Scottish National Heritage), Melanie Kershaw (Natural England), Aonghais Cook (British Trust for Ornithology) and Richard B. Sherley (University of Exeter) for providing useful comments on an earlier version of this work. Thanks are also extended to Jason Matthiopoulos (University of Glasgow) for discussions regarding the analysis and Richard A. Phillips (British Antarctic Survey) for early discussions about manuscript development. Preliminary data collection was funded by the Joint Nature Conservation Committee, Peterborough.</t>
  </si>
  <si>
    <t>0021-8901</t>
  </si>
  <si>
    <t>1365-2664</t>
  </si>
  <si>
    <t>J APPL ECOL</t>
  </si>
  <si>
    <t>J. Appl. Ecol.</t>
  </si>
  <si>
    <t>10.1111/1365-2664.12841</t>
  </si>
  <si>
    <t>FG8KB</t>
  </si>
  <si>
    <t>WOS:000410678700013</t>
  </si>
  <si>
    <t>Ji, W; Zhang, CH; Ji, HW</t>
  </si>
  <si>
    <t>Ji, Wei; Zhang, Chaohua; Ji, Hongwu</t>
  </si>
  <si>
    <t>Purification, identification and molecular mechanism of two dipeptidyl peptidase IV (DPP-IV) inhibitory peptides from Antarctic krill (Euphausia superba) protein hydrolysate</t>
  </si>
  <si>
    <t>JOURNAL OF CHROMATOGRAPHY B-ANALYTICAL TECHNOLOGIES IN THE BIOMEDICAL AND LIFE SCIENCES</t>
  </si>
  <si>
    <t>DPP-IV inhibitory peptides; Purification; Molecular docking; Antarctic krill; Diabetes mellitus</t>
  </si>
  <si>
    <t>GLYCEMIC CONTROL; SKIN GELATIN; AMINOPEPTIDASE; PRECURSORS; MANAGEMENT</t>
  </si>
  <si>
    <t>Dipeptidyl peptidase IV (DPP-IV) played an important role in blood glucose regulation. Inhibition of DPP-IV may improve glycemic control in diabetics by preventing the rapid breakdown of incretin hormones and prolonging their physiological action. In this study, Antarctic krill (Euphausia superba) protein was hydrolyzed using animal proteolytic enzymes. The hydrolysate was purified sequentially by ultrafiltration, gel filtration chromatography and reversed phase high-performance liquid chromatography (RP-HPLC). DPP-IV inhibitory activity of the fractions achieved. from Antarctic krill protein was determined by DPP-IV screening reagent kit. Two purified peptides were identified by Xevo G2-XS QTof mass spectrometer (QTOF-MS). One peptide purified was Ala-Pro (AP) with IC50 values of 0.0530 mg/mL, the other Ile-Pro-Ala (IPA) with IC50 values of 0.0370 mg/mL. They both exhibited strong DPP-IV inhibitory activity. The molecular docking analysis revealed that DPP-IV inhibition by AP and IPA was mainly due to formation of a strong interaction surface force with the 91-96 and 101-105 amino acids of the DPP-IV. Our results suggested that the protein hydrolysate from Antarctic krill can be considered as a promising natural source of DPP-IV inhibitory peptides in the management of diabetes.</t>
  </si>
  <si>
    <t>[Ji, Wei] Guangzhou Univ Educ, Coll Biol &amp; Food Engn, Guangzhou 510303, Guangdong, Peoples R China; [Zhang, Chaohua; Ji, Hongwu] Guangdong Ocean Univ, Coll Food Sci &amp; Technol, Zhanjiang 524088, Peoples R China; [Zhang, Chaohua; Ji, Hongwu] Guangdong Prov Key Lab Aquat Prod Proc &amp; Safety, Zhanjiang 524088, Peoples R China; [Zhang, Chaohua; Ji, Hongwu] Guangdong Higher Educ Inst, Key Lab Adv Proc Aquat Prod, Zhanjiang 524088, Peoples R China</t>
  </si>
  <si>
    <t>Guangdong Ocean University</t>
  </si>
  <si>
    <t>Ji, W (corresponding author), Guangzhou Univ Educ, Coll Biol &amp; Food Engn, Guangzhou 510303, Guangdong, Peoples R China.</t>
  </si>
  <si>
    <t>13536395190@163.com</t>
  </si>
  <si>
    <t>吉, 薇/GYA-0792-2022; zhang, chao/IXD-9965-2023; zhang, chao/HTO-2468-2023; Zhang, Chaoyang/JPK-5044-2023</t>
  </si>
  <si>
    <t>Modern Agro-industry Technology Research System of China [CARS-47]; Discipline Construction Project of Institutions of Higher Learning in Guangdong Province of China [2013CXZDA020]; Guangdong Ocean University Strong School Innovation Fund Project [GDOU2014050203, GDOU2013050314]; Industry-university-research Cooperation Project in Guangdong Province of China [20138090600155]</t>
  </si>
  <si>
    <t>Modern Agro-industry Technology Research System of China; Discipline Construction Project of Institutions of Higher Learning in Guangdong Province of China; Guangdong Ocean University Strong School Innovation Fund Project; Industry-university-research Cooperation Project in Guangdong Province of China</t>
  </si>
  <si>
    <t>This work was supported by the Modern Agro-industry Technology Research System of China (grant number CARS-47); Discipline Construction Project of Institutions of Higher Learning in Guangdong Province of China (grant number 2013CXZDA020); Guangdong Ocean University Strong School Innovation Fund Project (grant number GDOU2014050203;GDOU2013050314) and Industry-university-research Cooperation Project in Guangdong Province of China (grant number 20138090600155).</t>
  </si>
  <si>
    <t>1570-0232</t>
  </si>
  <si>
    <t>1873-376X</t>
  </si>
  <si>
    <t>J CHROMATOGR B</t>
  </si>
  <si>
    <t>J. Chromatogr. B</t>
  </si>
  <si>
    <t>10.1016/j.jchromb.2017.09.001</t>
  </si>
  <si>
    <t>Biochemical Research Methods; Chemistry, Analytical</t>
  </si>
  <si>
    <t>Biochemistry &amp; Molecular Biology; Chemistry</t>
  </si>
  <si>
    <t>FJ7SC</t>
  </si>
  <si>
    <t>WOS:000412958100009</t>
  </si>
  <si>
    <t>Clem, KR; Renwick, JA; McGregor, J</t>
  </si>
  <si>
    <t>Clem, Kyle R.; Renwick, James A.; McGregor, James</t>
  </si>
  <si>
    <t>Large-Scale Forcing of the Amundsen Sea Low and Its Influence on Sea Ice and West Antarctic Temperature</t>
  </si>
  <si>
    <t>SOUTHERN ANNULAR MODE; CLIMATE VARIABILITY; SURFACE; PENINSULA; HEMISPHERE; TRENDS; OSCILLATION; IMPACTS; TROPICS; ENSO</t>
  </si>
  <si>
    <t>Using empirical orthogonal function (EOF) analysis and atmospheric reanalyses, the principal patterns of seasonal West Antarctic surface air temperature (SAT) and their connection to sea ice and the Amundsen Sea low (ASL) are examined. During austral summer, the leading EOF (EOF1) explains 35% of West Antarctic SAT variability and consists of a widespread SAT anomaly over the continent linked to persistent sea ice concentration anomalies over the Ross and Amundsen Seas from the previous spring. Outside of summer, EOF1 (explaining similar to 40%-50% of the variability) consists of an east-west dipole over the continent with SAT anomalies over the Antarctic Peninsula opposite those over western West Antarctica. The dipole is tied to variability in the southern annular mode (SAM) and in-phase El Nino-Southern Oscillation (ENSO)/SAM combinations that influence the depth of the ASL over the central Amundsen Sea (near 105 degrees W). The second EOF (EOF2) during autumn, winter, and spring (explaining similar to 15%-20% of the variability) consists of a dipole shifted approximately 30 degrees west of EOF1 with a widespread SAT anomaly over the continent. During winter and spring, EOF2 is closely tied to variability in ENSO and a tropically forced wave train that influences the ASL in the western Amundsen/eastern Ross Seas (near 135 degrees W) with an opposite-sign circulation anomaly over the Weddell Sea; the ENSO-related circulation brings anomalous thermal advection deep onto the continent. The authors conclude that the ENSO-only circulation pattern is associated with SAT variability across interior West Antarctica, especially during winter and spring, whereas the SAM circulation pattern is associated with an SAT dipole over the continent.</t>
  </si>
  <si>
    <t>[Clem, Kyle R.; Renwick, James A.; McGregor, James] Victoria Univ Wellington, Sch Geog Environm &amp; Earth Sci, Wellington, New Zealand</t>
  </si>
  <si>
    <t>Victoria University Wellington</t>
  </si>
  <si>
    <t>Clem, KR (corresponding author), Victoria Univ Wellington, Sch Geog Environm &amp; Earth Sci, Wellington, New Zealand.</t>
  </si>
  <si>
    <t>kyle.clem@vuw.ac.nz</t>
  </si>
  <si>
    <t>Clem, Kyle/AAG-6626-2021</t>
  </si>
  <si>
    <t>Clem, Kyle/0000-0002-1419-2758</t>
  </si>
  <si>
    <t>Victoria Doctoral Scholarship by Victoria University of Wellington</t>
  </si>
  <si>
    <t>Three anonymous reviewers are thanked for their helpful comments on the first and second drafts of the manuscript. The European Centre for Medium-Range Weather Forecasts (ECMWF) is thanked for providing ERA-Interim data. The Met Office Hadley Centre is thanked for providing sea ice data. The NOAA/OAR/ESRL PSD, Boulder, Colorado, is thanked for providing SST data. KRC is supported by a Victoria Doctoral Scholarship provided by Victoria University of Wellington.</t>
  </si>
  <si>
    <t>10.1175/JCLI-D-16-0891.1</t>
  </si>
  <si>
    <t>WOS:000411438000021</t>
  </si>
  <si>
    <t>Vince, J; Haward, M</t>
  </si>
  <si>
    <t>Vince, Joanna; Haward, Marcus</t>
  </si>
  <si>
    <t>Hybrid governance of aquaculture: Opportunities and challenges</t>
  </si>
  <si>
    <t>JOURNAL OF ENVIRONMENTAL MANAGEMENT</t>
  </si>
  <si>
    <t>Hybrid governance; Third party accreditation; Social license to operate; Corporate social responsibility; Aquaculture</t>
  </si>
  <si>
    <t>WILLINGNESS-TO-PAY; SOCIAL LICENSE; SALMON AQUACULTURE; WELFARE; SUSTAINABILITY; CERTIFICATION; NETWORKS; TASMANIA; PRIVATE; POLICY</t>
  </si>
  <si>
    <t>The development of third party assessment and certification of fisheries and aquaculture has provided new forms of governance in sectors that were traditionally dominated by state based regulation. Emerging market based approaches are driven by shareholder expectations as well as commitment to corporate social responsibility, whereas community engagement is increasingly centered on the questions of social license to operate. Third party assessment and certification links state, market and community into an interesting and challenging hybrid form of governance. While civil society organizations have long been active in pursuing sustainable and safe seafood production, the development of formal non-state based certification provides both opportunities and challenges, and opens up interesting debates over hybrid forms of governance. This paper explores these developments in coastal marine resources management, focusing on aquaculture and the development and operation of the Aquaculture Stewardship Council. It examines the case of salmonid aquaculture in Tasmania, Australia, now Australia's most valuable seafood industry, which remains the focus of considerable community debate over its siting, operation and environmental impact. (C) 2017 Elsevier Ltd. All rights reserved.</t>
  </si>
  <si>
    <t>[Vince, Joanna] Univ Tasmania, Inst Study Social Change, Ctr Marine Socioecol, Polit &amp; Int Relat Program,Sch Social Sci, Locked Bag 1340, Newnham, Tas 7250, Australia; [Haward, Marcus] Univ Tasmania, Inst Study Social Change, Ctr Marine Socioecol, Ocean &amp; Cryosphere Ctr,Inst Marine &amp; Antarctic St, Private Bag 129, Hobart, Tas 7001, Australia</t>
  </si>
  <si>
    <t>Vince, J (corresponding author), Univ Tasmania, Inst Study Social Change, Ctr Marine Socioecol, Polit &amp; Int Relat Program,Sch Social Sci, Locked Bag 1340, Newnham, Tas 7250, Australia.</t>
  </si>
  <si>
    <t>Joanna.vince@utas.edu.au; Marcus.Haward@utas.edu.au</t>
  </si>
  <si>
    <t>Vince, Joanna/O-6901-2019; Vince, Joanna Zofia/J-7465-2014; Haward, Marcus/G-3369-2014</t>
  </si>
  <si>
    <t>Vince, Joanna/0000-0002-4469-7634; Vince, Joanna Zofia/0000-0002-4469-7634; Haward, Marcus/0000-0003-4775-0864</t>
  </si>
  <si>
    <t>0301-4797</t>
  </si>
  <si>
    <t>1095-8630</t>
  </si>
  <si>
    <t>J ENVIRON MANAGE</t>
  </si>
  <si>
    <t>J. Environ. Manage.</t>
  </si>
  <si>
    <t>10.1016/j.jenvman.2017.06.039</t>
  </si>
  <si>
    <t>FD6TY</t>
  </si>
  <si>
    <t>WOS:000407662000015</t>
  </si>
  <si>
    <t>Clark, TD; Roche, DG; Binning, SA; Ben Speers-Roesch; Sundin, J</t>
  </si>
  <si>
    <t>Clark, Timothy D.; Roche, Dominique G.; Binning, Sandra A.; Ben Speers-Roesch; Sundin, Josefin</t>
  </si>
  <si>
    <t>Maximum thermal limits of coral reef damselfishes are size dependent and resilient to near-future ocean acidification</t>
  </si>
  <si>
    <t>JOURNAL OF EXPERIMENTAL BIOLOGY</t>
  </si>
  <si>
    <t>Carbon dioxide; CO2; Critical thermal maximum; CTmax; Great Barrier Reef; Climate change; Climate warming; Thermal tolerance; Fish; Ontogeny</t>
  </si>
  <si>
    <t>CLIMATE-CHANGE; MARINE FISHES; ACANTHOCHROMIS-POLYACANTHUS; LARVAL DURATION; AEROBIC SCOPE; BODY-SIZE; TOLERANCE; TEMPERATURE; OXYGEN; DISPERSAL</t>
  </si>
  <si>
    <t>Theoretical models predict that ocean acidification, caused by increased dissolved CO2, will reduce the maximum thermal limits of fishes, thereby increasing their vulnerability to rising ocean temperatures and transient heatwaves. Here, we tested this prediction in three species of damselfishes on the Great Barrier Reef, Australia. Maximum thermal limits were quantified using critical thermal maxima (CTmax) tests following acclimation to either presentday or end-of-century levels of CO2 for coral reef environments (similar to 500 or similar to 1000 mu atm, respectively). While species differed significantly in their thermal limits, whereby Dischistodus perspicillatus exhibited greater CTmax (37.88 +/- 0.03 degrees C; N=47) than Dascyllus aruanus (37.68 +/- 0.02 degrees C; N=85) and Acanthochromis polyacanthus (36.58 +/- 0.02 degrees C; N=63), end-of-century CO2 had no effect (D. aruanus) or a slightly positive effect (increase in CTmax of 0.16 degrees C in D. perspicillatus and 0.21 degrees C in A. polyacanthus) on CTmax. Contrary to expectations, early-stage juveniles were equally as resilient to CO2 as larger conspecifics, and CTmax was higher at smaller body sizes in two species. These findings suggest that ocean acidification will not impair the maximum thermal limits of reef fishes, and they highlight the critical role of experimental biology in testing predictions of theoretical models forecasting the consequences of environmental change.</t>
  </si>
  <si>
    <t>[Clark, Timothy D.] Univ Tasmania, Inst Marine &amp; Antarctic Studies, Hobart, Tas 7000, Australia; [Clark, Timothy D.] CSIRO Agr &amp; Food, Hobart, Tas 7000, Australia; [Roche, Dominique G.; Binning, Sandra A.] Univ Neuchatel, Inst Biol, CH-2000 Neuchatel, Switzerland; [Ben Speers-Roesch] Univ New Brunswick, Dept Biol, St John, NB E2L 4L5, Canada; [Sundin, Josefin] Uppsala Univ, Dept Neurosci, SE-75124 Uppsala, Sweden</t>
  </si>
  <si>
    <t>University of Tasmania; Commonwealth Scientific &amp; Industrial Research Organisation (CSIRO); University of Neuchatel; University of New Brunswick; Uppsala University</t>
  </si>
  <si>
    <t>Clark, TD (corresponding author), Univ Tasmania, Inst Marine &amp; Antarctic Studies, Hobart, Tas 7000, Australia.;Clark, TD (corresponding author), CSIRO Agr &amp; Food, Hobart, Tas 7000, Australia.</t>
  </si>
  <si>
    <t>timothy.clark.mail@gmail.com</t>
  </si>
  <si>
    <t>; Clark, Timothy/K-7129-2012</t>
  </si>
  <si>
    <t>Sundin, Josefin/0000-0003-1853-4046; Binning, Sandra/0000-0002-2804-9979; Speers-Roesch, Ben/0000-0001-6510-7501; Clark, Timothy/0000-0001-8738-3347</t>
  </si>
  <si>
    <t>Svenska Forskningsradet Formas [2013-947]; Magnus Bergvalls Stiftelse [2014-00620]; IRIS stipendiet [2015-0264]; Stiftelsen Lars Hiertas Minne [FO2014-0659]; Wallenbergstiftelsen; Inez Johanssons stiftelse; Sederholms utrikes stiftelse; Fonds de Recherche du Que'bec - Nature et Technologies</t>
  </si>
  <si>
    <t>Svenska Forskningsradet Formas(Swedish Research Council Formas); Magnus Bergvalls Stiftelse; IRIS stipendiet; Stiftelsen Lars Hiertas Minne; Wallenbergstiftelsen; Inez Johanssons stiftelse; Sederholms utrikes stiftelse; Fonds de Recherche du Que'bec - Nature et Technologies</t>
  </si>
  <si>
    <t>This work was funded by Svenska Forskningsradet Formas (J.S.: 2013-947), Magnus Bergvalls Stiftelse (J.S.: 2014-00620), IRIS stipendiet (J.S.: 2015-0264), Stiftelsen Lars Hiertas Minne (J.S.: FO2014-0659), Wallenbergstiftelsen (J.S.), Inez Johanssons stiftelse (J.S.), Sederholms utrikes stiftelse (J.S.), and the Fonds de Recherche du Que'bec - Nature et Technologies (S.A.B., D.G.R.).</t>
  </si>
  <si>
    <t>COMPANY BIOLOGISTS LTD</t>
  </si>
  <si>
    <t>BIDDER BUILDING, STATION RD, HISTON, CAMBRIDGE CB24 9LF, ENGLAND</t>
  </si>
  <si>
    <t>0022-0949</t>
  </si>
  <si>
    <t>1477-9145</t>
  </si>
  <si>
    <t>J EXP BIOL</t>
  </si>
  <si>
    <t>J. Exp. Biol.</t>
  </si>
  <si>
    <t>10.1242/jeb.162529</t>
  </si>
  <si>
    <t>FI8GK</t>
  </si>
  <si>
    <t>WOS:000412240500021</t>
  </si>
  <si>
    <t>Zanutta, A; Negusini, M; Vittuari, L; Cianfarra, P; Salvini, F; Mancini, F; Sterzai, P; Dubbini, M; Galeandro, A; Capra, A</t>
  </si>
  <si>
    <t>Zanutta, A.; Negusini, M.; Vittuari, L.; Cianfarra, P.; Salvini, F.; Mancini, F.; Sterzai, P.; Dubbini, M.; Galeandro, A.; Capra, A.</t>
  </si>
  <si>
    <t>Monitoring geodynamic activity in the Victoria Land, East Antarctica: Evidence from GNSS measurements</t>
  </si>
  <si>
    <t>JOURNAL OF GEODYNAMICS</t>
  </si>
  <si>
    <t>GNSS; Victoria land; Antarctica; Crustal deformation; Glacial-isostatic adjustment; Neo-tectonics</t>
  </si>
  <si>
    <t>GLACIAL ISOSTATIC-ADJUSTMENT; SEA-LEVEL CHANGE; GPS; MODEL; DEFORMATION; CONSTRAINTS; UPLIFT; GRAVITY; QUALITY; SURFACE</t>
  </si>
  <si>
    <t>GNSS networks in Antarctica are a fundamental tool to define actual crustal displacements due to geological and geophysical processes and to constrain the glacial isostatic models (GIA). A large network devoted to the detection and monitoring of crustal deformations in the Northern Victoria Land (Victoria Land Network for DEFormation control - VLNDEF), was monumented during the 1999-2000 and 2000-2001 field campaigns, as part of Italian National Program for Antarctic Research and surveyed periodically during the Southern summer seasons. In this paper, GPS observations of VLNDEF collected over a more than 15-year span, together with various selected POLENET sites and more than 70 IGS stations, were processed with Bemese Software, using a classical double difference approach. A solution was obtained combining NEQs by means of ADDNEQ2/FODITS tools embedded in Bernese Software. All the Antarctic sites were kept free and a subset of 50 IGS stations were used to frame VLNDEF into ITRF2008. New evidence provided by analysis of GPS time series for the VLNDEF network is presented; also displacements along the vertical component are compared with the recently published GIA models. The absolute velocities indicate an overall displacement of the northern Victoria Land region along the south-east direction (Ve = 10.6 mm/yr, Vn = -11.5 mm/yr) and an average uplift rate of Vu = 0.5 mm/yr. Two GIA models have been analyzed: ICE-6G_C-VM5a proposed by Argus et al. (2014), Peltier et al. (2015) and W12A_v1 by Whitehouse et al. (2012a,b). Up rates, predicted over the VLNDEF sites by the mentioned GIA models, have been extracted and compared with those observed. A preliminary comparison with GPS-derived vertical rates shows that the Victoria Land ICE-6G_C-VM5 and W12A_v1 GIA models predict overestimated uplift rates of 0.7 and 0.9 mm/yr weighted mean residuals respectively. The mean horizontal relative motions within the Victoria Land (VL) area are in most cases negligible, while only a few points exhibit horizontal velocities greater than the confidence level. Such a residual horizontal velocity field could represent some of the tectonic characteristics affecting VL, characterized by block faulting, tilting along NE striking and SE dipping extensional faults. Uplift rates, highlighted in the present paper depict a well defined spatial pattern in the investigated areas. Northward, all sites show a general positive trend up to 2.3 mm/yr. In the central and southern areas small negative trends (up to -1.3 mm/yr) were detected in the vertical displacements. Only the site VL06, located atop the Mt. Melbourne volcano, does not concord with such a general reading, as it is representative of the volcanic complex's evolution. Observed and predicted uplift rates increase westward (inland) where the ice-load increases. The same behavior is predicted southward by the GIA models; whereas GPS values decrease toward the south pole, due to the movements of a few sites reflecting the neotectonic phenomena acting in the Victoria Land region.</t>
  </si>
  <si>
    <t>[Zanutta, A.; Vittuari, L.] Univ Bologna, Dipartimento Ingn Civile Chim Ambientale &amp; Mat, Vle Risorgimento 2, I-40136 Bologna, Italy; [Negusini, M.] Ist Nazl Astrofis, Ist Radioastron, Bologna, Italy; [Cianfarra, P.; Salvini, F.] Univ Rome Tre, Dipartimento Sci Geol, Rome, Italy; [Mancini, F.; Galeandro, A.; Capra, A.] Univ Modena &amp; Reggio Emilia, Dipartimento Ingn Enzo Ferrari, Modena, Italy; [Sterzai, P.] Ist Nazl Oceanog &amp; Geofis Sperimentale, Dipartimento Geofis Litosfera, Trieste, Italy; [Dubbini, M.] Univ Bologna, Dipartimento Storia Culture Civilta, Bologna, Italy</t>
  </si>
  <si>
    <t>University of Bologna; Istituto Nazionale Astrofisica (INAF); Roma Tre University; Universita di Modena e Reggio Emilia; Istituto Nazionale di Oceanografia e di Geofisica Sperimentale; University of Bologna</t>
  </si>
  <si>
    <t>Zanutta, A (corresponding author), Univ Bologna, Dipartimento Ingn Civile Chim Ambientale &amp; Mat, Vle Risorgimento 2, I-40136 Bologna, Italy.</t>
  </si>
  <si>
    <t>antonio.zanutta@unibo.it</t>
  </si>
  <si>
    <t>Capra, Alessandro/L-9743-2015; CIANFARRA, Paola/AAQ-5641-2020; Negusini, Monia/N-6493-2015; Vittuari, Luca/C-1606-2018; Dubbini, Marco/J-1765-2016; CIANFARRA, Paola/JCE-5168-2023; ZANUTTA, ANTONIO/L-1647-2019; Mancini, Francesco/L-2937-2015</t>
  </si>
  <si>
    <t>Negusini, Monia/0000-0002-0064-5533; Dubbini, Marco/0000-0001-6158-2727; ZANUTTA, ANTONIO/0000-0003-4872-5222; Mancini, Francesco/0000-0002-8553-345X; CIANFARRA, Paola/0000-0001-9396-4519; Zanutta, Alessio/0000-0002-8688-8447; STERZAI, Paolo/0000-0003-2910-8122</t>
  </si>
  <si>
    <t>Italian National Program for Antarctic Research (PNRA, Programma Nazionale di Ricerche in Antartide)</t>
  </si>
  <si>
    <t>Part of this work was supported by the Italian National Program for Antarctic Research (PNRA, Programma Nazionale di Ricerche in Antartide). Many researchers contributed to the field activities. We thank W. Richard Peltier and Pippa Whitehouse for providing their models. We acknowledge contribution from the International GNSS Service, POLENET, UNAVCO. We are grateful to reviewer Matt King for extensive insight and suggestions on the submitted manuscript. Also we thank to an anonymous reviewer who helped to improve the paper and to the Editor Irina Artemieva for her assistance. Figs. 1-4 and 7 were produced with the Generic Mapping Tool software (Wessel and Smith, 1991)</t>
  </si>
  <si>
    <t>0264-3707</t>
  </si>
  <si>
    <t>J GEODYN</t>
  </si>
  <si>
    <t>J. Geodyn.</t>
  </si>
  <si>
    <t>10.1016/j.jog.2017.07.008</t>
  </si>
  <si>
    <t>FI8LX</t>
  </si>
  <si>
    <t>WOS:000412255200003</t>
  </si>
  <si>
    <t>Rosier, SHR; Marsh, OJ; Rack, W; Gudmundsson, GH; Wild, CT; Ryan, M</t>
  </si>
  <si>
    <t>Rosier, Sebastian H. R.; Marsh, Oliver J.; Rack, Wolfgang; Gudmundsson, G. Hilmar; Wild, Christian T.; Ryan, Michelle</t>
  </si>
  <si>
    <t>On the interpretation of ice-shelf flexure measurements</t>
  </si>
  <si>
    <t>ice/ocean interactions; ice rheology; ice-sheet modelling; ice shelves</t>
  </si>
  <si>
    <t>SATELLITE-RADAR INTERFEROMETRY; HINGE-LINE MIGRATION; WEST ANTARCTICA; TIDAL FLEXURE; GROUNDING LINES; STREAM; FLOW; DYNAMICS; GLACIER; MODEL</t>
  </si>
  <si>
    <t>Tidal flexure in ice shelf grounding zones has been used extensively in the past to determine grounding line position and ice properties. Although the rheology of ice is viscoelastic at tidal loading frequencies, most modelling studies have assumed some form of linear elastic beam approximation to match observed flexure profiles. Here we use density, radar and DInSAR measurements in combination with full-Stokes viscoelastic modelling to investigate a range of additional controls on the flexure of the Southern McMurdo Ice Shelf. We find that inclusion of observed basal crevasses and density dependent ice stiffness can greatly alter the flexure profile and yet fitting a simple elastic beam model to that profile will still produce an excellent fit. Estimates of the effective Young's modulus derived by fitting flexure profiles are shown to vary by over 200% depending on whether these factors are included, even when the local thickness is well constrained. Conversely, estimates of the grounding line position are relatively insensitive to these considerations for the case of a steep bed slope in our study region. By fitting tidal amplitudes only, and ignoring phase information, elastic beam theory can provide a good fit to observations in a wide variety of situations. This should, however, not be taken as an indication that the underlying rheological assumptions are correct.</t>
  </si>
  <si>
    <t>[Rosier, Sebastian H. R.; Gudmundsson, G. Hilmar] British Antarctic Survey, Cambridge, England; [Marsh, Oliver J.; Rack, Wolfgang; Wild, Christian T.; Ryan, Michelle] Univ Canterbury, Gateway Antarctica, Christchurch, New Zealand</t>
  </si>
  <si>
    <t>UK Research &amp; Innovation (UKRI); Natural Environment Research Council (NERC); NERC British Antarctic Survey; University of Canterbury</t>
  </si>
  <si>
    <t>Rosier, SHR (corresponding author), British Antarctic Survey, Cambridge, England.</t>
  </si>
  <si>
    <t>s.rosier@bas.ac.uk</t>
  </si>
  <si>
    <t>Marsh, Oliver J/K-7436-2014; Gudmundsson, Gudmundur Hilmar/AAU-5987-2020; Rack, Wolfgang/U-8898-2017</t>
  </si>
  <si>
    <t>Gudmundsson, Gudmundur Hilmar/0000-0003-4236-5369; Marsh, Oliver/0000-0001-7874-514X; Rack, Wolfgang/0000-0003-2447-377X; Wild, Christian/0000-0003-4586-1704</t>
  </si>
  <si>
    <t>SCAR fellowship; NERC large grant 'Ice shelves in a warming world: Filchner Ice Shelf System' [NE/L013770/1]; Antarctica NZ; DLR [HYD1421]; Natural Environment Research Council [bas0100034] Funding Source: researchfish; NERC [bas0100034] Funding Source: UKRI</t>
  </si>
  <si>
    <t>SCAR fellowship; NERC large grant 'Ice shelves in a warming world: Filchner Ice Shelf System'; Antarctica NZ; DLR(Helmholtz AssociationGerman Aerospace Centre (DLR)); Natural Environment Research Council(UK Research &amp; Innovation (UKRI)Natural Environment Research Council (NERC)); NERC(UK Research &amp; Innovation (UKRI)Natural Environment Research Council (NERC))</t>
  </si>
  <si>
    <t>S. Rosier was supported by a SCAR fellowship grant for a research stay at Gateway Antarctica, University of Canterbury, Christchurch, New Zealand, and the NERC large grant 'Ice shelves in a warming world: Filchner Ice Shelf System' (NE/L013770/1). Field data were collected in 2014 during the NZARI project 'Tidal flexure of ice shelves' and supported by Antarctica NZ. TerraSAR-X satellite data for the InSAR analysis have been acquired by DLR (project HYD1421) during the same field work within that project. Landsat 8 data available from the US Geological Survey. We are grateful to R. Greve and two anonymous reviewers whose comments greatly improved the quality of this manuscript.</t>
  </si>
  <si>
    <t>10.1017/jog.2017.44</t>
  </si>
  <si>
    <t>Green Accepted, gold</t>
  </si>
  <si>
    <t>WOS:000418851100003</t>
  </si>
  <si>
    <t>Brondex, J; Gagliardini, O; Gillet-Chaulet, F; Durand, G</t>
  </si>
  <si>
    <t>Brondex, Julien; Gagliardini, Olivier; Gillet-Chaulet, Fabien; Durand, Gael</t>
  </si>
  <si>
    <t>Sensitivity of grounding line dynamics to the choice of the friction law</t>
  </si>
  <si>
    <t>glacier mechanics; glacier modelling; ice-sheet modelling; subglacial processes</t>
  </si>
  <si>
    <t>ANTARCTIC ICE-SHEET; SEA-LEVEL RISE; PINE ISLAND GLACIER; WEST ANTARCTICA; SUBGLACIAL DRAINAGE; TILL DEFORMATION; OUTLET GLACIER; SURFACE MELT; STREAM-B; MODEL</t>
  </si>
  <si>
    <t>Basal slip accounts for a large part of the flow of ice streams draining ice from Antarctica and Greenland into the ocean. Therefore, an appropriate representation of basal slip in ice flow models is a prerequisite for accurate sea level rise projections. Various friction laws have been proposed to describe basal slip in models. Here, we compare the influence on grounding line (GL) dynamics of four friction laws: the traditional Weertman law and three effective pressure-dependent laws, namely the Schoof, Tsai and Budd laws. It turns out that, even when they are tuned to a common initial reference state, the Weertman, Budd and Schoof laws lead to thoroughly different steady-state positions, although the Schoof and Tsai laws lead to much the same result. In particular, under certain circumstances, it is possible to obtain a steady GL located on a reverse slope area using the Weertman law. Furthermore, the predicted transient evolution of the GL as well as the projected contributions to sea level rise over a 100-year time horizon vary significantly depending on the friction law. We conclude on the importance of choosing an appropriate law for reliable sea level rise projections and emphasise the need for a coupling between ice flow models and physically based subglacial hydrological models.</t>
  </si>
  <si>
    <t>[Brondex, Julien; Gagliardini, Olivier; Gillet-Chaulet, Fabien; Durand, Gael] Univ Grenoble Alpes, CNRS, IRD, IGE, F-38000 Grenoble, France</t>
  </si>
  <si>
    <t>Centre National de la Recherche Scientifique (CNRS); Communaute Universite Grenoble Alpes; Universite Grenoble Alpes (UGA); Institut de Recherche pour le Developpement (IRD)</t>
  </si>
  <si>
    <t>Brondex, J (corresponding author), Univ Grenoble Alpes, CNRS, IRD, IGE, F-38000 Grenoble, France.</t>
  </si>
  <si>
    <t>julien.brondex@univ-grenoble-alpes.fr</t>
  </si>
  <si>
    <t>Gagliardini, Olivier/GQQ-1222-2022</t>
  </si>
  <si>
    <t>Gagliardini, Olivier/0000-0001-9162-3518; Durand, Gael/0000-0001-8979-2355</t>
  </si>
  <si>
    <t>Agence Nationale pour la Recherche (ANR) through the SUMER [Blanc SIMI 6-2012]</t>
  </si>
  <si>
    <t>Agence Nationale pour la Recherche (ANR) through the SUMER(Agence Nationale de la Recherche (ANR))</t>
  </si>
  <si>
    <t>We would like to thank the editor, F. Pattyn, as well as the two anonymous referees for their insightful and helpful comments. This study was funded by the Agence Nationale pour la Recherche (ANR) through the SUMER, Blanc SIMI 6-2012.</t>
  </si>
  <si>
    <t>10.1017/jog.2017.51</t>
  </si>
  <si>
    <t>WOS:000418851100009</t>
  </si>
  <si>
    <t>Engelbrecht, A; Mörs, T; Reguero, MA; Kriwet, J</t>
  </si>
  <si>
    <t>Engelbrecht, Andrea; Mors, Thomas; Reguero, Marcelo A.; Kriwet, Juergen</t>
  </si>
  <si>
    <t>Eocene squalomorph sharks (Chondrichthyes, Elasmobranchii) from Antarctica</t>
  </si>
  <si>
    <t>JOURNAL OF SOUTH AMERICAN EARTH SCIENCES</t>
  </si>
  <si>
    <t>La Meseta Formation; Seymour Island; Antarctic Peninsula; Hexanchiformes; Squaliformes; Squatiniformes</t>
  </si>
  <si>
    <t>LA-MESETA FORMATION; SEYMOUR-ISLAND; CARTILAGINOUS FISHES; MOLECULAR PHYLOGENY; PALEOGENE; RECORDS; CHIMAERIFORMES; NEOSELACHIANS; VERTEBRATES; PALEOCENE</t>
  </si>
  <si>
    <t>Rare remains of predominantly deep-water sharks of the families Hexanchidae, Squalidae, Dalatiidae, Centrophoridae, and Squatinidae are described from the Eocene La Meseta Formation, Seymour Island, Antarctic Peninsula, which has yielded the most abundant chondrichthyan assemblage from the Southern Hemisphere to date. Previously described representatives of Hexanchus sp., Squalus weltoni, Squalus woodburnei, Centrophorus sp., and Squatina sp. are confirmed and dental variations are documented. Although the teeth of Squatina sp. differ from other Palaeogene squatinid species, we refrain from introducing a new species. A new dalatiid taxon, Eodalatias austrinalis gen. et sp. nov. is described. This new material not only increases the diversity of Eocene Antarctic elasmobranchs but also allows assuming that favourable deep-water habitats were available in the Eocene Antarctic Ocean off Antarctica in the Eocene. The occurrences of deep-water inhabitants in. shallow, near-coastal waters of the Antarctic Peninsula agrees well with extant distribution patterns. (C) 2017 Elsevier Ltd. All rights reserved.</t>
  </si>
  <si>
    <t>[Engelbrecht, Andrea; Kriwet, Juergen] Univ Vienna, Dept Palaeontol, Geozentrum, Althanstr 14, A-1090 Vienna, Austria; [Mors, Thomas] Swedish Museum Nat Hist, Dept Palaeobiol, POB 50007, SE-10405 Stockholm, Sweden; [Reguero, Marcelo A.] Consejo Nacl Invest Cient &amp; Tecn, Div Paleontol Vertebrados, Museo La Plata, Paseo Bosque S-N,B1900FWA, La Plata, Buenos Aires, Argentina</t>
  </si>
  <si>
    <t>University of Vienna; Swedish Museum of Natural History; Consejo Nacional de Investigaciones Cientificas y Tecnicas (CONICET); National University of La Plata; Museo La Plata</t>
  </si>
  <si>
    <t>Engelbrecht, A (corresponding author), Univ Vienna, Dept Palaeontol, Geozentrum, Althanstr 14, A-1090 Vienna, Austria.</t>
  </si>
  <si>
    <t>andrea.engelbrecht@univie.ac.at; thomas.moers@nrm.se; regui@fcnym.unlp.edu.ar; juergen.kriwet@univie.ac.at</t>
  </si>
  <si>
    <t>Reguero, Marcelo A./JHS-4893-2023</t>
  </si>
  <si>
    <t>Mors, Thomas/0000-0003-2268-5824; Engelbrecht, Andrea/0000-0002-4430-452X; Kriwet, Jurgen/0000-0002-6439-8455</t>
  </si>
  <si>
    <t>Austrian Science Fund (FWF) [P26465-B25]; University of Vienna; Swedish Research Council grant (VR) [2009-4447]; Consejo Nacional de Investigaciones Cientificas y Tecnicas grant (CONICET) [PIP 0462]; Argentinian National Agency for Promotion of Science and Technology grant (ANPCyT) [PICTO 0093/2010]; Austrian Science Fund (FWF) [P26465] Funding Source: Austrian Science Fund (FWF); Austrian Science Fund (FWF) [P 26465] Funding Source: researchfish</t>
  </si>
  <si>
    <t>Austrian Science Fund (FWF)(Austrian Science Fund (FWF)); University of Vienna; Swedish Research Council grant (VR); Consejo Nacional de Investigaciones Cientificas y Tecnicas grant (CONICET); Argentinian National Agency for Promotion of Science and Technology grant (ANPCyT); Austrian Science Fund (FWF)(Austrian Science Fund (FWF)); Austrian Science Fund (FWF)(Austrian Science Fund (FWF))</t>
  </si>
  <si>
    <t>The Argentinian Antarctic Institute (IAA-DNA), Argentinian Air Force and Swedish Polar Research Secretariat (SPFS) are acknowledged for logistic support for field-work on Seymour Island. The authors are grateful to Martin de los Reyes, Museo de La Plata, for picking the small fractions in the laboratory. The authors also thank the reviewers, Charlie Underwood and Todd D. Cook, for their suggestions, comments, and corrections, which largely improved the manuscript. This work was supported by The Austrian Science Fund (FWF, grant number P26465-B25) to J.K.; a graduation scholarship of the University of Vienna to A.E.; a Swedish Research Council grant (VR grant number 2009-4447) to T.M.; a Consejo Nacional de Investigaciones Cientificas y Tecnicas grant (CONICET grant number PIP 0462) to M.R.; and an Argentinian National Agency for Promotion of Science and Technology grant (ANPCyT grant number PICTO 0093/2010) to M.R.</t>
  </si>
  <si>
    <t>0895-9811</t>
  </si>
  <si>
    <t>1873-0647</t>
  </si>
  <si>
    <t>J S AM EARTH SCI</t>
  </si>
  <si>
    <t>J. South Am. Earth Sci.</t>
  </si>
  <si>
    <t>10.1016/j.jsames.2017.07.006</t>
  </si>
  <si>
    <t>FI2NI</t>
  </si>
  <si>
    <t>WOS:000411775200013</t>
  </si>
  <si>
    <t>Hauser, N; Cabaleri, NG; Gallego, OF; Monferran, MD; Nieto, DS; Armella, C; Matteini, M; González, PAA; Pimentel, MM; Volkheimer, W; Reimold, WU</t>
  </si>
  <si>
    <t>Hauser, N.; Cabaleri, N. G.; Gallego, O. F.; Monferran, M. D.; Silva Nieto, D.; Armella, C.; Matteini, M.; Aparicio Gonzalez, P. A.; Pimentel, M. M.; Volkheimer, W.; Reimold, W. U.</t>
  </si>
  <si>
    <t>U-Pb and Lu-Hf zircon geochronology of the Cariadon Asfalto Basin, Chubut, Argentina: Implications for the magmatic evolution in central Patagonia</t>
  </si>
  <si>
    <t>Zircon geochronology; U-Pb and Hf isotopes; Middle Jurassic; Canadon Asfalto basin; Central Chubut; Magmatic evolution</t>
  </si>
  <si>
    <t>PLASMA-MASS SPECTROMETRY; CONCHOSTRACAN FAUNAS; ANTARCTIC PENINSULA; HAFNIUM ISOTOPE; MAMIL-CHOIQUE; CERRO CONDOR; RIO-NEGRO; BREAK-UP; MIDDLE; PROVINCE</t>
  </si>
  <si>
    <t>The Canadon Asfalto basin, central Chubut, Argentina, comprises a volcano-sedimentary sequence related to the opening of the Atlantic Ocean during Mesozoic times. The Lonco Trapial, Canadon Asfalto and Canadon Calcareo formations are the main units related to the evolution of this basin. The Las Chacritas and Puesto Almada members are distinguished in the Canadon Asfalto Formation. LA-HR-ICP-MS U-Pb and Lu-Hf data on zircon were obtained on these units. The Lonco Trapial Formation gave a weighted average age of 172.3 +/- 1.8 Ma. A pyroclastic level from the Las Chacritas Member gave a weighted average age of 168.2 +/- 2.2 Ma. Two U-Pb concordant ages of 160.3 +/- 1.7 Ma on a laminated tuffite and 158.3 +/- 1.3 Ma on a pyroclastic level were obtained for the Puesto Almada Member. Two maximum depositional ages constrain the sedimentary provenance areas for the basin: 1) A sample from the Sierra de la Manea range, where a controversial unit related either to the Canadon Asfalto or to the Canadon Calcareo formation occurs, gave an age of 176.6 +/- 1.0 Ma. Two younger zircon crystals indicate that this unit may be related to the Canadon Calcareo Formation. 2) A sandstone with cross-stratification from the Puesto Almada Member gave a maximum depositional age of 173.6 +/- 6.4 Ma. In terms of U-Pb and Lu-Hf isotopes, two magmatic events are identified in central Patagonia: the Mamil Choique magmatic event characterized by negative epsilon(Hf) values around -5.0 and representing recycling during Permian times of Mesoproterozoic crust (T-DM of similar to 1.5 Ga), and the Cariadon Asfalto magmatic event with negative (-8.2) to positive (+4) epsilon(Hf) values and Meso- to Neoproterozoic T-DM between 1.5 and 0.8 Ga. The younger event is characterized by three main cycles: Cl related to the Lonco Trapial magmatism, C2 to the Las Chacritas volcanism, and C3 to the Puesto Almada volcanism. These cycles are related with Marifil, Chon Alice and El Quemado formations volcanics events of Patagonia and the Neuquen Basin during the Mesozoic. (C) 2017 Elsevier Ltd. All rights reserved.</t>
  </si>
  <si>
    <t>[Hauser, N.; Matteini, M.; Pimentel, M. M.; Reimold, W. U.] Univ Brasilia, Inst Geociencias, Lab Geochronol, BR-70910900 Brasilia, DF, Brazil; [Cabaleri, N. G.; Armella, C.; Aparicio Gonzalez, P. A.] Univ Buenos Aires, Consejo Nacl Invest Cient &amp; Tecn, Inst Geocronol &amp; Geol Isotop, Ciudad Univ,C1428EHA, Buenos Aires, DF, Argentina; [Gallego, O. F.; Monferran, M. D.] Consejo Nacl Invest Cient &amp; Tecn, Ctr Ecol Aplicada Litoral, Asignaturas Geol Hist Micropaleontol,FaCENA UNNE, Area Ciencias Tierra,CECOAL,CCT,Nordeste,Dept Bio, CC128, RA-3400 Corrientes, Argentina; [Silva Nieto, D.] Inst Geol &amp; Recursos Minerales, Serv Geol Minero Argentino, Av Julio A Roca 651,10 Piso,C1067ABB, Buenos Aires, DF, Argentina; [Volkheimer, W.] Consejo Nacl Invest Cient &amp; Tecn, Inst Argentino Nivol Glaciol &amp; Ciencias Ambiental, Ctr Cient Tecnol Mendoza, CC 330, RA-5500 Mendoza, Argentina; [Reimold, W. U.] Leibniz Inst Evolut &amp; Biodivers Res, Museum Nat Kunde, Invalidenstr 43, D-10115 Berlin, Germany; [Reimold, W. U.] Humboldt Univ, Unter Linden 6, D-10099 Berlin, Germany</t>
  </si>
  <si>
    <t>Universidade de Brasilia; Consejo Nacional de Investigaciones Cientificas y Tecnicas (CONICET); University of Buenos Aires; Consejo Nacional de Investigaciones Cientificas y Tecnicas (CONICET); Consejo Nacional de Investigaciones Cientificas y Tecnicas (CONICET); Leibniz Institut fur Evolutions und Biodiversitatsforschung; Humboldt University of Berlin</t>
  </si>
  <si>
    <t>Hauser, N (corresponding author), Univ Brasilia, IG, Lab Geocronol, Brasilia, DF, Brazil.</t>
  </si>
  <si>
    <t>nataliah@unb.br</t>
  </si>
  <si>
    <t>Hauser, Natalia/H-2041-2012; Reimold, Wolf Uwe/AAI-6226-2021</t>
  </si>
  <si>
    <t>Monferran, Mateo/0000-0003-4359-7495; Reimold, Wolf Uwe/0000-0001-6588-0887; Hauser, Natalia/0000-0002-6975-6186</t>
  </si>
  <si>
    <t>Petrobras; Ministerio de Minas e Energia do Brasil; Consejo Nacional de Investigaciones Cientificas y Tecnicas (CONICET) [5760, 112-201001-00034, 5581]</t>
  </si>
  <si>
    <t>Petrobras(Fundacao de Amparo a Pesquisa do Amapa (FAPEAP)Petrobras); Ministerio de Minas e Energia do Brasil; Consejo Nacional de Investigaciones Cientificas y Tecnicas (CONICET)(Consejo Nacional de Investigaciones Cientificas y Tecnicas (CONICET))</t>
  </si>
  <si>
    <t>The LA-MC-ICP-MS facility at the Universidade de Brasilia (UnB) was installed with funds provided by Petrobras and the Ministerio de Minas e Energia do Brasil. This study was supported by grants from the Consejo Nacional de Investigaciones Cientificas y Tecnicas (CONICET) No 5760, 112-201001-00034 (NC) and 5581 (OFG). The authors acknowledge the Comision Nacional de Energia Atomica (CNEA) for logistic support at the Campamento Los Adobes during field trips. G. Giordanengo is thanked for some drafting support. Mr. and Mrs. Fossati are thanked for providing access to Estancia Fossati. Mrs. Ana Marcela Sanchez is acknowledged for assistance in the preparation of the bibliography, and Mrs Luciana Pereira (UnB, Brazil) for assistance with cathodoluminescence imaging. WUR contributed to this project while on sabbatical at the Geochronology Laboratory at UnB. We are very grateful to two reviewers, Carita Augustsson and an anonymous referee, and the Associate Editor, Reinhardt Fuck, for providing essential guidance that improved our manuscript considerably.</t>
  </si>
  <si>
    <t>10.1016/j.jsames.2017.05.001</t>
  </si>
  <si>
    <t>WOS:000411775200014</t>
  </si>
  <si>
    <t>Kim, M; Gwak, Y; Jung, W; Jin, E</t>
  </si>
  <si>
    <t>Kim, Minjae; Gwak, Yunho; Jung, Woongsic; Jin, EonSeon</t>
  </si>
  <si>
    <t>Identification and Characterization of an Isoform Antifreeze Protein from the Antarctic Marine Diatom, Chaetoceros neogracile and Suggestion of the Core Region</t>
  </si>
  <si>
    <t>MARINE DRUGS</t>
  </si>
  <si>
    <t>Antarctic marine diatom; Chaetoceros neogracile; isoform antifreeze protein; antifreeze activity; 3D-structure modeling</t>
  </si>
  <si>
    <t>ICE-BINDING PROTEINS; STRUCTURE PREDICTION; DEHYDRATION STRESS; GENE-EXPRESSION; ELEMENTS; INHIBITION; PEPTIDES; ADSORPTION; DATABASE; SURFACE</t>
  </si>
  <si>
    <t>Antifreeze proteins (AFPs) protecting the cells against freezing are produced in response to extremely low temperatures in diverse psychrophilic organisms, and they are encoded by multiple gene families. The AFP of Antarctic marine diatom Chaetoceros neogracile is reported in our previous research, but like other microalgae, was considered to probably have additional genes coding AFPs. In this paper, we reported the cloning and characterization of additional AFP gene from C. neogracile (Cn-isoAFP). Cn-isoAFP protein is 74.6% identical to the previously reported Cn-AFP. The promoter sequence of Cn-isoAFP contains environmental stress responsive elements for cold, thermal, and high light conditions. Cn-isoAFP transcription levels increased dramatically when cells were exposed to freezing (-20 degrees C), thermal (10 degrees C), or high light (600 mol photon m(-2) s(-1)) stresses. The thermal hysteresis (TH) activity of recombinant Cn-isoAFP was 0.8 degrees C at a protein concentration of 5 mg/mL. Results from homology modeling and TH activity analysis of site-directed mutant proteins elucidated AFP mechanism to be a result of flatness of B-face maintained via hydrophobic interactions.</t>
  </si>
  <si>
    <t>[Kim, Minjae; Gwak, Yunho; Jin, EonSeon] Hanyang Univ, Dept Life Sci, Coll Nat Sci, Seoul 133791, South Korea; [Jung, Woongsic] KIOST, Korea Polar Res Inst, Div Polar Life Sci, Incheon 406840, South Korea</t>
  </si>
  <si>
    <t>Hanyang University; Korea Polar Research Institute (KOPRI); Korea Institute of Ocean Science &amp; Technology (KIOST)</t>
  </si>
  <si>
    <t>Jin, E (corresponding author), Hanyang Univ, Dept Life Sci, Coll Nat Sci, Seoul 133791, South Korea.;Jung, W (corresponding author), KIOST, Korea Polar Res Inst, Div Polar Life Sci, Incheon 406840, South Korea.</t>
  </si>
  <si>
    <t>sciencekor89@gmail.com; firsthero@macrogen.com; wchung@kopri.re.kr; esjin@hanyang.ac.kr</t>
  </si>
  <si>
    <t>Jin, EonSeon/AAW-6839-2020; Kim, Minjae/JEF-6368-2023</t>
  </si>
  <si>
    <t>Jin, EonSeon/0000-0001-5691-0124; Kim, Minjae/0000-0002-2356-1295</t>
  </si>
  <si>
    <t>Korea Polar Research Institute (KOPRI) [PE17180]; Korea CCS R&amp;D Center (KCRC) - Korean Government (Ministry of Science, Ict. &amp; Future Planning) [NRF-2014M1A8A1049273]; Basic Core Technology Development Program for the Oceans; Polar Regions of the National Research Foundation [NRF-2015M1A5A1037053]</t>
  </si>
  <si>
    <t>Korea Polar Research Institute (KOPRI); Korea CCS R&amp;D Center (KCRC) - Korean Government (Ministry of Science, Ict. &amp; Future Planning); Basic Core Technology Development Program for the Oceans; Polar Regions of the National Research Foundation</t>
  </si>
  <si>
    <t>This research was supported by a grant from the Korea Polar Research Institute (KOPRI, PE17180), the Korea CCS R&amp;D Center (KCRC) (NRF-2014M1A8A1049273) funded by the Korean Government (Ministry of Science, Ict. &amp; Future Planning) and the Basic Core Technology Development Program for the Oceans and the Polar Regions of the National Research Foundation (NRF-2015M1A5A1037053).</t>
  </si>
  <si>
    <t>MDPI</t>
  </si>
  <si>
    <t>BASEL</t>
  </si>
  <si>
    <t>ST ALBAN-ANLAGE 66, CH-4052 BASEL, SWITZERLAND</t>
  </si>
  <si>
    <t>1660-3397</t>
  </si>
  <si>
    <t>MAR DRUGS</t>
  </si>
  <si>
    <t>Mar. Drugs</t>
  </si>
  <si>
    <t>10.3390/md15100318</t>
  </si>
  <si>
    <t>Chemistry, Medicinal; Pharmacology &amp; Pharmacy</t>
  </si>
  <si>
    <t>Pharmacology &amp; Pharmacy</t>
  </si>
  <si>
    <t>FL9QZ</t>
  </si>
  <si>
    <t>Green Published, Green Submitted, gold</t>
  </si>
  <si>
    <t>WOS:000414593200025</t>
  </si>
  <si>
    <t>Schiebel, R; Spielhagen, RF; Gamier, J; Hagemann, J; Howa, H; Jentzen, A; Martínez-Garcia, A; Meilland, J; Michel, E; Repschläger, J; Salter, I; Yamasaki, M; Haug, G</t>
  </si>
  <si>
    <t>Schiebel, Ralf; Spielhagen, Robert F.; Gamier, Julie; Hagemann, Julia; Howa, Helene; Jentzen, Anna; Martinez-Garcia, Alfredo; Meilland, Julie; Michel, Elisabeth; Repschlaeger, Janne; Salter, Ian; Yamasaki, Makoto; Haug, Gerald</t>
  </si>
  <si>
    <t>Modern planktic foraminifers in the high-latitude ocean</t>
  </si>
  <si>
    <t>MARINE MICROPALEONTOLOGY</t>
  </si>
  <si>
    <t>Polar climate; Marine ecology; Carbon turnover; Phenology; Climate change; Paleoceanography</t>
  </si>
  <si>
    <t>SEA-SURFACE TEMPERATURE; DIATOM RESTING SPORES; OUTER LAPTEV SEA; NEOGLOBOQUADRINA-PACHYDERMA; SOUTHERN-OCEAN; ARCTIC-OCEAN; CLIMATE-CHANGE; ISOTOPE COMPOSITION; ATMOSPHERIC CO2; NORTH-ATLANTIC</t>
  </si>
  <si>
    <t>Planktic foraminifers can be sensitive indicators of the changing environment including both the Arctic Ocean and Southern Ocean. Due to variability in their ecology, biology, test characteristics, and fossil preservation in marine sediments, they serve as valuable archives in paleoceanography and climate geochemistry over the geologic time scale. Foraminifers are sensitive to, and can therefore provide proxy data on ambient water temperature, salinity, carbonate chemistry, and trophic conditions through shifts in assemblage (species) composition and the shell chemistry of individual specimens. Production and dissolution of the calcareous shell, as well as growth and remineralization of the cytoplasm, affect the carbonate counter pump and to a lesser extent the soft-tissue pump, at varying regional and temporal scales. Diversity of planktic foraminifers in polar waters is low in comparison to lower latitudes and is limited to three native species: Neogloboquadrina pachyderma, Turborotalita quinqueloba, and Globigerina bulloides, of which N. pachyderma is best adapted to polar conditions in the surface ocean. Neogloboquathina pachyderma hibernates in brine channels in the lower layers of the Antarctic sea ice, a strategy that is presently undescribed in the Arctic. In open Antarctic and Arctic surface waters T. quinqueloba and G. bulloides increase in abundance at lower polar to subpolar latitudes and Globigerinita uvula, Turborotalita humilis, Globigerinita glutinata, Globorotalia inflata, and Globorotalia crassaforinis complement the assemblages. Over the past two to three decades there has been a marked increase in the abundance of Orcadia riedeli and G. uvula in the subpolar and polar Indian Ocean, as well as in the northern North Atlantic. This paper presents a review of the knowledge of polar and subpolar planktic foraminifers. Particular emphasis is placed on the response of foraminifers to modern warming and ocean acidification at high latitudes and the implications for data interpretation in paleoceanography and paleoclimate research.</t>
  </si>
  <si>
    <t>[Schiebel, Ralf; Hagemann, Julia; Jentzen, Anna; Martinez-Garcia, Alfredo; Repschlaeger, Janne; Haug, Gerald] Max Planck Inst Chem, Hahn Meitner Weg 1, D-55128 Mainz, Germany; [Spielhagen, Robert F.] GEOMAR, Wischhofstr 1-3, D-24148 Kiel, Germany; [Schiebel, Ralf; Gamier, Julie; Howa, Helene; Meilland, Julie] Univ Angers, LPG BIAF Bioindicateurs Actuels &amp; Fossiles, 2 Blvd Lavoisier, F-49045 Angers, France; [Michel, Elisabeth] LSCE IPSL, Allee Terrassa, F-91198 Gif Sur Yvette, France; [Salter, Ian] UPMC Univ Paris 06, CNRS, Sorbonne Univ, Lab Oceanog Microbienne LOMIC,Observ Oceanol, F-66650 Banyuls Sur Mer, France; [Salter, Ian] Helmholtz Ctr Polar &amp; Marine Res, Alfred Wegener Inst, Handelshafen 12, D-27570 Bremerhaven, Germany; [Yamasaki, Makoto] Akita Univ, Dept Earth Resource Sci, Fac Int Resource Sci, 1-1 Tegata Gakuencho, Akita 0108502, Japan</t>
  </si>
  <si>
    <t>Max Planck Society; Helmholtz Association; GEOMAR Helmholtz Center for Ocean Research Kiel; Universite d'Angers; CEA; Centre National de la Recherche Scientifique (CNRS); Universite Paris Saclay; Sorbonne Universite; Centre National de la Recherche Scientifique (CNRS); Helmholtz Association; Alfred Wegener Institute, Helmholtz Centre for Polar &amp; Marine Research; Akita University</t>
  </si>
  <si>
    <t>Schiebel, R (corresponding author), Max Planck Inst Chem, Hahn Meitner Weg 1, D-55128 Mainz, Germany.</t>
  </si>
  <si>
    <t>ralf.schiebel@mpic.de; rspielhagen@geomar.de; jhageman@students.uni-mainz.de; helene.howa@univ-angers.fr; anna.jentzen@mpic.de; a.martinez-garcia@mpic.de; Elisabeth.Michel@lsce.ipsl.fr; j.repschlaeger@mpic.de; ian.salter@obs-banyuls.de; yamasaki@gipc.akita-u.ac.jp; gerald.haug@mpic.de</t>
  </si>
  <si>
    <t>Spielhagen, Robert F./HMD-2002-2023; Meilland, Julie/AAE-9031-2021; Salter, Ian/AAI-1015-2021; Martinez-Garcia, Alfredo/A-6244-2010</t>
  </si>
  <si>
    <t>Meilland, Julie/0000-0001-8966-3115; Martinez-Garcia, Alfredo/0000-0002-7206-5079; Schiebel, Ralf/0000-0002-6252-7647; Salter, Ian/0000-0002-4513-0314; /0000-0003-0362-6749; Howa, Helene/0000-0003-1532-4211</t>
  </si>
  <si>
    <t>0377-8398</t>
  </si>
  <si>
    <t>1872-6186</t>
  </si>
  <si>
    <t>MAR MICROPALEONTOL</t>
  </si>
  <si>
    <t>Mar. Micropaleontol.</t>
  </si>
  <si>
    <t>10.1016/j.marmicro.2017.08.004</t>
  </si>
  <si>
    <t>Paleontology</t>
  </si>
  <si>
    <t>FM3CP</t>
  </si>
  <si>
    <t>WOS:000414882200001</t>
  </si>
  <si>
    <t>Van Den Hoff, J</t>
  </si>
  <si>
    <t>Van Den Hoff, John</t>
  </si>
  <si>
    <t>SIGHTINGS OF RINGED SOUTHERN GIANT PETRELS MACRONECTES GIGANTEUS IN EAST ANTARCTICA: A TALE OF MISSED OPPORTUNITY</t>
  </si>
  <si>
    <t>MARINE ORNITHOLOGY</t>
  </si>
  <si>
    <t>Southern Giant Petrels Macronectes giganteus were leg-ringed as nestlings at two East Antarctic breeding locations, the Frazier Islands and Hawker Island, during the period 1959-1988. I searched these colonies in 2011, deducing ring numbers by using multiple digital photographs. The resightings suggest, but do not confirm, emigration between colonies separated by 1 500 km of coastline. The disparate nature of the ringing program within the Australian Antarctic Territory has led to a loss of important information that could now be used to model and predict how this long-lived species might respond to a number of population pressures, including environmental variability.</t>
  </si>
  <si>
    <t>[Van Den Hoff, John] Australian Antarctic Div, 206 Channel Highway, Kingston, Tas 7050, Australia</t>
  </si>
  <si>
    <t>Australian Antarctic Division</t>
  </si>
  <si>
    <t>Van Den Hoff, J (corresponding author), Australian Antarctic Div, 206 Channel Highway, Kingston, Tas 7050, Australia.</t>
  </si>
  <si>
    <t>john_van@aad.gov.au</t>
  </si>
  <si>
    <t>AFRICAN SEABIRD GROUP</t>
  </si>
  <si>
    <t>RHODES GIFT</t>
  </si>
  <si>
    <t>P. O. BOX 34113, RHODES GIFT, SOUTH AFRICA</t>
  </si>
  <si>
    <t>1018-3337</t>
  </si>
  <si>
    <t>2074-1235</t>
  </si>
  <si>
    <t>MAR ORNITHOL</t>
  </si>
  <si>
    <t>Mar. Ornithol.</t>
  </si>
  <si>
    <t>Marine &amp; Freshwater Biology; Ornithology</t>
  </si>
  <si>
    <t>FX3GW</t>
  </si>
  <si>
    <t>WOS:000425960700012</t>
  </si>
  <si>
    <t>Zúñiga, C; Leiva, D; Carú, M; Orlando, J</t>
  </si>
  <si>
    <t>Zuniga, Catalina; Leiva, Diego; Caru, Margarita; Orlando, Julieta</t>
  </si>
  <si>
    <t>Substrates of Peltigera Lichens as a Potential Source of Cyanobionts</t>
  </si>
  <si>
    <t>MICROBIAL ECOLOGY</t>
  </si>
  <si>
    <t>Cyanobacteria; Nostoc; Peltigera; Photobiont availability; Terricolous lichens</t>
  </si>
  <si>
    <t>GENETIC DIVERSITY; CYANOBACTERIAL DIVERSITY; BACTERIAL COMMUNITIES; FUNGAL SPECIFICITY; ALGAL; SELECTIVITY; PATTERNS; CYANOLICHENS; SYMBIONTS; FOREST</t>
  </si>
  <si>
    <t>Photobiont availability is one of the main factors determining the success of the lichenization process. Although multiple sources of photobionts have been proposed, there is no substantial evidence confirming that the substrates on which lichens grow are one of them. In this work, we obtained cyanobacterial 16S ribosomal RNA gene sequences from the substrates underlying 186 terricolous Peltigera cyanolichens from localities in Southern Chile and maritime Antarctica and compared them with the sequences of the cyanobionts of these lichens, in order to determine if cyanobacteria potentially available for lichenization were present in the substrates. A phylogenetic analysis of the sequences showed that Nostoc phylotypes dominated the cyanobacterial communities of the substrates in all sites. Among them, an overlap was observed between the phylotypes of the lichen cyanobionts and those of the cyanobacteria present in their substrates, suggesting that they could be a possible source of lichen photobionts. Also, in most cases, higher Nostoc diversity was observed in the lichens than in the substrates from each site. A better understanding of cyanobacterial diversity in lichen substrates and their relatives in the lichens would bring insights into mycobiont selection and the distribution patterns of lichens, providing a background for hypothesis testing and theory development for future studies of the lichenization process.</t>
  </si>
  <si>
    <t>[Zuniga, Catalina; Leiva, Diego; Caru, Margarita; Orlando, Julieta] Univ Chile, Fac Sci, Dept Ecol Sci, Microbial Ecol Lab, Palmeras 3425, Santiago, Chile</t>
  </si>
  <si>
    <t>Universidad de Chile</t>
  </si>
  <si>
    <t>Orlando, J (corresponding author), Univ Chile, Fac Sci, Dept Ecol Sci, Microbial Ecol Lab, Palmeras 3425, Santiago, Chile.</t>
  </si>
  <si>
    <t>jorlando@u.uchile.cl</t>
  </si>
  <si>
    <t>Orlando, Julieta/E-1399-2014</t>
  </si>
  <si>
    <t>Orlando, Julieta/0000-0002-2902-8870; Leiva, Diego/0000-0001-7279-6755</t>
  </si>
  <si>
    <t>Fondo Nacional de Desarrollo Cientifico y Tecnologico (FONDECYT) [11100381]; [INACH F_02-10]</t>
  </si>
  <si>
    <t>Fondo Nacional de Desarrollo Cientifico y Tecnologico (FONDECYT)(Comision Nacional de Investigacion Cientifica y Tecnologica (CONICYT)CONICYT FONDECYT);</t>
  </si>
  <si>
    <t>We want to thank J.L. Parraguez, M. Chacon, V. Bauk, A. Kromer, M. Presa, D. Lozano, A. Pradilla, F. Farias, and others from INACH-ECAs 48-49 and BAE Gabriel de Castilla for their fieldwork assistance. In addition, we wish to thank the editor's and reviewers' comments for significantly improving previous versions of this work and M. Handford for language support. Finally, we acknowledge the logistical support of the Wildlife Conservation Society Chile (WCS-Chile), Universidad de Magallanes (venue Puerto Williams), Corporacion Nacional Forestal (CONAF), and Instituto Antartico Chileno (INACH). The Antarctic campaign was funded by INACH F_02-10 and the experimental procedures by Fondo Nacional de Desarrollo Cientifico y Tecnologico (FONDECYT) 11100381.</t>
  </si>
  <si>
    <t>0095-3628</t>
  </si>
  <si>
    <t>1432-184X</t>
  </si>
  <si>
    <t>MICROB ECOL</t>
  </si>
  <si>
    <t>Microb. Ecol.</t>
  </si>
  <si>
    <t>10.1007/s00248-017-0969-z</t>
  </si>
  <si>
    <t>Ecology; Marine &amp; Freshwater Biology; Microbiology</t>
  </si>
  <si>
    <t>Environmental Sciences &amp; Ecology; Marine &amp; Freshwater Biology; Microbiology</t>
  </si>
  <si>
    <t>FF4YH</t>
  </si>
  <si>
    <t>WOS:000408969500006</t>
  </si>
  <si>
    <t>Mindlin, SZ; Petrova, MA</t>
  </si>
  <si>
    <t>Mindlin, S. Z.; Petrova, M. A.</t>
  </si>
  <si>
    <t>On the Origin and Distribution of Antibiotic Resistance: Permafrost Bacteria Studies</t>
  </si>
  <si>
    <t>MOLECULAR GENETICS MICROBIOLOGY AND VIROLOGY</t>
  </si>
  <si>
    <t>review; permafrost; antibiotic resistance; plasmids; transposons; integrons</t>
  </si>
  <si>
    <t>GRAM-NEGATIVE BACTERIA; CULTURE-INDEPENDENT METHODS; METALLO-BETA-LACTAMASE; AMINOGLYCOSIDE RESISTANCE; MOLECULAR CHARACTERIZATION; KLEBSIELLA-PNEUMONIAE; SIBERIAN PERMAFROST; MICROBIAL DIVERSITY; CLASS-1 INTEGRONS; MOBILE DNA</t>
  </si>
  <si>
    <t>The presented review summarizes the data obtained during the study of antibiotic-resistant bacteria isolated from the Arctic and Antarctic permafrost sediments. Comparative analysis of the molecular structure of the ancient environmental and modern clinical genes of resistance to beta-lactams, streptomycin, spectinomycin, vancomycin, tetracycline, and sulfanilamides revealed a high level of their similarity, in some cases reaching 100%. The molecular structure of ancient bacterial plasmids carrying antibiotic resistance determinants was considered and compared with the plasmid structure of modern bacteria. A wide distribution of small plasmids among modern bacteria closely related to the ancient Acinetobacter plasmid carrying an autonomous streptomycin/spectinomycin resistance gene aadA27 has been revealed. The ancient integron structure, which agrees with the description of the hypothetical ancestor of the integrons of the subgroup aadA2, was described. By the examples of the Tn3 family transposons (Tn5393 and Tn21 subgroups) various mechanisms of formation of complex transposons simultaneously carrying several antibiotic-resistance genes were discussed. In particular, an important role of integrons in formation of complex transposons is demonstrated, and numerous cases of independent insertion of integrons with diverse cassette antibiotic-resistance genes into various base transposons of the Tn3 family are presented. Separately, the origin of the complex transposons of the Tn21 subgroup is discussed with the goal of revealing all the simple mobile elements, base ancestors for their formation, in permafrost. Together, the data presented are considered convincing evidence of the origin of both the clinical genes for antibiotic resistance and the mobile elements carrying them from the resistance determinants of bacteria inhabiting natural ecosystems.</t>
  </si>
  <si>
    <t>[Mindlin, S. Z.; Petrova, M. A.] Russian Acad Sci, Inst Mol Genet, Moscow 123182, Russia</t>
  </si>
  <si>
    <t>Russian Academy of Sciences</t>
  </si>
  <si>
    <t>Mindlin, SZ (corresponding author), Russian Acad Sci, Inst Mol Genet, Moscow 123182, Russia.</t>
  </si>
  <si>
    <t>mindlin@img.ras.ru</t>
  </si>
  <si>
    <t>Petrova, Mayya A/J-5386-2018</t>
  </si>
  <si>
    <t>Russian Foundation for Basic Research [05-04-49372, 08-04-00263, 11-04-01217, 14-04-01917]; Presidium of the Russian Academy of Sciences</t>
  </si>
  <si>
    <t>Russian Foundation for Basic Research(Russian Foundation for Basic Research (RFBR)Spanish Government); Presidium of the Russian Academy of Sciences(Russian Academy of Sciences)</t>
  </si>
  <si>
    <t>This work was supported in part by the Russian Foundation for Basic Research (projects nos. 05-04-49372, 08-04-00263, 11-04-01217, and 14-04-01917) and Program of the Presidium of the Russian Academy of Sciences Molecular and Cellular Biology (grant to A. V. Kulbachinskiy).</t>
  </si>
  <si>
    <t>ALLERTON PRESS INC</t>
  </si>
  <si>
    <t>18 WEST 27TH ST, NEW YORK, NY 10001 USA</t>
  </si>
  <si>
    <t>0891-4168</t>
  </si>
  <si>
    <t>1934-841X</t>
  </si>
  <si>
    <t>MOL GENET MICROBIOL+</t>
  </si>
  <si>
    <t>Mol. Genet. Microbiol. Virol.</t>
  </si>
  <si>
    <t>10.3103/S0891416817040048</t>
  </si>
  <si>
    <t>Biochemistry &amp; Molecular Biology; Microbiology</t>
  </si>
  <si>
    <t>GH6QU</t>
  </si>
  <si>
    <t>WOS:000433569900001</t>
  </si>
  <si>
    <t>Newsham, KK; Eidesen, PB; Davey, ML; Axelsen, J; Courtecuisse, E; Flintrop, C; Johansson, AG; Kiepert, M; Larsen, SE; Lorberau, KE; Maurset, M; McQuilkin, J; Misiak, M; Pop, A; Thompson, S; Read, DJ</t>
  </si>
  <si>
    <t>Newsham, K. K.; Eidesen, P. B.; Davey, M. L.; Axelsen, J.; Courtecuisse, E.; Flintrop, C.; Johansson, A. G.; Kiepert, M.; Larsen, S. E.; Lorberau, K. E.; Maurset, M.; McQuilkin, J.; Misiak, M.; Pop, A.; Thompson, S.; Read, D. J.</t>
  </si>
  <si>
    <t>Arbuscular mycorrhizas are present on Spitsbergen</t>
  </si>
  <si>
    <t>MYCORRHIZA</t>
  </si>
  <si>
    <t>Arbuscular mycorrhizas; High Arctic; Spitsbergen; Svalbard</t>
  </si>
  <si>
    <t>FUNGI; COLONIZATION</t>
  </si>
  <si>
    <t>A previous study of 76 plant species on Spitsbergen in the High Arctic concluded that structures resembling arbuscular mycorrhizas were absent from roots. Here, we report a survey examining the roots of 13 grass and forb species collected from 12 sites on the island for arbuscular mycorrhizal (AM) colonisation. Of the 102 individuals collected, we recorded AM endophytes in the roots of 41 plants of 11 species (Alopecurus ovatus, Deschampsia alpina, Festuca rubra ssp. richardsonii, putative viviparous hybrids of Poa arctica and Poa pratensis, Poa arctica ssp. arctica, Trisetum spicatum, Coptidium spitsbergense, Ranunculus nivalis, Ranunculus pygmaeus, Ranunculus sulphureus and Taraxacum arcticum) sampled from 10 sites. Both coarse AM endophyte, with hyphae of 5-10 mu m width, vesicles and occasional arbuscules, and fine endophyte, consisting of hyphae of 1-3 mu m width and sparse arbuscules, were recorded in roots. Coarse AM hyphae, vesicles, arbuscules and fine endophyte hyphae occupied 1.0-30.7, 0.8-18.3, 0.7-11.9 and 0.7-12.8% of the root lengths of colonised plants, respectively. Principal component analysis indicated no associations between the abundances of AM structures in roots and edaphic factors. We conclude that the AM symbiosis is present in grass and forb roots on Spitsbergen.</t>
  </si>
  <si>
    <t>[Newsham, K. K.; Eidesen, P. B.; Davey, M. L.; Axelsen, J.; Courtecuisse, E.; Flintrop, C.; Johansson, A. G.; Kiepert, M.; Larsen, S. E.; Lorberau, K. E.; Maurset, M.; McQuilkin, J.; Misiak, M.; Pop, A.; Thompson, S.; Read, D. J.] Univ Ctr Svalbard, Dept Arctic Biol, POB 156, N-9171 Longyearbyen, Svalbard, Norway; [Newsham, K. K.] British Antarctic Survey, Nat Environm Res Council, Madingley Rd, Cambridge CB3 0ET, England; [Read, D. J.] Univ Sheffield, Dept Anim &amp; Plant Sci, Western Bank, Sheffield S10 2TN, S Yorkshire, England</t>
  </si>
  <si>
    <t>University Centre Svalbard (UNIS); UK Research &amp; Innovation (UKRI); Natural Environment Research Council (NERC); NERC British Antarctic Survey; University of Sheffield</t>
  </si>
  <si>
    <t>Newsham, KK (corresponding author), Univ Ctr Svalbard, Dept Arctic Biol, POB 156, N-9171 Longyearbyen, Svalbard, Norway.;Newsham, KK (corresponding author), British Antarctic Survey, Nat Environm Res Council, Madingley Rd, Cambridge CB3 0ET, England.</t>
  </si>
  <si>
    <t>kne@bas.ac.uk</t>
  </si>
  <si>
    <t>Davey, Marie Louise/AAC-8282-2020; Read, David J/C-2454-2013</t>
  </si>
  <si>
    <t>Davey, Marie Louise/0000-0003-3911-8770; Flintrop, Clara/0000-0002-5711-0521</t>
  </si>
  <si>
    <t>University Centre in Svalbard (UNIS) [AB-336/836]; Natural Environment Research Council [bas0100036] Funding Source: researchfish; NERC [bas0100036] Funding Source: UKRI</t>
  </si>
  <si>
    <t>University Centre in Svalbard (UNIS); Natural Environment Research Council(UK Research &amp; Innovation (UKRI)Natural Environment Research Council (NERC)); NERC(UK Research &amp; Innovation (UKRI)Natural Environment Research Council (NERC))</t>
  </si>
  <si>
    <t>The University Centre in Svalbard (UNIS) provided financial support for this study through its Arctic Mycology course (AB-336/836). The UNIS Logistics Department and Nick Cox of the UK Arctic Research Station provided boat access to Kapp Linne, Colesdalen, Kvadehuken and Ossian Sars. The Governor of Svalbard permitted the collection of plants and soils, and Professor Steve Coulson gave advice on sampling locations. Iva Pitelkova and Professors Ulrik Sochting and Kirsten Christoffersen helped to collect plants and soils, Laura Gerrish drew the map shown in Online Resource 1 and Katherine Francis helped to prepare soil samples. Manisha Patel of CEH Lancaster performed P determinations, and Professor Henry Vare (University of Helsinki) provided helpful information. The editor and two anonymous reviewers provided helpful comments. All are gratefully acknowledged.</t>
  </si>
  <si>
    <t>0940-6360</t>
  </si>
  <si>
    <t>1432-1890</t>
  </si>
  <si>
    <t>Mycorrhiza</t>
  </si>
  <si>
    <t>10.1007/s00572-017-0785-9</t>
  </si>
  <si>
    <t>Plant Sciences; Mycology</t>
  </si>
  <si>
    <t>FG2JE</t>
  </si>
  <si>
    <t>WOS:000409922700009</t>
  </si>
  <si>
    <t>Griffiths, HJ; Meijers, AJS; Bracegirdle, TJ</t>
  </si>
  <si>
    <t>Griffiths, Huw J.; Meijers, Andrew J. S.; Bracegirdle, Thomas J.</t>
  </si>
  <si>
    <t>More losers than winners in a century of future Southern Ocean seafloor warming</t>
  </si>
  <si>
    <t>NATURE CLIMATE CHANGE</t>
  </si>
  <si>
    <t>MODELS HISTORICAL BIAS; CLIMATE-CHANGE; BIODIVERSITY; TEMPERATURE; CMIP5; VULNERABILITY; RESPONSES; IMPACT</t>
  </si>
  <si>
    <t>The waters of the Southern Ocean are projected to warm over the coming century, with potential adverse consequences for native cold-adapted organisms. Warming waters have caused temperate marine species to shift their ranges poleward. The seafloor animals of the Southern Ocean shelf have long been isolated by the deep ocean surrounding Antarctica and the Antarctic Circumpolar Current, with little scope for southward migration. How these largely endemic species will react to future projected warming is unknown. By considering 963 invertebrate species, we show that within the current century, warming temperatures alone are unlikely to result in wholesale extinction or invasion affecting Antarctic seafloor life. However, 79% of Antarctica's endemic species do face a significant reduction in suitable temperature habitat (an average 12% reduction). Our findings highlight the species and regions most likely to respond significantly (negatively and positively) to warming and have important implications for future management of the region.</t>
  </si>
  <si>
    <t>[Griffiths, Huw J.; Meijers, Andrew J. S.; Bracegirdle, Thomas J.] British Antarctic Survey, Cambridge CB3 0ET, England</t>
  </si>
  <si>
    <t>UK Research &amp; Innovation (UKRI); Natural Environment Research Council (NERC); NERC British Antarctic Survey</t>
  </si>
  <si>
    <t>Griffiths, HJ (corresponding author), British Antarctic Survey, Cambridge CB3 0ET, England.</t>
  </si>
  <si>
    <t>hjg@bas.ac.uk</t>
  </si>
  <si>
    <t>Bracegirdle, Tom/AAD-6060-2020; Griffiths, Huw J/D-4234-2009</t>
  </si>
  <si>
    <t>Griffiths, Huw J/0000-0003-1764-223X</t>
  </si>
  <si>
    <t>NERC [NE/N018095/1]; NERC [bas0100036, NE/N018095/1] Funding Source: UKRI; Natural Environment Research Council [NE/N018095/1, bas0100036] Funding Source: researchfish</t>
  </si>
  <si>
    <t>NERC(UK Research &amp; Innovation (UKRI)Natural Environment Research Council (NERC)); NERC(UK Research &amp; Innovation (UKRI)Natural Environment Research Council (NERC)); Natural Environment Research Council(UK Research &amp; Innovation (UKRI)Natural Environment Research Council (NERC))</t>
  </si>
  <si>
    <t>The authors would like to thank A. Post, C. Waller, K. Linse, S. Thorpe, J. Turner and D. Vaughan for their useful advice. We thank all of the contributors of data and expert knowledge to the SCAR Biogeographic Atlas of the Southern Ocean. We thank A. Van de Putte for helping to prepare the species occurrence data. We acknowledge the World Climate Research Programme's Working Group on Coupled Modelling, which is responsible for CMIP, and we thank the climate modelling groups for producing and making available their model output. This paper contributes to the SCAR 'State of the Antarctic Ecosystem' (AntEco) and 'Antarctic Climate Change in the 21st Century' (AntClim21) programmes. A.J.S.M. was supported by NERC grant NE/N018095/1 (Ocean Regulation of Climate by Heat and Carbon Sequestration and Transports; ORCHESTRA).</t>
  </si>
  <si>
    <t>1758-678X</t>
  </si>
  <si>
    <t>1758-6798</t>
  </si>
  <si>
    <t>NAT CLIM CHANGE</t>
  </si>
  <si>
    <t>Nat. Clim. Chang.</t>
  </si>
  <si>
    <t>10.1038/NCLIMATE3377</t>
  </si>
  <si>
    <t>Environmental Sciences; Environmental Studies; Meteorology &amp; Atmospheric Sciences</t>
  </si>
  <si>
    <t>FI5FL</t>
  </si>
  <si>
    <t>WOS:000412007700023</t>
  </si>
  <si>
    <t>Gu, SF; Liu, ZY; Zhang, JX; Rempfer, J; Joos, F; Oppo, DW</t>
  </si>
  <si>
    <t>Gu, Sifan; Liu, Zhengyu; Zhang, Jiaxu; Rempfer, Johannes; Joos, Fortunat; Oppo, Delia W.</t>
  </si>
  <si>
    <t>Coherent Response of Antarctic Intermediate Water and Atlantic Meridional Overturning Circulation During the Last Deglaciation: Reconciling Contrasting Neodymium Isotope Reconstructions From the Tropical Atlantic</t>
  </si>
  <si>
    <t>AAIW; AMOC; deglacial; neodymium isotope; paleocirculation tracer</t>
  </si>
  <si>
    <t>BRAZIL CURRENT TRANSPORT; NORTH-ATLANTIC; SOUTHERN-OCEAN; SEA-ICE; THERMOHALINE CIRCULATION; MARINE-SEDIMENTS; ND; SEAWATER; SR; MODEL</t>
  </si>
  <si>
    <t>Antarctic Intermediate Water (AAIW) plays important roles in the global climate system and the global ocean nutrient and carbon cycles. However, it is unclear how AAIW responds to global climate changes. In particular, neodymium isotopic composition (epsilon(Nd)) reconstructions from different locations from the tropical Atlantic have led to a debate on the relationship between northward penetration of AAIW into the tropical Atlantic and the Atlantic meridional overturning circulation (AMOC) variability during the last deglaciation. We resolve this controversy by studying the transient oceanic evolution during the last deglaciation using a neodymium-enabled ocean model. Our results suggest a coherent response of AAIW and AMOC: when AMOC weakens, the northward penetration and transport of AAIW decrease while its depth and thickness increase. Our study highlights that as part of the return flow of the North Atlantic Deep Water, the northward penetration of AAIW in the Atlantic is determined predominately by AMOC intensity. Moreover, the inconsistency among different tropical Atlantic epsilon(Nd) reconstructions is reconciled by considering their corresponding core locations and depths, which were influenced by different water masses in the past. The very radiogenic water from the bottom of the Gulf of Mexico and the Caribbean Sea, which was previously overlooked in the interpretations of deglacial epsilon(Nd) variability, can be transported to shallow layers during active AMOC and modulates epsilon(Nd) in the tropical Atlantic. Changes in the AAIW core depth must also be considered. Thus, interpretation of epsilon(Nd) reconstructions from the tropical Atlantic is more complicated than suggested in previous studies.</t>
  </si>
  <si>
    <t>[Gu, Sifan; Liu, Zhengyu; Zhang, Jiaxu] Univ Wisconsin Madison, Dept Atmospher &amp; Ocean Sci, Madison, WI USA; [Liu, Zhengyu] Ohio State Univ, Dept Geog, Atmospher Sci Program, Columbus, OH 43210 USA; [Zhang, Jiaxu; Joos, Fortunat] Los Alamos Natl Lab, Computat Phys &amp; Methods, Los Alamos, NM USA; [Zhang, Jiaxu; Joos, Fortunat] Los Alamos Natl Lab, Ctr Nonlinear Studies, Los Alamos, NM USA; [Rempfer, Johannes] Univ Bern, Inst Phys, Climate &amp; Environm Phys, Bern, Switzerland; [Rempfer, Johannes] Univ Bern, Oeschger Ctr Climate Change Res, Bern, Switzerland; [Oppo, Delia W.] Woods Hole Oceanog Inst, Dept Geol &amp; Geophys, Woods Hole, MA 02543 USA</t>
  </si>
  <si>
    <t>University of Wisconsin System; University of Wisconsin Madison; University System of Ohio; Ohio State University; United States Department of Energy (DOE); Los Alamos National Laboratory; United States Department of Energy (DOE); Los Alamos National Laboratory; University of Bern; University of Bern; Woods Hole Oceanographic Institution</t>
  </si>
  <si>
    <t>Gu, SF; Liu, ZY (corresponding author), Univ Wisconsin Madison, Dept Atmospher &amp; Ocean Sci, Madison, WI USA.;Liu, ZY (corresponding author), Ohio State Univ, Dept Geog, Atmospher Sci Program, Columbus, OH 43210 USA.</t>
  </si>
  <si>
    <t>sgu28@wisc.edu; zliu3@wisc.edu</t>
  </si>
  <si>
    <t>Zhang, Jiaxu/J-9571-2019; Joos, Fortunat/B-4118-2018</t>
  </si>
  <si>
    <t>Zhang, Jiaxu/0000-0002-8564-3026; Joos, Fortunat/0000-0002-9483-6030; Gu, Sifan/0000-0002-7605-5353; Oppo, Delia/0000-0003-2946-5904</t>
  </si>
  <si>
    <t>NSF P2C2 [NSF1401778, NSF1401802]; DOE [DE-SC0006744]; NSFC [41630527, 41130105]; Swiss National Science Foundation; WHOI Investing in Science Program; NSF; U.S. DOE the RGCM program; CNLS - LDRD; National Science Foundation; U.S. Department of Energy (DOE) [DE-SC0006744] Funding Source: U.S. Department of Energy (DOE); Directorate For Geosciences; Div Atmospheric &amp; Geospace Sciences [1401803] Funding Source: National Science Foundation</t>
  </si>
  <si>
    <t>NSF P2C2(National Science Foundation (NSF)NSF - Directorate for Geosciences (GEO)); DOE(United States Department of Energy (DOE)); NSFC(National Natural Science Foundation of China (NSFC)); Swiss National Science Foundation(Swiss National Science Foundation (SNSF)); WHOI Investing in Science Program; NSF(National Science Foundation (NSF)); U.S. DOE the RGCM program(United States Department of Energy (DOE)); CNLS - LDRD; National Science Foundation(National Science Foundation (NSF)); U.S. Department of Energy (DOE)(United States Department of Energy (DOE)); Directorate For Geosciences; Div Atmospheric &amp; Geospace Sciences(National Science Foundation (NSF)NSF - Directorate for Geosciences (GEO))</t>
  </si>
  <si>
    <t>We are especially grateful to two reviewers and the Editor for their constructive comments. We thank B. Otto-Bliesner and E. Brady for their support of the work, and we thank J. Zhu for helpful discussions. This study was supported by the NSF P2C2 (NSF1401778 and NSF1401802), DOE DE-SC0006744, and NSFC 41630527 and 41130105. F. J. acknowledges support by the Swiss National Science Foundation. D. O. acknowledges support from the WHOI Investing in Science Program and the NSF. J. Z. acknowledges support from U.S. DOE the RGCM program and CNLS sponsored by LDRD. Computing resources (ark:/85065/d7wd3xhc) were provided by the Climate Simulation Laboratory at NCAR's Computational and Information Systems Laboratory (CISL), sponsored by the National Science Foundation and other agencies. Data used to produce the results in this study can be obtained from HPSS at CISL: /home/sgu28/iPOP_TRACE.</t>
  </si>
  <si>
    <t>10.1002/2017PA003092</t>
  </si>
  <si>
    <t>Green Published, Green Submitted, Bronze</t>
  </si>
  <si>
    <t>WOS:000414911700003</t>
  </si>
  <si>
    <t>Dauner, ALL; MacCormack, WP; Hernández, EA; Martins, CC</t>
  </si>
  <si>
    <t>Dauner, Ana Lucia L.; MacCormack, Walter P.; Hernandez, Edgardo A.; Martins, Cesar C.</t>
  </si>
  <si>
    <t>Sources and distribution of biomarkers in surficial sediments from a polar marine ecosystem (Potter Cove, King George Island, Antarctica)</t>
  </si>
  <si>
    <t>n-Alkanols; Sterols; Organic matter; Antarctica</t>
  </si>
  <si>
    <t>SOUTH SHETLAND ISLANDS; ORGANIC-MATTER; ADMIRALTY BAY; LINEAR ALKYLBENZENES; COASTAL SEDIMENTS; LIPID BIOMARKERS; OCEAN SEDIMENTS; SEWAGE INPUT; STEROLS; ESTUARY</t>
  </si>
  <si>
    <t>Sedimentary organic matter (OM) represents the energy supply for the shelf benthos at the Antarctic Ocean, and has yet to be properly characterized in terms of sources and composition for the Potter Cove region, King George/25 de Mayo Island. This energy input occurs mainly during the brief summer and provides the majority of available energy for the year, in a region with high endemism and limited source variety of sedimentary OM. Thus, the aim of this study is to identify the OM origin and degradation degree based on the spatial distribution and type of organic biomarkers. Twelve surficial sediment samples were collected and analyzed for the presence of n-alkanols and sterols. The different spatial patterns between the analyzed compounds indicated distinct OM sources and degradation degrees. First, relatively fresh phytoplankton organic matter and an enhanced bacterial activity were associated with the occurrence of seaweeds detritus and represent the source of n-alkanols. Second, relatively fresh material mainly associated with seaweeds debris were identified as the source of macroalgae sterols. Our results shed some light into the base of the Potter Cove trophic benthic chain and increase our understanding on the region's biogeochemical processes relating to OM recycling. It also provides a baseline for assessing future changes in the structure of the benthic food web in this environment, which is subject to noticeable glaciers retreat.</t>
  </si>
  <si>
    <t>[Dauner, Ana Lucia L.; Martins, Cesar C.] Univ Fed Parana, Ctr Estudos Mar, POB 61, BR-83255976 Pontal Do Parana, PR, Brazil; [Dauner, Ana Lucia L.] Univ Fed Parana, Programa Posgrad Sistemas Costeiros &amp; Ocean PGSIS, POB 61, BR-83255976 Pontal Do Parana, PR, Brazil; [MacCormack, Walter P.; Hernandez, Edgardo A.] Univ Buenos Aires, Fac Farm &amp; Bioquim, Catedra Biotecnol, Junin 956 Piso 6,C1113AAD, Buenos Aires, DF, Argentina; [MacCormack, Walter P.; Hernandez, Edgardo A.] Univ Buenos Aires, Inst Nanobiotecnol, UBA CONICET, Junin 956 Piso 6,C1113AAD, Buenos Aires, DF, Argentina; [MacCormack, Walter P.; Hernandez, Edgardo A.] Direcc Nacl Antartico, Inst Antartico Argentino, Balcarce 290,C1064AAF, Buenos Aires, DF, Argentina</t>
  </si>
  <si>
    <t>Universidade Federal do Parana; University of Buenos Aires; Consejo Nacional de Investigaciones Cientificas y Tecnicas (CONICET); University of Buenos Aires; Instituto Antartico Argentino</t>
  </si>
  <si>
    <t>Dauner, ALL; Martins, CC (corresponding author), Univ Fed Parana, Ctr Estudos Mar, POB 61, BR-83255976 Pontal Do Parana, PR, Brazil.;Dauner, ALL (corresponding author), Univ Fed Parana, Programa Posgrad Sistemas Costeiros &amp; Ocean PGSIS, POB 61, BR-83255976 Pontal Do Parana, PR, Brazil.</t>
  </si>
  <si>
    <t>anadauner@gmail.com; ccmart@ufpr.br</t>
  </si>
  <si>
    <t>de Castro Martins, Cesar C/I-1086-2012; Dauner, Ana Lúcia Lindroth/AAF-1544-2021</t>
  </si>
  <si>
    <t>Dauner, Ana Lúcia Lindroth/0000-0002-9686-6241; Mac Cormack, Walter/0000-0002-5280-5463; de Castro Martins, Cesar/0000-0002-2515-5565</t>
  </si>
  <si>
    <t>CNPq [121444/2010-4]; CAPES (Coordenacao de Aperfeicoamento de Pessoal de Ensino Superior); CNPq (National Council for Scientific and Technological Development) [305763/2011-3]; European Commission [318718]; ANPCyT (Agencia Nacional de Promocion Cientifica y Tecnologica) [PICTO 2010-0124]; UBA (Universidad de Buenos Aires CyT) [20020100100378]</t>
  </si>
  <si>
    <t>CNPq(Conselho Nacional de Desenvolvimento Cientifico e Tecnologico (CNPQ)); CAPES (Coordenacao de Aperfeicoamento de Pessoal de Ensino Superior)(Coordenacao de Aperfeicoamento de Pessoal de Nivel Superior (CAPES)); CNPq (National Council for Scientific and Technological Development)(Conselho Nacional de Desenvolvimento Cientifico e Tecnologico (CNPQ)); European Commission(European Union (EU)European Commission Joint Research Centre); ANPCyT (Agencia Nacional de Promocion Cientifica y Tecnologica)(ANPCyT); UBA (Universidad de Buenos Aires CyT)</t>
  </si>
  <si>
    <t>A.L.L. Dauner is thankful to CNPq (121444/2010-4) for the B.Sc. scholarship, to CAPES (Coordenacao de Aperfeicoamento de Pessoal de Ensino Superior) for the M.Sc. scholarship and to Mihael Machado de Souza for the English revision. C.C. Martins is grateful to CNPq (National Council for Scientific and Technological Development) for the Research Grant (305763/2011-3). This study is related to the Brazilian National Science and Technology Institute on Antarctic Environmental Research (INCT-APA, FAPERJ E-16/170023/2008). W.P. Mac Cormack and E.A. Hernandez thanks the financial support from the European Commission through the Marie Curie Action IRSES, project no 318718, IMCONet (Interdisciplinary Modelling of climate change in coastal Western Antarctica-Network for staff Exchange and Training) also to the grants PICTO 2010-0124 from the ANPCyT (Agencia Nacional de Promocion Cientifica y Tecnologica) and the UBA (Universidad de Buenos Aires CyT 20020100100378).</t>
  </si>
  <si>
    <t>10.1007/s00300-017-2120-5</t>
  </si>
  <si>
    <t>WOS:000411873100008</t>
  </si>
  <si>
    <t>Eastman, JT</t>
  </si>
  <si>
    <t>Eastman, Joseph T.</t>
  </si>
  <si>
    <t>Bathymetric distributions of notothenioid fishes</t>
  </si>
  <si>
    <t>Antarctic; Sub-Antarctic; Non-Antarctic; Mean maximum depth; Depth range; Eurybathy</t>
  </si>
  <si>
    <t>ANTARCTIC ICE-SHEET; LAST GLACIAL MAXIMUM; ADAPTIVE RADIATION; SOUTHERN-OCEAN; DEEP-SEA; PERCIFORMES-NOTOTHENIIDAE; TRIMETHYLAMINE OXIDE; HYDROSTATIC-PRESSURE; SPECIES-DIVERSITY; CONTINENTAL-SHELF</t>
  </si>
  <si>
    <t>There has been no comprehensive study of the bathymetry of notothenioid fishes. Therefore, I analyzed minimum and maximum depths and depth ranges for 128 of 142 species that collectively range from 0 to ae3000 m. Means (and medians) for maximum depths are 176 m (75 m) for non-Antarctic, 511 m (360 m) for sub-Antarctic, and 963 m (899 m) for Antarctic species; medians are significantly different. Means (and medians) for depth ranges for the three groups are 140 (55 m), 470 (345 m), and 727 m (714 m), respectively, with significantly different medians. The mean maximum depths for the Cryonotothenioidea are: Nototheniidae-525 m, Harpagiferidae-88 m, Artedidraconidae-906 m, Bathydraconidae-1165 m, and Channichthyidae-910 m. If five species of Bathydraco, with a mean of 2098 m are excluded, the mean for the Bathydraconidae is 741 m. With the exceptions of the harpagiferids and Bathydraco, there is overlap of the 95% confidence intervals for the means of other families. Thirteen Antarctic and sub-Antarctic species with maximum depths and/or depth ranges 1500 m are especially deep-living: four nototheniids, four species of Bathydraco, three species of Pogonophryne, and two channichthyids. The most common depth range is 0-50 m for non-Antarctic, 200-400 m for sub-Antarctic and 600-800 m for Antarctic species. Three species have depth ranges &gt; 2000 m. Species diversity peaks at 50 m for non-Antarctic, 100 m for sub-Antarctic, and 500 m for Antarctic species. Notothenioids are not eurybathic compared with older deep-sea taxa but are eurybathic relative to marine percomorphs.</t>
  </si>
  <si>
    <t>[Eastman, Joseph T.] Ohio Univ, Dept Biomed Sci, Athens, OH 45701 USA</t>
  </si>
  <si>
    <t>University System of Ohio; Ohio University</t>
  </si>
  <si>
    <t>Eastman, JT (corresponding author), Ohio Univ, Dept Biomed Sci, Athens, OH 45701 USA.</t>
  </si>
  <si>
    <t>eastman@ohiou.edu</t>
  </si>
  <si>
    <t>Eastman, Joseph T./O-6150-2019</t>
  </si>
  <si>
    <t>Eastman, Joseph T./0000-0003-3868-261X</t>
  </si>
  <si>
    <t>NSF ANT [04-36190]</t>
  </si>
  <si>
    <t>NSF ANT(National Science Foundation (NSF))</t>
  </si>
  <si>
    <t>For answering my questions and for providing information and advice, I am most grateful to: A.V. Balushkin (ZIN), Tim Berra (Ohio State-Mansfield), Romain Causse (MNHN), Guy Duhamel (MNHN), Richard Eakin, Rick Feeney (LACM), Jesus Matallanas (AUB), Andrey Petrov (VNIROA), David Stein (Oregon State), Andrew Stewart (NMNZ). I also thank Richard Eakin for his reading of and helpful comments on the manuscript. I especially appreciate the constructive comments and corrections from the formal manuscript reviewers including Guy Duhamel and Tetsuo Iwami. Supported by NSF ANT 04-36190.</t>
  </si>
  <si>
    <t>10.1007/s00300-017-2128-x</t>
  </si>
  <si>
    <t>WOS:000411873100014</t>
  </si>
  <si>
    <t>Terhune, JM</t>
  </si>
  <si>
    <t>Terhune, John M.</t>
  </si>
  <si>
    <t>Through-ice communication by Weddell seals (Leptonychotes weddellii) is possible</t>
  </si>
  <si>
    <t>Weddell seals; Vocal communication; Breeding behaviour; Leptonychotes weddellii</t>
  </si>
  <si>
    <t>CRITICAL RATIO MEASUREMENTS; AMPHIBIOUS HEARING; UNDERWATER VOCALIZATIONS; AERIAL AUDIOGRAMS; AIR</t>
  </si>
  <si>
    <t>Based on prior knowledge of the in-air hearing thresholds of seals at the time, Terhune (Polar Biol 27:810-812, 2004) suggested that Weddell seals (Leptonychotes weddellii) likely could not hear underwater calls, while they were on the ice. However, recent data on phocid hearing thresholds in the air reveal that seals have much lower detection thresholds than previously thought. A re-analysis of the situation using the lower hearing threshold data finds that many of the Weddell seal underwater calls, especially those with high-frequency components, will be audible to seals resting on the ice. Territorial males vocally defending territories under the ice during the breeding season may also be communicating with females on the ice directly above them. This communication may facilitate later mating success of those males.</t>
  </si>
  <si>
    <t>[Terhune, John M.] Univ New Brunswick, Dept Biol Sci, 100 Tucker Pk Rd, St John E2L 4L5, NB, Canada</t>
  </si>
  <si>
    <t>University of New Brunswick</t>
  </si>
  <si>
    <t>Terhune, JM (corresponding author), Univ New Brunswick, Dept Biol Sci, 100 Tucker Pk Rd, St John E2L 4L5, NB, Canada.</t>
  </si>
  <si>
    <t>terhune@unb.ca</t>
  </si>
  <si>
    <t>Terhune, John/0000-0002-2661-7389</t>
  </si>
  <si>
    <t>Australian Antarctic Division; Natural Sciences and Engineering Research Council of Canada</t>
  </si>
  <si>
    <t>Australian Antarctic Division; Natural Sciences and Engineering Research Council of Canada(Natural Sciences and Engineering Research Council of Canada (NSERC)CGIAR)</t>
  </si>
  <si>
    <t>The Australian Antarctic Division and the Natural Sciences and Engineering Research Council of Canada provided the initial logistical and financial support. The Davis expeditioners of 1997, H.R. Burton and J.M. Sills are thanked for their assistance.</t>
  </si>
  <si>
    <t>10.1007/s00300-017-2124-1</t>
  </si>
  <si>
    <t>WOS:000411873100020</t>
  </si>
  <si>
    <t>Moffat-Griffin, T; Wright, CJ; Moss, AC; King, JC; Colwell, SR; Hughes, JK; Mitchell, NJ</t>
  </si>
  <si>
    <t>Moffat-Griffin, Tracy; Wright, Corwin J.; Moss, Andrew C.; King, John C.; Colwell, Steve R.; Hughes, John K.; Mitchell, Nicholas J.</t>
  </si>
  <si>
    <t>The South Georgia Wave Experiment (SG-WEX): radiosonde observations of gravity waves in the lower stratosphere. Part I: Energy density, momentum flux and wave propagation direction</t>
  </si>
  <si>
    <t>QUARTERLY JOURNAL OF THE ROYAL METEOROLOGICAL SOCIETY</t>
  </si>
  <si>
    <t>gravity waves; lower stratosphere; radiosondes; ANGWIN (ANtarctic Gravity Wave Instrument Network)</t>
  </si>
  <si>
    <t>MIDDLE-ATMOSPHERE; MACQUARIE ISLAND; CLIMATE MODELS; WIND</t>
  </si>
  <si>
    <t>Gravity waves play a critical role in the transport of energy and momentum throughout the atmosphere. It has been suggested that small mountainous islands located in regions of strong winds may generate significant fluxes of these waves. Such fluxes would be important because these islands are not well resolved in global circulation models. Thus, there is a need to determine the magnitude and variability of gravity waves generated from such islands: South Georgia (54 degrees S, 37 degrees W) has the highest mountains of these islands. Here, we present the first report of gravity waves measured by radiosondes over South Georgia. The measurements were made in two intensive campaigns as part of the South Georgia Wave EXperiment (SG-WEX), a multi-instrument and modelling campaign investigating gravity waves above South Georgia. The two intensive radiosonde campaigns were held in 2015, one in January and one in June/July, totalling 89 successful launches. We use these new observations to determine gravity-wave properties in the lower stratosphere. The summer campaign observed an average wave energy density (kinetic + potential + vertical) of 3.6 J kg(-1) and an average pseudo-momentum flux of 2.3 mPa. In the winter campaign the values observed were larger: an average wave energy density of 8.4 J kg(-1) and an average pseudo-momentum flux of 8.7 mPa. Strikingly, analysis reveals that in winter 66% of waves were propagating downwards; in summer only 8% did so. These results suggest that there may be additional sources of waves in the winter stratosphere. We propose that the differences between wave properties observed during the summer and winter campaigns are due to a complex combination of factors including differences in surface wind conditions (linked to orographic wave generation), frequency of storms and the proximity of the polar stratospheric jet. These results demonstrate a large increase in gravity-wave activity in winter above South Georgia.</t>
  </si>
  <si>
    <t>[Moffat-Griffin, Tracy; King, John C.; Colwell, Steve R.] British Antarctic Survey, Atmosphere Ice &amp; Climate Grp, Cambridge, England; [Wright, Corwin J.; Moss, Andrew C.; Mitchell, Nicholas J.] Univ Bath, Ctr Space Atmospher &amp; Ocean Sci, Dept Elect &amp; Elect Engn, Bath, Avon, England; [Hughes, John K.] Univ Leeds, Sch Earth &amp; Environm, Leeds, W Yorkshire, England</t>
  </si>
  <si>
    <t>UK Research &amp; Innovation (UKRI); Natural Environment Research Council (NERC); NERC British Antarctic Survey; University of Bath; University of Leeds</t>
  </si>
  <si>
    <t>Moffat-Griffin, T (corresponding author), British Antarctic Survey, Cambridge CB3 0ET, England.</t>
  </si>
  <si>
    <t>tmof@bas.ac.uk</t>
  </si>
  <si>
    <t>Wright, Corwin/J-4598-2014</t>
  </si>
  <si>
    <t>Wright, Corwin/0000-0003-2496-953X</t>
  </si>
  <si>
    <t>UK Natural Environment Research Council [NE/K012614/1, NE/K012584/1, NE/K015117/1]; government of South Georgia; South Sandwich Islands; NERC PhD studentship; University of Bath; Royal Meteorological Society Legacy Fund; Natural Environment Research Council [NE/K015117/1, NE/K012584/1, bas0100032, NE/K012614/1] Funding Source: researchfish; NERC [bas0100032, NE/K012584/1, NE/K015117/1, NE/K012614/1] Funding Source: UKRI</t>
  </si>
  <si>
    <t>UK Natural Environment Research Council(UK Research &amp; Innovation (UKRI)Natural Environment Research Council (NERC)); government of South Georgia; South Sandwich Islands; NERC PhD studentship(UK Research &amp; Innovation (UKRI)Natural Environment Research Council (NERC)); University of Bath; Royal Meteorological Society Legacy Fund; Natural Environment Research Council(UK Research &amp; Innovation (UKRI)Natural Environment Research Council (NERC)); NERC(UK Research &amp; Innovation (UKRI)Natural Environment Research Council (NERC))</t>
  </si>
  <si>
    <t>The work was supported by the UK Natural Environment Research Council under grants NE/K012614/1, NE/K012584/1 and NE/K015117/1 (the South Georgia Wave Experiment - SG-WEX).; We would like to thank the government of South Georgia and the South Sandwich Islands for their co-operation in the delivery of this grant. In addition we would also like to thank the relevant staff at KEP, BAS and University of Bath for all their help in ensuring the successful delivery of the instrument campaigns.; A. C. Moss (who participated in the first radiosonde campaign) was funded by a NERC PhD studentship, and fieldwork was further supported by contributions from the University of Bath and the Royal Meteorological Society Legacy Fund.</t>
  </si>
  <si>
    <t>0035-9009</t>
  </si>
  <si>
    <t>1477-870X</t>
  </si>
  <si>
    <t>Q J ROY METEOR SOC</t>
  </si>
  <si>
    <t>Q. J. R. Meteorol. Soc.</t>
  </si>
  <si>
    <t>B</t>
  </si>
  <si>
    <t>10.1002/qj.3181</t>
  </si>
  <si>
    <t>FR1AF</t>
  </si>
  <si>
    <t>WOS:000418796900024</t>
  </si>
  <si>
    <t>Soler-Membrives, A; Linse, K; Miller, KJ; Arango, CP</t>
  </si>
  <si>
    <t>Soler-Membrives, Anna; Linse, Katrin; Miller, Karen J.; Arango, Claudia P.</t>
  </si>
  <si>
    <t>Genetic signature of Last Glacial Maximum regional refugia in a circum-Antarctic sea spider</t>
  </si>
  <si>
    <t>ROYAL SOCIETY OPEN SCIENCE</t>
  </si>
  <si>
    <t>Nymphon australe; phylogeography; Southern Ocean; DNA barcoding; population structure</t>
  </si>
  <si>
    <t>COLOSSENDEIS-MEGALONYX HOEK; SOUTHERN-OCEAN; MITOCHONDRIAL LINEAGES; PROMACHOCRINUS-KERGUELENSIS; POPULATION-GROWTH; CONTINENTAL-SHELF; DNA; DIVERSITY; PYCNOGONIDA; RATES</t>
  </si>
  <si>
    <t>The evolutionary history of Antarctic organisms is becoming increasingly important to understand and manage population trajectories under rapid environmental change. The Antarctic sea spider Nymphon australe, with an apparently large population size compared with other sea spider species, is an ideal target to look for molecular signatures of past climatic events. We analysed mitochondrial DNA of specimens collected from the Antarctic continent and two Antarctic islands ( AI) to infer past population processes and understand current genetic structure. Demographic history analyses suggest populations survived in refugia during the Last Glacial Maximum. The high genetic diversity found in the Antarctic Peninsula and East Antarctic (EA) seems related to multiple demographic contraction-expansion events associated with deep-sea refugia, while the low genetic diversity in the Weddell Sea points to a more recent expansion from a shelf refugium. We suggest the genetic structure of N. australe from AI reflects recent colonization from the continent. At a local level, EA populations reveal generally low genetic differentiation, geographically and bathymetrically, suggesting limited restrictions to dispersal. Results highlight regional differences in demographic histories and how these relate to the variation in intensity of glaciation-deglaciation events around Antarctica, critical for the study of local evolutionary processes. These are valuable data for understanding the remarkable success of Antarctic pycnogonids, and how environmental changes have shaped the evolution and diversification of Southern Ocean benthic biodiversity.</t>
  </si>
  <si>
    <t>[Soler-Membrives, Anna] Univ Autonoma Barcelona, Unitat Zool, E-08193 Barcelona, Spain; [Arango, Claudia P.] Queensland Museum, Biodivers &amp; Geosci Program, POB 300, South Brisbane, Qld 4101, Australia; [Linse, Katrin] British Antarctic Survey, Nat Environm Res Council, High Cross,Madingley Rd, Cambridge CB3 0ET, England; [Miller, Karen J.] Indian Ocean Marine Res Ctr Fairway, Australian Inst Marine Sci, Cnr Serv Rd 4, Crawley, WA 6009, Australia</t>
  </si>
  <si>
    <t>Autonomous University of Barcelona; Queensland Museum; UK Research &amp; Innovation (UKRI); Natural Environment Research Council (NERC); NERC British Antarctic Survey; Australian Institute of Marine Science</t>
  </si>
  <si>
    <t>Arango, CP (corresponding author), Queensland Museum, Biodivers &amp; Geosci Program, POB 300, South Brisbane, Qld 4101, Australia.</t>
  </si>
  <si>
    <t>claudia.arango@qm.qld.gov.au</t>
  </si>
  <si>
    <t>Miller, Karen/V-4098-2019; Soler-Membrives, Anna/L-3169-2014; /A-5531-2008</t>
  </si>
  <si>
    <t>Soler-Membrives, Anna/0000-0002-6543-8367; /0000-0003-1098-830X</t>
  </si>
  <si>
    <t>Australian Department of the Environment and Energy through the Australian Antarctic Division, Australian Antarctic Science [AA3010]; Census of Antarctic Marine Life (CAML) [34]; NERC [bas0100036] Funding Source: UKRI; Natural Environment Research Council [bas0100036] Funding Source: researchfish</t>
  </si>
  <si>
    <t>Australian Department of the Environment and Energy through the Australian Antarctic Division, Australian Antarctic Science; Census of Antarctic Marine Life (CAML); NERC(UK Research &amp; Innovation (UKRI)Natural Environment Research Council (NERC)); Natural Environment Research Council(UK Research &amp; Innovation (UKRI)Natural Environment Research Council (NERC))</t>
  </si>
  <si>
    <t>This study was funded by the Australian Department of the Environment and Energy through the Australian Antarctic Division, Australian Antarctic Science grant no. AA3010 to C.P.A. The Census of Antarctic Marine Life (CAML) provided financial support for networking and access to collections (CAML coordination grant no. 34 to C.P.A).</t>
  </si>
  <si>
    <t>2054-5703</t>
  </si>
  <si>
    <t>ROY SOC OPEN SCI</t>
  </si>
  <si>
    <t>R. Soc. Open Sci.</t>
  </si>
  <si>
    <t>10.1098/rsos.170615</t>
  </si>
  <si>
    <t>FL1HP</t>
  </si>
  <si>
    <t>Green Published, Green Accepted, gold</t>
  </si>
  <si>
    <t>WOS:000413965600017</t>
  </si>
  <si>
    <t>Edgar, GJ; Alexander, TJ; Lefcheck, JS; Bates, AE; Kininmonth, SJ; Thomson, RJ; Duffy, JE; Costello, MJ; Stuart-Smith, RD</t>
  </si>
  <si>
    <t>Edgar, Graham J.; Alexander, Timothy J.; Lefcheck, Jonathan S.; Bates, Amanda E.; Kininmonth, Stuart J.; Thomson, Russell J.; Duffy, J. Emmett; Costello, Mark J.; Stuart-Smith, Rick D.</t>
  </si>
  <si>
    <t>Abundance and local-scale processes contribute to multi-phyla gradients in global marine diversity</t>
  </si>
  <si>
    <t>SCIENCE ADVANCES</t>
  </si>
  <si>
    <t>CORAL-REEFS; SEA-URCHIN; LATITUDINAL GRADIENTS; NICHE CONSERVATISM; SPECIES-DIVERSITY; PROTECTED AREAS; MASS MORTALITY; RANGE SHIFTS; FISH; BIODIVERSITY</t>
  </si>
  <si>
    <t>Among themost enduring ecological challenges is an integrated theory explaining the latitudinal biodiversity gradient, including discrepancies observed at different spatial scales. Analysis of Reef Life Survey data for 4127 marine species at 2406 coral and rocky sites worldwide confirms that the total ecoregion richness peaks in low latitudes, near +15 degrees N and -15 degrees S. However, although richness at survey sites is maximal near the equator for vertebrates, it peaks at high latitudes for large mobile invertebrates. Site richness for different groups is dependent on abundance, which is in turn correlated with temperature for fishes and nutrients for macroinvertebrates. We suggest that temperature-mediated fish predation and herbivory have constrained mobile macroinvertebrate diversity at the site scale across the tropics. Conversely, at the ecoregion scale, richness responds positively to coral reef area, highlighting potentially huge global biodiversity losses with coral decline. Improved conservation outcomes require management frameworks, informed by hierarchical monitoring, that cover differing site- and regional-scale processes across diverse taxa, including attention to invertebrate species, which appear disproportionately threatened by warming seas.</t>
  </si>
  <si>
    <t>[Edgar, Graham J.; Stuart-Smith, Rick D.] Univ Tasmania, Inst Marine &amp; Antarctic Studies, Hobart, Tas 7001, Australia; [Alexander, Timothy J.] Swiss Fed Inst Aquat Sci &amp; Technol, Eawag, Ctr Ecol Evolut &amp; Biogeochem, Dept Fish Ecol &amp; Evolut, Seestr 79, CH-6047 Kastanienbaum, Switzerland; [Lefcheck, Jonathan S.] Virginia Inst Marine Sci, Coll William &amp; Mary, Dept Biol Sci, Gloucester Point, VA 23062 USA; [Bates, Amanda E.] Univ Southampton, Ocean &amp; Earth Sci, Natl Oceanog Ctr Southampton, Southampton SO14 3ZH, Hants, England; [Kininmonth, Stuart J.] Stockholm Univ, Stockholm Resilience Ctr, Kraftriket 2B, SE-10691 Stockholm, Sweden; [Kininmonth, Stuart J.] Univ South Pacific, Sch Marine Studies, Suva, Fiji; [Thomson, Russell J.] Western Sydney Univ, Ctr Res Math, Sch Comp Engn &amp; Math, Penrith, NSW 2751, Australia; [Duffy, J. Emmett] Smithsonian Inst, Tennenbaum Marine Observ Network, 647 Contees Wharf Rd, Edgewater, MD 21037 USA; [Costello, Mark J.] Univ Auckland, Inst Marine Sci, Auckland 1142, New Zealand</t>
  </si>
  <si>
    <t>University of Tasmania; Swiss Federal Institutes of Technology Domain; Swiss Federal Institute of Aquatic Science &amp; Technology (EAWAG); William &amp; Mary; Virginia Institute of Marine Science; NERC National Oceanography Centre; University of Southampton; Stockholm University; University of the South Pacific; Western Sydney University; Smithsonian Institution; Smithsonian Environmental Research Center; University of Auckland</t>
  </si>
  <si>
    <t>Edgar, GJ (corresponding author), Univ Tasmania, Inst Marine &amp; Antarctic Studies, Hobart, Tas 7001, Australia.</t>
  </si>
  <si>
    <t>g.edgar@utas.edu.au</t>
  </si>
  <si>
    <t>Bates, Amanda E./ABD-6874-2021; Edgar, Graham/AAY-3797-2020; Stuart-Smith, Rick D/M-1829-2013; Duffy, J. Emmett/ABF-9200-2020; Stuart-Smith, Rick/I-5214-2019; Kininmonth, Stuart/N-9299-2013; Lefcheck, Jonathan/H-8768-2019; Costello, Mark/C-9267-2013; Thomson, Russell/H-5653-2012</t>
  </si>
  <si>
    <t>Bates, Amanda E./0000-0002-0198-4537; Edgar, Graham/0000-0003-0833-9001; Stuart-Smith, Rick D/0000-0002-8874-0083; Duffy, J. Emmett/0000-0001-8595-6391; Stuart-Smith, Rick/0000-0002-8874-0083; Kininmonth, Stuart/0000-0001-9198-3396; Lefcheck, Jonathan/0000-0002-8787-1786; Costello, Mark/0000-0003-2362-0328; Thomson, Russell/0000-0003-4949-4120</t>
  </si>
  <si>
    <t>Commonwealth Environment Research Facilities Program; Australian Research Council [LP100200122]; Institute for Marine and Antarctic Studies; Marine Biodiversity Hub; Australian Government's National Environmental Science Programme; Ian Potter Foundation; CoastWest; National Geographic Society; Wildlife Conservation Society Indonesia; Winston Churchill Memorial Trust; Australian-American Fulbright Commission; ASSEMBLE (Association of European Marine Biological Laboratories); Australian Research Council [LP100200122] Funding Source: Australian Research Council</t>
  </si>
  <si>
    <t>Commonwealth Environment Research Facilities Program; Australian Research Council(Australian Research Council); Institute for Marine and Antarctic Studies; Marine Biodiversity Hub; Australian Government's National Environmental Science Programme(Australian Government); Ian Potter Foundation; CoastWest; National Geographic Society(National Geographic Society); Wildlife Conservation Society Indonesia; Winston Churchill Memorial Trust; Australian-American Fulbright Commission; ASSEMBLE (Association of European Marine Biological Laboratories); Australian Research Council(Australian Research Council)</t>
  </si>
  <si>
    <t>The development of RLS was supported by the former Commonwealth Environment Research Facilities Program, and the analyses were supported by the Australian Research Council (LP100200122), Institute for Marine and Antarctic Studies, and the Marine Biodiversity Hub, a collaborative partnership supported through the Australian Government's National Environmental Science Programme (Project C2). Additional funding and support for field surveys was provided by grants from the Ian Potter Foundation, CoastWest, National Geographic Society, Wildlife Conservation Society Indonesia, Winston Churchill Memorial Trust, Australian-American Fulbright Commission, and ASSEMBLE (Association of European Marine Biological Laboratories).</t>
  </si>
  <si>
    <t>AMER ASSOC ADVANCEMENT SCIENCE</t>
  </si>
  <si>
    <t>1200 NEW YORK AVE, NW, WASHINGTON, DC 20005 USA</t>
  </si>
  <si>
    <t>2375-2548</t>
  </si>
  <si>
    <t>SCI ADV</t>
  </si>
  <si>
    <t>Sci. Adv.</t>
  </si>
  <si>
    <t>e1700419</t>
  </si>
  <si>
    <t>10.1126/sciadv.1700419</t>
  </si>
  <si>
    <t>FP9WA</t>
  </si>
  <si>
    <t>Green Accepted, Green Published, gold</t>
  </si>
  <si>
    <t>WOS:000417998700006</t>
  </si>
  <si>
    <t>Mearns, AJ; Reish, DJ; Oshida, PS; Morrison, AM; Rempel-Hester, MA; Arthur, C; Rutherford, N; Pryor, R</t>
  </si>
  <si>
    <t>Mearns, Alan J.; Reish, Donald J.; Oshida, Philip S.; Morrison, Ann Michelle; Rempel-Hester, Mary Ann; Arthur, Courtney; Rutherford, Nicolle; Pryor, Rachel</t>
  </si>
  <si>
    <t>Effects of Pollution on Marine Organisms</t>
  </si>
  <si>
    <t>WATER ENVIRONMENT RESEARCH</t>
  </si>
  <si>
    <t>Tissue residues; toxicity; bioaccumulation; biomagnification; biomarkers; sediment quality; ecological risk assessment; endocrine disrupters; metals; nano particles; POPs; PCBs; PAHs; PBDEs; radionuclides; pharmaceuticals; personal care products; trace metals; pesticides; biomarkers; marine biocides; oil spills; dispersants; field survey methods; sewage; marine debris; entanglement; dredging; eutrophication; fishing impacts; human disturbance; noise poluution; Arctic; Antarctic; microbes; plankton; invertebrates; fish; birds; turtles; mammals; marshes; mangroves; inter-tidal</t>
  </si>
  <si>
    <t>This review covers selected 2016 articles on the biological effects of pollutants and human physical disturbances on marine and estuarine plants, animals, ecosystems and habitats. The review, based largely on journal articles, covers field and laboratory measurement activities (bioaccumulation of contaminants, field assessment surveys, toxicity testing and biomarkers) as well as pollution issues of current interest including endocrine disrupters, emerging contaminants, wastewater discharges, dredging and disposal etc. Special emphasis is placed on effects of oil spills and marine debris due largely to the 2010 Deepwater Horizon oil blowout in the Gulf of Mexico. Several topical areas reviewed in the past (ballast water and ocean acidification) were dropped this year. The focus of this review is on effects, not pollutant fate and transport. There is considerable overlap across subject areas (e. g. some bioaccumulation papers may be cited in other topical categories). Please use keyword searching of the text to locate related but distributed papers. Use this review only as a guide and please consult the original papers before citing them.</t>
  </si>
  <si>
    <t>[Mearns, Alan J.; Rutherford, Nicolle] NOAA, Emergency Response Div, 7600 Sand Point Way NE, Seattle, WA 98115 USA; [Reish, Donald J.] Calif State Univ Long Beach, Dept Biol Sci, Long Beach, CA 90840 USA; [Morrison, Ann Michelle] Exponent Inc, Sedona, AZ USA; [Rempel-Hester, Mary Ann] Aquat Toxicol Support, Bremerton, WA USA; [Arthur, Courtney] Ind Econ Inc, Cambridge, MA USA; [Pryor, Rachel] NOAA, Off Admnistrator, Washington, DC USA</t>
  </si>
  <si>
    <t>National Oceanic Atmospheric Admin (NOAA) - USA; California State University System; California State University Long Beach; Exponent; Industrial Economics, Incorporated; National Oceanic Atmospheric Admin (NOAA) - USA</t>
  </si>
  <si>
    <t>Mearns, AJ (corresponding author), NOAA, Emergency Response Div, 7600 Sand Point Way NE, Seattle, WA 98115 USA.</t>
  </si>
  <si>
    <t>alan.mearns@noaa.gov</t>
  </si>
  <si>
    <t>1061-4303</t>
  </si>
  <si>
    <t>1554-7531</t>
  </si>
  <si>
    <t>WATER ENVIRON RES</t>
  </si>
  <si>
    <t>Water Environ. Res.</t>
  </si>
  <si>
    <t>10.2175/106143017X15023776270647</t>
  </si>
  <si>
    <t>Engineering, Environmental; Environmental Sciences; Limnology; Water Resources</t>
  </si>
  <si>
    <t>Engineering; Environmental Sciences &amp; Ecology; Marine &amp; Freshwater Biology; Water Resources</t>
  </si>
  <si>
    <t>VM3CL</t>
  </si>
  <si>
    <t>WOS:000995071600035</t>
  </si>
  <si>
    <t>Cresswell, AK; Edgar, GJ; Stuart-Smith, RD; Thomson, RJ; Barrett, NS; Johnson, CR</t>
  </si>
  <si>
    <t>Cresswell, Anna K.; Edgar, Graham J.; Stuart-Smith, Rick D.; Thomson, Russell J.; Barrett, Neville S.; Johnson, Craig R.</t>
  </si>
  <si>
    <t>Translating local benthic community structure to national biogenic reef habitat types</t>
  </si>
  <si>
    <t>Australia; biogeography; climate change; habitat type; macroecology; marine management</t>
  </si>
  <si>
    <t>CORAL-REEFS; FISH ASSEMBLAGES; CITIZEN SCIENCE; MARINE; BIODIVERSITY; RESILIENCE; DIVERSITY; ECOLOGY; BIOGEOGRAPHY; PATTERNS</t>
  </si>
  <si>
    <t>AimMarine reef habitats are typically defined subjectively. We provide a continental-scale assessment of dominant reef habitats through analysis of macroalgae and sessile animal taxa at sites distributed around Australia. Relationships between reef habitats and environmental and anthropogenic factors are assessed, and potential changes in the future distribution and persistence of habitats are considered. LocationShallow rocky and coral reefs around the Australian coast. MethodsCover of 38 sessile biota functional groups was recorded in diver-based surveys using quadrats at 1,299 sites. Classification analyses based on the functional groups were used to identify an unambiguous set of biogenic habitat types'. Random forest and distance-based linear modelling were used to investigate correlations between these habitats and environmental and anthropogenic variables. ResultsCluster analyses revealed tropical and temperate realms' in benthic substratum composition, each with finer-scale habitats: four for the temperate realm (canopy algae, barren, epiphytic algae-understorey and turf) and five for the tropical realm (coral, coral-bacterial mat, turf-coral, calcified algae-coral and foliose algae). Habitats were correlated with different sets of environmental and anthropogenic conditions, with key associations in the temperate realm between mean sea temperature and canopy-forming algae (negative) and barren habitat (positive). Variation in sea temperature was also an important correlate in the tropical realm. Main conclusionsQuantitative delineation of inshore reef habitats at a continental scale identifies many of the same habitat types traditionally recognized through subjective methods. Importantly, many biogenic reef habitats were closely related to environmental parameters and anthropogenic variables that are predicted to change. Consequently, habitats have differing likelihood of persistence. Structurally complex habitats in the temperate realm are at greater risk than more two-dimensional' habitats (e.g., canopy-forming versus turfing algae). In the tropical realm, offshore and coastal habitats differed greatly, highlighting the importance of large-scale oceanic conditions in shaping biogenic structure.</t>
  </si>
  <si>
    <t>[Cresswell, Anna K.; Edgar, Graham J.; Stuart-Smith, Rick D.; Barrett, Neville S.; Johnson, Craig R.] Inst Marine &amp; Antarctic Studies, Hobart, Tas, Australia; [Cresswell, Anna K.] Univ Western Australia, Indian Ocean Marine Res Ctr, M097,35 Stirling Highway, Crawley, WA 6009, Australia; [Thomson, Russell J.] Western Sydney Univ, Ctr Res Math, Penrith, NSW, Australia</t>
  </si>
  <si>
    <t>University of Tasmania; University of Western Australia; Western Sydney University</t>
  </si>
  <si>
    <t>Cresswell, AK (corresponding author), Inst Marine &amp; Antarctic Studies, Hobart, Tas, Australia.;Cresswell, AK (corresponding author), Univ Western Australia, Indian Ocean Marine Res Ctr, M097,35 Stirling Highway, Crawley, WA 6009, Australia.</t>
  </si>
  <si>
    <t>anna.cresswell@csiro.au</t>
  </si>
  <si>
    <t>Stuart-Smith, Rick/I-5214-2019; Edgar, Graham/AAY-3797-2020; Stuart-Smith, Rick D/M-1829-2013; Barrett, Neville/J-7593-2014; Thomson, Russell/H-5653-2012</t>
  </si>
  <si>
    <t>Stuart-Smith, Rick/0000-0002-8874-0083; Edgar, Graham/0000-0003-0833-9001; Stuart-Smith, Rick D/0000-0002-8874-0083; Barrett, Neville/0000-0002-6167-1356; Cresswell, Anna/0000-0001-6740-9052; Thomson, Russell/0000-0003-4949-4120</t>
  </si>
  <si>
    <t>Australian Government's National Environmental Science Programme</t>
  </si>
  <si>
    <t>Australian Government's National Environmental Science Programme(Australian Government)</t>
  </si>
  <si>
    <t>Analyses were facilitated by the Australian Research Council and the Marine Biodiversity Hub, a collaborative partnership supported through the Australian Government's National Environmental Science Programme.</t>
  </si>
  <si>
    <t>10.1111/geb.12620</t>
  </si>
  <si>
    <t>WOS:000411041600004</t>
  </si>
  <si>
    <t>Eronen-Rasimus, E; Luhtanen, AM; Rintala, JM; Delille, B; Dieckmann, G; Karkman, A; Tison, JL</t>
  </si>
  <si>
    <t>Eronen-Rasimus, Eeva; Luhtanen, Anne-Mari; Rintala, Janne-Markus; Delille, Bruno; Dieckmann, Gerhard; Karkman, Antti; Tison, Jean-Louis</t>
  </si>
  <si>
    <t>An active bacterial community linked to high chl-a concentrations in Antarctic winter-pack ice and evidence for the development of an anaerobic sea-ice bacterial community</t>
  </si>
  <si>
    <t>ISME JOURNAL</t>
  </si>
  <si>
    <t>MICROBIAL COMMUNITIES; WEDDELL SEA; BALTIC-SEA; MCMURDO SOUND; DIVERSITY; DYNAMICS; ALGAE; ASSEMBLAGES; ABUNDANCE; PATTERNS</t>
  </si>
  <si>
    <t>Antarctic sea-ice bacterial community composition and dynamics in various developmental stages were investigated during the austral winter in 2013. Thick snow cover likely insulated the ice, leading to high (&lt; 4 mu g l(-1)) chlorophyll-a (chl-a) concentrations and consequent bacterial production. Typical sea-ice bacterial genera, for example, Octadecabacter, Polaribacter and Glaciecola, often abundant in spring and summer during the sea-ice algal bloom, predominated in the communities. The variability in bacterial community composition in the different ice types was mainly explained by the chl-a concentrations, suggesting that as in spring and summer sea ice, the sea-ice bacteria and algae may also be coupled during the Antarctic winter. Coupling between the bacterial community and sea-ice algae was further supported by significant correlations between bacterial abundance and production with chl-a. In addition, sulphate-reducing bacteria (for example, Desulforhopalus) together with odour of H2S were observed in thick, apparently anoxic ice, suggesting that the development of the anaerobic bacterial community may occur in sea ice under suitable conditions. In all, the results show that bacterial community in Antarctic sea ice can stay active throughout the winter period and thus possible future warming of sea ice and consequent increase in bacterial production may lead to changes in bacteria-mediated processes in the Antarctic sea-ice zone.</t>
  </si>
  <si>
    <t>[Eronen-Rasimus, Eeva; Luhtanen, Anne-Mari] Finnish Environm Inst, Marine Res Ctr, Helsinki, Finland; [Eronen-Rasimus, Eeva; Luhtanen, Anne-Mari; Rintala, Janne-Markus] Univ Helsinki, Tvarminne Zool Stn, Hango, Finland; [Luhtanen, Anne-Mari] Univ Helsinki, Dept Biosci, Helsinki, Finland; [Rintala, Janne-Markus; Karkman, Antti] Univ Helsinki, Dept Environm Sci, Helsinki, Finland; [Delille, Bruno] Univ Liege, Dept Astrophys Geophys &amp; Oceanog, Unite Oceanog Chim, Liege, Belgium; [Dieckmann, Gerhard] Alfred Wegener Inst, Helmholtz Ctr Polar &amp; Marine Res, Bremerhaven, Germany; [Karkman, Antti] Univ Helsinki, Dept Food &amp; Environm Sci, Helsinki, Finland; [Tison, Jean-Louis] Univ Libre Bruxelles, Lab Glaciol, DGES, Brussels, Belgium</t>
  </si>
  <si>
    <t>Finnish Environment Institute; University of Helsinki; University of Helsinki; University of Helsinki; University of Liege; Helmholtz Association; Alfred Wegener Institute, Helmholtz Centre for Polar &amp; Marine Research; University of Helsinki; Universite Libre de Bruxelles</t>
  </si>
  <si>
    <t>Eronen-Rasimus, E (corresponding author), Finnish Environm Inst SYKE, Marine Res Ctr, Erik Palmenin Aukio 1,POB 140, Helsinki 00251, Finland.</t>
  </si>
  <si>
    <t>eeva.eronen@gmail.com</t>
  </si>
  <si>
    <t>Karkman, Antti/HFZ-8618-2022; Karkman, Antti/AAW-9096-2021; Delille, Bruno/C-3486-2008</t>
  </si>
  <si>
    <t>Luhtanen, Anne-Mari/0000-0002-9160-7478; Karkman, Antti/0000-0003-0983-3319; Delille, Bruno/0000-0003-0502-8101</t>
  </si>
  <si>
    <t>Walter and Andree de Nottbeck Foundation; Academy of Finland; Belgian Science Policy [SD/CA/05]; Finnish Antarctic Research Program (FINNARP)</t>
  </si>
  <si>
    <t>Walter and Andree de Nottbeck Foundation; Academy of Finland(Research Council of Finland); Belgian Science Policy(Belgian Federal Science Policy Office); Finnish Antarctic Research Program (FINNARP)</t>
  </si>
  <si>
    <t>The work described here was supported by the Walter and Andree de Nottbeck Foundation (EER, AML, JMR), Academy of Finland (EER) and the Belgian Science Policy (BD, JLT, Bigsouth project, SD/CA/05). BD is a research associate at the F.R.S-FNRS. We thank Finnish Antarctic Research Program (FINNARP) for the logistics and financial support with cargo and travel expenses as well as Professor Katarina Abrahamsson (University of Gothenburg) and her research group for providing samples from the sibling, ANOX ice core, station 515.</t>
  </si>
  <si>
    <t>SPRINGERNATURE</t>
  </si>
  <si>
    <t>CAMPUS, 4 CRINAN ST, LONDON, N1 9XW, ENGLAND</t>
  </si>
  <si>
    <t>1751-7362</t>
  </si>
  <si>
    <t>1751-7370</t>
  </si>
  <si>
    <t>ISME J</t>
  </si>
  <si>
    <t>ISME J.</t>
  </si>
  <si>
    <t>10.1038/ismej.2017.96</t>
  </si>
  <si>
    <t>Ecology; Microbiology</t>
  </si>
  <si>
    <t>Environmental Sciences &amp; Ecology; Microbiology</t>
  </si>
  <si>
    <t>FH4OW</t>
  </si>
  <si>
    <t>WOS:000411136300017</t>
  </si>
  <si>
    <t>Farmery, AK; Jennings, S; Gardner, C; Watson, RA; Green, BS</t>
  </si>
  <si>
    <t>Farmery, Anna K.; Jennings, Sarah; Gardner, Caleb; Watson, Reg A.; Green, Bridget S.</t>
  </si>
  <si>
    <t>Naturalness as a basis for incorporating marine biodiversity into life cycle assessment of seafood</t>
  </si>
  <si>
    <t>INTERNATIONAL JOURNAL OF LIFE CYCLE ASSESSMENT</t>
  </si>
  <si>
    <t>Biodiversity; Hemeroby; Land use; Life cycle assessment; Naturalness; Sea floor; Seafood; Seawater column</t>
  </si>
  <si>
    <t>LAND-USE IMPACTS; ASSESSMENT INDICATORS; FISHING IMPACTS; FISHERIES; METHODOLOGY; CATEGORIES; FRAMEWORK; HEMEROBY; CAUGHT; SALMON</t>
  </si>
  <si>
    <t>Methods to quantify biodiversity impacts through life cycle assessment (LCA) are evolving for both land- and marine-based production systems, although typically independently from each other. An indicator for terrestrial food production systems that may be suitable to assess marine biodiversity, and is applicable across all food production systems, is a measure of hemeroby or distance from the natural state. We explore the possibility of adapting this approach to marine systems to assess the impact of fishing on seawater column and seafloor systems. The terrestrial hemeroby concept is adapted here for marine ecosystems. Two commercial fishery case studies are used to trial the effectiveness of hemeroby in measuring the influence exerted by fishing practices on marine biodiversity. Available inventory data are used to score areas to a hemeroby class, following a semi-quantitative scoring matrix and a seven-point scale, to determine how far the seafloor and seawater column are from their natural state. Assessment can progress to the impact assessment stage involving characterisation of the hemeroby score, to determine the Naturalness Degradation Potential (NDP) for use in calculating the Naturalness Degradation Indicator (NDI). The method builds on well-established processes for assessing fisheries within the ecosystem-based fisheries management framework and is designed to enhance assessment of fishing impacts within LCA. Australian fisheries case studies were used to demonstrate the application of this method. The naturalness of these fisheries was scored to a hemeroby level using the scoring matrix. The seafloor of the Northern Prawn Fishery and the seawater column of the South Australian Sardine Fishery were both classified as partially close to nature. Impact assessment was carried out following the process outlined for the NDI. The naturalness degradation results were highly sensitive to area calculation method and data. There was also variation in results when using annual or averaged data for catch. Results should therefore be interpreted in the context of these sensitivities. Adaptation of the hemeroby concept to marine habitats may present an opportunity for more informed comparison of impacts between terrestrial and marine systems. Incorporating a measure of naturalness into assessments of food production can be useful to better understand the cost, in terms of transforming ecosystems from natural to more artificial, of meeting growing food demand. Biodiversity is a broad concept not easily captured through one indicator, and this method can complement emerging biotic LCA indicators, to provide a suite of indicators capable of capturing the full impact of fishing on marine biodiversity.</t>
  </si>
  <si>
    <t>[Farmery, Anna K.; Jennings, Sarah; Gardner, Caleb; Watson, Reg A.; Green, Bridget S.] Univ Tasmania, Inst Marine &amp; Antarctic Studies, Hobart, Tas 7001, Australia</t>
  </si>
  <si>
    <t>Farmery, AK (corresponding author), Univ Tasmania, Inst Marine &amp; Antarctic Studies, Hobart, Tas 7001, Australia.</t>
  </si>
  <si>
    <t>Anna.Farmery@utas.edu.au</t>
  </si>
  <si>
    <t>Green, Bridget S/G-3368-2014; Jennings, Sarah M/J-7888-2014; Farmery, Anna/H-9696-2014; Watson, Reg A/F-4850-2012</t>
  </si>
  <si>
    <t>Farmery, Anna/0000-0002-8938-0040; Watson, Reg A/0000-0001-7201-8865</t>
  </si>
  <si>
    <t>Australian National Network in Marine Science (ANNIMS); Fisheries Research and Development Corporation (FRDC) Building Economic Capability in Fisheries Project; Marine National Adaptation Research Plan (NARP) project [2011/233]; Australian Government; Australian Research Council [DP140101377]</t>
  </si>
  <si>
    <t>Australian National Network in Marine Science (ANNIMS); Fisheries Research and Development Corporation (FRDC) Building Economic Capability in Fisheries Project(Fisheries R&amp;D Corp); Marine National Adaptation Research Plan (NARP) project; Australian Government(Australian Government); Australian Research Council(Australian Research Council)</t>
  </si>
  <si>
    <t>The authors would like to acknowledge participants in the expert working group for their time and input into developing this method. Members included Rich Little (CSIRO), Alan Williams (CSIRO), Jeremy Lyle (IMAS, UTAS), Caleb Gardner (IMAS, UTAS) and Timothy Emery (IMAS, UTAS). We would also like to thank Justin Hulls (IMAS, UTAS) for the GIS support. This work was supported by the Australian National Network in Marine Science (ANNIMS), the Fisheries Research and Development Corporation (FRDC) Building Economic Capability in Fisheries Project and the Marine National Adaptation Research Plan (NARP) project 2011/233, funded by the Australian Government. R.A.W. and B.G. acknowledge funding support from the Australian Research Council Discovery project support (DP140101377).</t>
  </si>
  <si>
    <t>0948-3349</t>
  </si>
  <si>
    <t>1614-7502</t>
  </si>
  <si>
    <t>INT J LIFE CYCLE ASS</t>
  </si>
  <si>
    <t>Int. J. Life Cycle Assess.</t>
  </si>
  <si>
    <t>10.1007/s11367-017-1274-2</t>
  </si>
  <si>
    <t>Engineering, Environmental; Environmental Sciences</t>
  </si>
  <si>
    <t>Engineering; Environmental Sciences &amp; Ecology</t>
  </si>
  <si>
    <t>FG3KV</t>
  </si>
  <si>
    <t>WOS:000410058000007</t>
  </si>
  <si>
    <t>Mahesh, BS; Warrier, AK; Mohan, R; Tiwari, M; Roy, R; Asthana, R; Ravindra, R</t>
  </si>
  <si>
    <t>Mahesh, Badanal Siddaiah; Warrier, Anish Kumar; Mohan, Rahul; Tiwari, Manish; Roy, Rajdeep; Asthana, Rajesh; Ravindra, Rasik</t>
  </si>
  <si>
    <t>Response of Sandy Lake in Schirmacher Oasis, East Antarctica to the glacial-interglacial climate shift</t>
  </si>
  <si>
    <t>JOURNAL OF PALEOLIMNOLOGY</t>
  </si>
  <si>
    <t>Sedimentary organic matter; Stable isotopes; C/N ratio; Paleoclimate; Schirmacher Oasis; East Antarctica</t>
  </si>
  <si>
    <t>LATE PLEISTOCENE GLACIATION; MCMURDO DRY VALLEYS; ORGANIC GEOCHEMISTRY; LARSEMANN HILLS; LAZAREV SEA; ICE SHELF; LONG LAKE; SEDIMENTS; CARBON; ISOTOPE</t>
  </si>
  <si>
    <t>Freshwater lakes in Antarctica fluctuate from ice-free state (during austral summer) to icecover state (during austral winter). Hence the lakes respond instantly to the seasonal climate of the region. The Antarctic seasons respond sharply to the glacial and interglacial climates and these signatures are archived in the lake sediments. A sediment core from Sandy Lake, a periglacial lake located in Schirmacher Oasis of East Antarctica records distinct changes in grain-size, C, N, C/N ratios (atomic), delta(13) COM and delta(15) NOM contents during the last 36 ky. The contents of the sedimentary organic matter (OM) proxies (Corg similar to 0.3 +/- 0.2%, C/N ratios similar to 9 +/- 5 and delta(13) COM similar to-18 +/- 6%) indicate that the OM in this lake sediment is a product of mixing of terrestrial and lacustrine biomass. Distinctly lower contents of Corg (similar to 0.2%) and sand (similar to 50%), low C/N ratios (similar to 8) and depleted delta(13) COM (similar to-20%) during the Last Glacial Maximum (LGM: 32-17 ky BP based on Vostok Temperatures) suggest greater internal (autochthonous) provenance of organic matter and limited terrestrial (allochthonous) inputs probably due to long and intense winters in the Antarctic. Such intense winters might have resulted the lake surface to be ice-covered for most part of the year when the temperatures remained consistently colder than the Holocene temperatures. The denitrification within the lake evident by enriched delta(15) NOM ([10%) during Antarctic LGM might have resulted from oxygenlimitation within the lake environment caused by insulated lake surface. The gradual increases in delta(13) COM, C/N and sand content starting at similar to 11 ky BP and attaining high values (*-11%,similar to 10 and similar to 80% respectively) at similar to 6 ky BP together suggest a subtle change in the balance of sources of organic matter between algal and macrophyte/bryophyte nearly 8-9 ky later to the beginning of the deglaciation. Thus the seasonal opening-up of the Sandy Lake similar to the modern pattern started with the establishment of the optimum temperature conditions (i.e., 0 degrees C anomaly) in the Antarctic, prior to which the lake environment might have remained mostly insulated or closed.</t>
  </si>
  <si>
    <t>[Mahesh, Badanal Siddaiah; Warrier, Anish Kumar; Mohan, Rahul; Tiwari, Manish] Govt India, Minist Earth Sci, ESSO, Natl Ctr Antarctic &amp; Ocean Res, Vasco 403804, Goa, India; [Warrier, Anish Kumar] Manipal Univ, Manipal Inst Technol, Dept Civil Engn, Manipal 576104, Karnataka, India; [Roy, Rajdeep] Indian Space Res Org, Ocean Sci Grp, Natl Remote Sensing Ctr, Earth &amp; Climate Sci Area, Hyderabad, Andhra Pradesh, India; [Asthana, Rajesh] Geol Survey India, NIT, NH 5P, New Delhi 121001, India; [Ravindra, Rasik] Govt India, Minist Earth Sci, ESSO, Lodhi Rd, New Delhi 110003, India</t>
  </si>
  <si>
    <t>Earth System Science Organization (ESSO); Ministry of Earth Sciences (MoES) - India; National Centre for Polar and Ocean Research (NCPOR); Manipal Academy of Higher Education (MAHE); Department of Space (DoS), Government of India; Indian Space Research Organisation (ISRO); National Remote Sensing Centre (NRSC); Geological Survey India; National Institute of Technology (NIT System); National Institute of Technology Delhi; Earth System Science Organization (ESSO); Ministry of Earth Sciences (MoES) - India</t>
  </si>
  <si>
    <t>Tiwari, M (corresponding author), Govt India, Minist Earth Sci, ESSO, Natl Ctr Antarctic &amp; Ocean Res, Vasco 403804, Goa, India.</t>
  </si>
  <si>
    <t>mahe687@gmail.com</t>
  </si>
  <si>
    <t>Warrier, Anish Kumar/AAW-8890-2020; Roy, Rajdeep/G-7790-2011</t>
  </si>
  <si>
    <t>Warrier, Anish Kumar/0000-0003-0044-6224; roy, rajdeep/0000-0001-5509-257X; Tiwari, Manish/0000-0003-3143-1658; Badnal, Mahesh/0000-0001-6593-4611</t>
  </si>
  <si>
    <t>DORDRECHT</t>
  </si>
  <si>
    <t>VAN GODEWIJCKSTRAAT 30, 3311 GZ DORDRECHT, NETHERLANDS</t>
  </si>
  <si>
    <t>0921-2728</t>
  </si>
  <si>
    <t>1573-0417</t>
  </si>
  <si>
    <t>J PALEOLIMNOL</t>
  </si>
  <si>
    <t>J. Paleolimn.</t>
  </si>
  <si>
    <t>10.1007/s10933-017-9977-8</t>
  </si>
  <si>
    <t>Environmental Sciences; Geosciences, Multidisciplinary; Limnology</t>
  </si>
  <si>
    <t>Environmental Sciences &amp; Ecology; Geology; Marine &amp; Freshwater Biology</t>
  </si>
  <si>
    <t>FG6JL</t>
  </si>
  <si>
    <t>WOS:000410483900001</t>
  </si>
  <si>
    <t>Zhang, MS; Qiu, WQ; Zhang, RJ; Row, K; Cheng, YD; Jin, YZ</t>
  </si>
  <si>
    <t>Zhang, Maosai; Qiu, Weiqiang; Zhang, Ruijuan; Row, KyungHo; Cheng, Yudong; Jin, Yinzhe</t>
  </si>
  <si>
    <t>Effect of Amino Acids on Microwave Dielectric Properties of Minced Antarctic Krill (Euphausia superba)</t>
  </si>
  <si>
    <t>FOOD AND BIOPROCESS TECHNOLOGY</t>
  </si>
  <si>
    <t>Dielectric properties; Antarctic krill; Amino acids; Debye relation; Temperature behavior</t>
  </si>
  <si>
    <t>RADIO-FREQUENCY TREATMENTS; ACYL GELLAN GEL; INSECT CONTROL; TEMPERATURE; SPECTROSCOPY; PROTEIN; GHZ; PASTEURIZATION; PERMITTIVITY; DISPERSIONS</t>
  </si>
  <si>
    <t>The dielectric properties of ten solid amino acids, namely, glycine, proline, cysteine, glutamine, lysine, methionine, histidine, arginine, tyrosine, and tryptophan, and the effects of amino acid concentrations (0, 1, 3, and 5%) on the dielectric properties of minced Antarctic krill (Euphausia superba) were studied within a frequency range of 300-3000 MHz at 20.0 +/- 0.5 A degrees C. The dielectric constants and dielectric loss factor of amino acids were 2.0 +/- 0.4 and 0.2 +/- 0.3, respectively (moisture contents, 0.05-0.33%), except those of lysine (5.5 +/- 0.5 and 1.5 +/- 1.0, respectively) (moisture content, 4.5%). The dielectric properties of non-polar, neutral-polar, alkaline amino acids added to Antarctic krill were affected by the frequency and moisture contents, molecular weight, and isoelectric points (pI) of amino acids. As the molecular weight and pI values increased, the critical frequencies of aliphatic amino acid added to minced Antarctic krill decreased, whereas heterocyclic amino acid added to minced Antarctic krill increased. Quantitative relationships between parameters that define both the real and the imaginary parts of the Debye relations and the weight fraction of amino acid contents in Antarctic krill were determined. Moreover, glycine (at 5%) or lysine (at 5%) significantly influenced the dielectric constants and dielectric loss factor of minced Antarctic krill (p &lt; 0.05) but did not have significant effects on temperature history and distribution (p &lt; 0.05) during microwave heating at 2450 MHz.</t>
  </si>
  <si>
    <t>[Zhang, Maosai; Qiu, Weiqiang; Zhang, Ruijuan; Cheng, Yudong; Jin, Yinzhe] Shanghai Ocean Univ, Engn Res Ctr Food Thermal Proc Technol, Natl Expt Teaching Demonstrat Ctr Food Sci &amp; Engn, Coll Food Sci &amp; Technol, Huchenghuan Rd 999, Shanghai 201306, Peoples R China; [Row, KyungHo] Inha Univ, Dept Chem Engn, 100 Inharo, Incheon 22212, South Korea</t>
  </si>
  <si>
    <t>Shanghai Ocean University; Inha University</t>
  </si>
  <si>
    <t>Jin, YZ (corresponding author), Shanghai Ocean Univ, Engn Res Ctr Food Thermal Proc Technol, Natl Expt Teaching Demonstrat Ctr Food Sci &amp; Engn, Coll Food Sci &amp; Technol, Huchenghuan Rd 999, Shanghai 201306, Peoples R China.</t>
  </si>
  <si>
    <t>yzjin@shou.edu.cn</t>
  </si>
  <si>
    <t>zhang, rui/HZI-0079-2023</t>
  </si>
  <si>
    <t>Shanghai University Knowledge Service Platform and Shanghai Ocean University Aquatic Animal Breeding Center [ZFI206]; Shanghai Science and Technology Development Project [A2-0203-00-1000208]; Doctoral Starting up Foundation [A2-0203-00-100340]</t>
  </si>
  <si>
    <t>Shanghai University Knowledge Service Platform and Shanghai Ocean University Aquatic Animal Breeding Center; Shanghai Science and Technology Development Project; Doctoral Starting up Foundation</t>
  </si>
  <si>
    <t>This work was supported by the Shanghai University Knowledge Service Platform and Shanghai Ocean University Aquatic Animal Breeding Center (ZFI206), Shanghai Science and Technology Development Project (A2-0203-00-1000208), and the Doctoral Starting up Foundation (A2-0203-00-100340).</t>
  </si>
  <si>
    <t>1935-5130</t>
  </si>
  <si>
    <t>1935-5149</t>
  </si>
  <si>
    <t>FOOD BIOPROCESS TECH</t>
  </si>
  <si>
    <t>Food Bioprocess Technol.</t>
  </si>
  <si>
    <t>10.1007/s11947-017-1952-x</t>
  </si>
  <si>
    <t>Food Science &amp; Technology</t>
  </si>
  <si>
    <t>FF9VF</t>
  </si>
  <si>
    <t>WOS:000409365300006</t>
  </si>
  <si>
    <t>Corsolini, S; Ademollo, N; Martellini, T; Randazzo, D; Vacchi, M; Cincinelli, A</t>
  </si>
  <si>
    <t>Corsolini, Simonetta; Ademollo, Nicoletta; Martellini, Tania; Randazzo, Demetrio; Vacchi, Marino; Cincinelli, Alessandra</t>
  </si>
  <si>
    <t>Legacy persistent organic pollutants including PBDEs in the trophic web of the Ross Sea (Antarctica)</t>
  </si>
  <si>
    <t>POP bioaccumulation; Antarctic krill; Antarctic fish; Weddell seal; Dissostichus mawsoni; Seabirds</t>
  </si>
  <si>
    <t>POLYBROMINATED DIPHENYL ETHERS; DIBENZO-P-DIOXINS; SHARK SOMNIOSUS-MICROCEPHALUS; FOOD-WEB; POLYCHLORINATED-BIPHENYLS; FLAME RETARDANTS; ADELIE PENGUINS; WEST ANTARCTICA; POLAR-REGIONS; MCMURDO SOUND</t>
  </si>
  <si>
    <t>The ecological features of the Ross Sea trophic web are peculiar and different from other polar food webs, with respect to the use of habitat and species interactions; due to its ecosystem integrity, it is the world's largest Marine Protected Area, established in 2016. Polar organisms are reported to bioaccumulate lipophilic contaminant, viz persistent organic pollutants (POPS). Legacy POPs and flame retardants (polybrominated diphenyl ethers, PBDEs) were studied in key species of the Ross Sea (Euphausia superba, Pleuragramma antarctica) and their predators (Dissostichus mawsoni, Pygoscelis adeliae, Aptenodytes forsteri, Catharacta maccormicki, Leptonychotes weddellii). Gaschromatography revealed the presence of PCBs, HCB, DDTs, PBDEs in most of the samples; HCHs, dieldrin, Eldrin, non-ortho PCBs, PCDDs, PCDFs were detected only in some species. The average Sigma PBDEs was 0.19-1.35 pg/g wet wt in the key-species and one-two order of magnitude higher in the predators. Penguins and skuas from an area where a long-term field camp is located showed higher BDE concentrations. The Sigma DDTs was higher in the Antarctic toothfish (20 +/- 6.73 ng/g wet wt) and in the South Polar skua (5.911 +/- 3.425 ng/g wet wt). The TEQ5 were evaluated and the highest concentration was found in the Weddell seal, due to PCB169, 1,2,3,4,7,8-HxCDF, and 2,3,4,6,7,8-HxCDF. There was no significant relationship between the trophic level and the POP concentrations. Although low concentrations, organisms of the Ross Sea trophic web should be further studied: lack of information on some ecotoxicological features and human impacts including global change may distress the ecosystem with unpredictable effects. (C) 2017 Elsevier Ltd. All rights reserved.</t>
  </si>
  <si>
    <t>[Corsolini, Simonetta] Univ Siena, Dept Phys Earth &amp; Environm Sci, Via Mattioli,4, I-53100 Siena, Italy; [Martellini, Tania; Randazzo, Demetrio; Cincinelli, Alessandra] Univ Florence, Dept Chem Ugo Schiff, I-50019 Florence, Italy; [Ademollo, Nicoletta] CNR, Water Res Inst IRSA, Via Salaria Km 29-300, I-00015 Monterotondo, RM, Italy; [Vacchi, Marino] CNR, Inst Marine Sci ISMAR, Via Marini 6, I-16149 Genoa, Italy</t>
  </si>
  <si>
    <t>University of Siena; University of Florence; Consiglio Nazionale delle Ricerche (CNR); Istituto di Ricerca sulle Acque (IRSA-CNR); Consiglio Nazionale delle Ricerche (CNR); Istituto di Scienze Marine (ISMAR-CNR)</t>
  </si>
  <si>
    <t>Corsolini, S (corresponding author), Univ Siena, Dept Phys Earth &amp; Environm Sci, Via PA Mattioli,4, I-53100 Siena, Italy.</t>
  </si>
  <si>
    <t>simonetta.corsolini@unisi.it</t>
  </si>
  <si>
    <t>Martellini, Tania/AAD-1095-2020; Corsolini, Simonetta/B-9460-2012; ademollo, nicoletta/AAY-4811-2020; Cincinelli, Alessandra/A-8468-2011</t>
  </si>
  <si>
    <t>Martellini, Tania/0000-0001-6803-1928; Corsolini, Simonetta/0000-0002-9772-2362; Ademollo, nicoletta/0000-0002-1875-6530; Randazzo, Demetrio/0000-0002-1871-6221</t>
  </si>
  <si>
    <t>Italian Antarctic Research Program (PNRA) [2002/1.4, 2004/1.2, 2009/A1.04, 2013/C1-04]</t>
  </si>
  <si>
    <t>Italian Antarctic Research Program (PNRA)</t>
  </si>
  <si>
    <t>The Italian Antarctic Research Program (PNRA) funded this research (Project nos. 2002/1.4, 2004/1.2, 2009/A1.04, 2013/C1-04).</t>
  </si>
  <si>
    <t>10.1016/j.chemosphere.2017.07.054</t>
  </si>
  <si>
    <t>WOS:000408597300080</t>
  </si>
  <si>
    <t>Schrader, DL; Davidson, J</t>
  </si>
  <si>
    <t>Schrader, Devin L.; Davidson, Jemma</t>
  </si>
  <si>
    <t>CM and CO chondrites: A common parent body or asteroidal neighbors? Insights from chondrule silicates</t>
  </si>
  <si>
    <t>GEOCHIMICA ET COSMOCHIMICA ACTA</t>
  </si>
  <si>
    <t>CM chondrite; Meteorite; Chondrule; Olivine; Accretion; Relict; Aqueous alteration; Thermal metamorphism</t>
  </si>
  <si>
    <t>PROGRESSIVE AQUEOUS ALTERATION; O-ISOTOPE COMPOSITION; OXYGEN-ISOTOPE; CARBONACEOUS CHONDRITES; FEO-RICH; UNEQUILIBRATED ORDINARY; PRIMITIVE METEORITES; OLIVINE GRAINS; II CHONDRULES; SOLAR-SYSTEM</t>
  </si>
  <si>
    <t>By investigating the petrology and chemical composition of type II (FeO-rich) chondrules in the Mighei-like carbonaceous (CM) chondrites we constrain their thermal histories and relationship to the Ornans-like carbonaceous (CO) chondrites. We identified FeO-rich relict grains in type II chondrules by their Fe/Mn ratios; their presence indicates chondrule recycling among type II chondrules. The majority of relict grains in type II chondrules are FeO-poor olivine grains. Consistent with previous studies, chemical similarities between CM and CO chondrite chondrules indicate that they had similar formation conditions and that their parent bodies probably formed in a common region within the protoplanetary disk. However, important differences such as mean chondrule size and the lower abundance of FeO-poor relicts in CM chondrite type II chondrules than in CO chondrites suggest CM and CO chondrules did not form together and they likely originate from distinct parent asteroids. Despite being aqueously altered, many CM chondrites contain pre-accretionary anhydrous minerals (i.e., olivine) that are among the least thermally metamorphosed materials in chondrites according to the Cr2O3 content of their ferroan olivine. The presence of these minimally altered pre-accretionary chondrule silicates suggests that samples to be returned from aqueously altered asteroids by the Hayabusa2 and OSIRIS-REx asteroid sample return missions, even highly hydrated, may contain silicates that can provide information about the pre-accretionary histories and conditions of asteroids Ryugu and Bennu, respectively. (C) 2017 Elsevier Ltd. All rights reserved.</t>
  </si>
  <si>
    <t>[Schrader, Devin L.] Arizona State Univ, Sch Earth &amp; Space Explorat, Ctr Meteorite Studies, 781 East Terrace Rd, Tempe, AZ 85287 USA; [Schrader, Devin L.] Smithsonian Inst, Natl Museum Nat Hist, Dept Mineral Sci, 10th &amp; Constitut Ave NW, Washington, DC 20560 USA; [Davidson, Jemma] Carnegie Inst Sci, Dept Terr Magnetism, 5241 Broad Branch Rd NW, Washington, DC 20015 USA</t>
  </si>
  <si>
    <t>Arizona State University; Arizona State University-Tempe; Smithsonian Institution; Smithsonian National Museum of Natural History; Carnegie Institution for Science</t>
  </si>
  <si>
    <t>Schrader, DL (corresponding author), Arizona State Univ, Sch Earth &amp; Space Explorat, Ctr Meteorite Studies, 781 East Terrace Rd, Tempe, AZ 85287 USA.</t>
  </si>
  <si>
    <t>devin.schrader@asu.edu</t>
  </si>
  <si>
    <t>Schrader, Devin L/H-6293-2012; Davidson, Jemma/G-5760-2018; Davidson, Jemma/ABB-2655-2021</t>
  </si>
  <si>
    <t>Davidson, Jemma/0000-0002-3725-2960; Davidson, Jemma/0000-0002-3725-2960; Schrader, Devin/0000-0001-5282-232X</t>
  </si>
  <si>
    <t>NSF; NASA</t>
  </si>
  <si>
    <t>NSF(National Science Foundation (NSF)); NASA(National Aeronautics &amp; Space Administration (NASA))</t>
  </si>
  <si>
    <t>For supplying the samples that were necessary for this work, the authors would like to thank: the Smithsonian Institution, the members of the Meteorite Working Group, Cecilia Satterwhite and Kevin Righter (NASA, Johnson Space Center) and Anne Black. US Antarctic meteorite samples are recovered by the Antarctic Search for Meteorites (ANSMET) program, which has been funded by NSF and NASA, and characterized and curated by the Department of Mineral Sciences at the Smithsonian Institution and Astromaterials Curation Office at NASA Johnson Space Center. We are grateful to Tim Gooding and Adam Mansur for assistance with the SEM, and Tim Rose, Emma Bullock, and Steve Lynton for assistance with the EPMA at SI, and Ken Domanik for assistance with the EPMA at UA. We are also grateful to C. Chow and M. I. Inu. We thank the Arizona State University Center for Meteorite Studies for funding a portion of this research. We are also grateful to Alan Rubin, Neyda Abreu, and Noriko Kita, and Associate Editor Alexander Krot, whose constructive comments improved the quality of the manuscript.</t>
  </si>
  <si>
    <t>0016-7037</t>
  </si>
  <si>
    <t>1872-9533</t>
  </si>
  <si>
    <t>GEOCHIM COSMOCHIM AC</t>
  </si>
  <si>
    <t>Geochim. Cosmochim. Acta</t>
  </si>
  <si>
    <t>10.1016/j.gca.2017.07.031</t>
  </si>
  <si>
    <t>FE3ZB</t>
  </si>
  <si>
    <t>WOS:000408153100009</t>
  </si>
  <si>
    <t>Yabuta, H; Noguchi, T; Itoh, S; Nakamura, T; Miyake, A; Tsujimoto, S; Ohashi, N; Sakamoto, N; Hashiguchi, M; Abe, K; Okubo, A; Kilcoyne, ALD; Tachibana, S; Okazaki, R; Terada, K; Ebihara, M; Nagahara, H</t>
  </si>
  <si>
    <t>Yabuta, Hikaru; Noguchi, Takaaki; Itoh, Shoichi; Nakamura, Tomoki; Miyake, Akira; Tsujimoto, Shinichi; Ohashi, Noriaki; Sakamoto, Naoya; Hashiguchi, Minako; Abe, Ken-ichi; Okubo, Aya; Kilcoyne, A. L. David; Tachibana, Shogo; Okazaki, Ryuji; Terada, Kentaro; Ebihara, Mitsuru; Nagahara, Hiroko</t>
  </si>
  <si>
    <t>Formation of an ultracarbonaceous Antarctic micrometeorite through minimal aqueous alteration in a small porous icy body</t>
  </si>
  <si>
    <t>Ultracarbonaceous Antarctic micrometeorites; Organic matter; GEMS; Aqueous alteration; Comet; Shock; SIMS; XANES; TEM</t>
  </si>
  <si>
    <t>INTERPLANETARY DUST PARTICLES; ORGANIC-MATTER; CARBONACEOUS CHONDRITE; STARDUST TRACKS; MINERALOGY; GRAINS; INTERSTELLAR; MURCHISON; NITROGEN; XANES</t>
  </si>
  <si>
    <t>A comprehensive study of the organic chemistry and mineralogy of an ultracarbonaceous micrometeorite (UCAMM D05IB80) collected from near the Dome Fuji Station, Antarctica, was carried out to understand the genetic relationship among organic materials, silicates, and water. The micrometeorite is composed of a dense aggregate of similar to 5 mm-sized hollow ellipsoidal organic material containing submicrometer-sized phases such as glass with embedded metal and sulfides (GEMS) and mineral grains. There is a wide area of organic material (similar to 15 x 15 mu m) in its interior. Low-Ca pyroxene is much more abundant than olivine and shows various Mg/(Mg + Fe) ratios ranging from similar to 1.0 to 0.78, which is common to previous works on UCAMMs. By contrast, GEMS grains in this UCAMM have unusual chemical compositions. They are depleted in both Mg and S, which suggests that these elements were leached out from the GEMS grains during very weak aqueous alteration, without the formation of phyllosilicates. The organic materials have two textures-smooth and globular with an irregular outline- and these are composed of imine, nitrile and/or aromatic nitrogen heterocycles, and amide. The ratio of nitrogen to carbon (N/C) in the smooth region of the organics is similar to 0.15, which is five times higher than that of insoluble organic macromolecules in types 1 and 2 carbonaceous chondritic meteorites. In addition, the UCAMM organic materials are soluble in epoxy and are thus hydrophilic; this polar nature indicates that they are very primitive. The surface of the material is coated with an inorganic layer, a few nanometers thick, that consists of C, O, Si, S, and Fe. Sulfur is also contained in the interior, implying the presence of organosulfur moieties. There are no isotopic anomalies of D, C-13, or N-15 in the organic material. Interstellar photochemistry alone would not be sufficient to explain the N/C ratio of the UCAMM organics; therefore, we suggest that a very small amount of fluid on a comet must have been necessary for the formation of the UCAMM. The GEMS grains depleted in Mg and S in the UCAMM prove a very weak degree of aqueous alteration; weaker than that of carbonaceous chondrites. Short-duration weak alteration probably caused by planetesimal shock locally melted cometary ice grains and released water that dissolved the organics; the fluid would likely have not mobilized because of the very low thermal conductivity of the porous icy body. This event allowed the formation of the large organic puddle of the UCAMM, as well as organic matter sulfurization, formation of thin membrane-like layers of minerals, and deformation of organic nanoglobules. (C) 2017 Elsevier Ltd. All rights reserved.</t>
  </si>
  <si>
    <t>[Yabuta, Hikaru] Hiroshima Univ, Dept Earth &amp; Planetary Syst Sci, 1-3-1 Kagamiyama, Hiroshima 7398526, Japan; [Noguchi, Takaaki] Kyushu Univ, Fac Arts &amp; Sci, Nishi Ku, 744 Motooka, Fukuoka 8190395, Japan; [Itoh, Shoichi; Miyake, Akira] Kyoto Univ, Fac Sci, Sakyo Ku, Kitashirakawa Oiwake Cho, Kyoto 6068502, Japan; [Nakamura, Tomoki] Tohoku Univ, Dept Earth Sci, Aoba Ku, 6-3 Aramaki Aza Aoba, Sendai, Miyagi 9808578, Japan; [Tsujimoto, Shinichi; Ohashi, Noriaki] Ibaraki Univ, Coll Sci, 2-1-1 Bunkyo, Mito, Ibaraki 3108512, Japan; [Sakamoto, Naoya; Abe, Ken-ichi; Tachibana, Shogo] Hokkaido Univ, Dept Nat Hist Sci, Kita Ku, N10W8, Sapporo, Hokkaido 0600810, Japan; [Hashiguchi, Minako; Okazaki, Ryuji] Kyushu Univ, Fac Sci, Nishi Ku, 744 Motooka, Fukuoka 8190395, Japan; [Okubo, Aya; Nagahara, Hiroko] Univ Tokyo, Dept Earth &amp; Planetary Sci, Bunkyo Ku, 7-3-1 Hongo, Tokyo 1130033, Japan; [Kilcoyne, A. L. David] Lawrence Berkeley Natl Lab, Adv Light Source, 6 Cyclotron Rd, Berkeley, CA USA; [Terada, Kentaro] Osaka Univ, Dept Earth &amp; Space Sci, 1-1 Machikaneyama, Toyonaka, Osaka 5600043, Japan; [Ebihara, Mitsuru] Tokyo Metropolitan Univ, Dept Chem, 1-1 Minami Osawa, Hachioji, Tokyo 1920397, Japan</t>
  </si>
  <si>
    <t>Hiroshima University; Kyoto University; Tohoku University; Ibaraki University; Hokkaido University; Kyushu University; University of Tokyo; United States Department of Energy (DOE); Lawrence Berkeley National Laboratory; Osaka University; Tokyo Metropolitan University</t>
  </si>
  <si>
    <t>Yabuta, H (corresponding author), Hiroshima Univ, Dept Earth &amp; Planetary Syst Sci, 1-3-1 Kagamiyama, Hiroshima 7398526, Japan.</t>
  </si>
  <si>
    <t>hyabuta@hiroshima-u.ac.jp</t>
  </si>
  <si>
    <t>Yabuta, Hikaru/S-2662-2018; Noguchi, Takaaki/IWV-1123-2023; Kilcoyne, Arthur A L/I-1465-2013; Terada, Kentaro/AAN-5930-2021; MIYAKE, Akira/JTU-6576-2023; Nakamura, Tomoki/Y-8551-2018; HASHIGUCHI, Minako/Z-2896-2019; Tachibana, Shogo/R-7884-2018</t>
  </si>
  <si>
    <t>Noguchi, Takaaki/0000-0001-7211-2595; MIYAKE, Akira/0000-0002-6197-4656; Itoh, Shoichi/0000-0001-9431-0525; Kilcoyne, Arthur/0000-0002-8805-8690; HASHIGUCHI, MINAKO/0000-0002-0302-2171; Tachibana, Shogo/0000-0002-4603-9440; Terada, Kentaro/0000-0003-0120-1229</t>
  </si>
  <si>
    <t>Japanese Ministry of Education, Culture, Sports, Science and Technology [22224010]; Department of Energy, Basic Energy Sciences Program; Grants-in-Aid for Scientific Research [16H06349, 25247091, 25108002, 17H02975, 17H03784, 25108003, 16H04080, 16H01118, 25108006] Funding Source: KAKEN</t>
  </si>
  <si>
    <t>Japanese Ministry of Education, Culture, Sports, Science and Technology(Ministry of Education, Culture, Sports, Science and Technology, Japan (MEXT)); Department of Energy, Basic Energy Sciences Program(United States Department of Energy (DOE)); Grants-in-Aid for Scientific Research(Ministry of Education, Culture, Sports, Science and Technology, Japan (MEXT)Japan Society for the Promotion of ScienceGrants-in-Aid for Scientific Research (KAKENHI))</t>
  </si>
  <si>
    <t>We appreciate Christine Floss, an anonymous reviewer, and associate editor Eric Quirico for their constructive comments and helpful editorial handling. This work was supported by a Grant-in-Aid for Scientific Research from the Japanese Ministry of Education, Culture, Sports, Science and Technology (No. 22224010, PI: H. Nagahara). The STXM facility at the beamline 5.3.2.2, ALS, is supported by the Department of Energy, Basic Energy Sciences Program.</t>
  </si>
  <si>
    <t>10.1016/j.gca.2017.06.047</t>
  </si>
  <si>
    <t>Green Submitted, Green Published, hybrid</t>
  </si>
  <si>
    <t>WOS:000408153100010</t>
  </si>
  <si>
    <t>Pereira, JQ; Ambrosini, A; Passaglia, LMP; Brandelli, A</t>
  </si>
  <si>
    <t>Pereira, Jamile Queiroz; Ambrosini, Adriana; Pereira Passaglia, Luciane Maria; Brandelli, Adriano</t>
  </si>
  <si>
    <t>A new cold-adapted serine peptidase from Antarctic Lysobacter sp A03: Insights about enzyme activity at low temperatures</t>
  </si>
  <si>
    <t>INTERNATIONAL JOURNAL OF BIOLOGICAL MACROMOLECULES</t>
  </si>
  <si>
    <t>Cold-adapted enzyme; Peptidase design; Psychrophilic bacteria</t>
  </si>
  <si>
    <t>PROTEASE; EXPRESSION; STABILITY</t>
  </si>
  <si>
    <t>Currently, there is a great interest for customized biocatalysts that can supply the ongoing demand of industrial processes, but also deal with the growing concern about the environment. In this scenario, cold-adapted enzymes have features that make them very attractive for industrial and biotechnological purposes. Here, we describe AO3Pep1, a new cold-adapted serine peptidase isolated from Lysobacter sp. A03 by screening a genomic library. The enzyme is synthesized as a large inactive prepropeptidase that, after intramolecular processing, gives rise to the active form, of 35 kDa. The heterologous expression of A03Pep1 was carried out in E. coli cells harboring the vector pGEX-4T-2-a0307. Its activity was optimal at pH 9.0 and 40 degrees C, in the presence of 25 mM Ca2+, which may contribute to the thermal stability of the enzyme. The 3D structure modelling predicted a less deep and more open binding pocket in AO3Pep1 than that observed in the crystal structure of its mesophilic homologous AprV2, presumably as a way to enhance the probability of substrate binding at low temperatures. These results provide possible approaches in developing new biotechnologically relevant peptidases active at low to moderate temperatures. (C) 2017 Elsevier B.V. All rights reserved.</t>
  </si>
  <si>
    <t>[Pereira, Jamile Queiroz; Brandelli, Adriano] Univ Fed Rio Grande do Sul, Lab Bioquim &amp; Microbiol Aplicada, Porto Alegre, RS, Brazil; [Pereira, Jamile Queiroz; Ambrosini, Adriana; Pereira Passaglia, Luciane Maria] Univ Fed Rio Grande do Sul, Inst Biociencias, Dept Genet, Porto Alegre, RS, Brazil</t>
  </si>
  <si>
    <t>Universidade Federal do Rio Grande do Sul; Universidade Federal do Rio Grande do Sul</t>
  </si>
  <si>
    <t>Brandelli, A (corresponding author), ICTA UFRGS, Av Bento Goncalves 9500, BR-91501970 Porto Alegre, RS, Brazil.</t>
  </si>
  <si>
    <t>abrand@ufrgs.br</t>
  </si>
  <si>
    <t>Ambrosini, Adriana/I-9140-2016</t>
  </si>
  <si>
    <t>Brandelli, Adriano/0000-0002-9307-6471</t>
  </si>
  <si>
    <t>CNPq; CAPES (Brasilia, Brazil)</t>
  </si>
  <si>
    <t>CNPq(Conselho Nacional de Desenvolvimento Cientifico e Tecnologico (CNPQ)); CAPES (Brasilia, Brazil)(Coordenacao de Aperfeicoamento de Pessoal de Nivel Superior (CAPES))</t>
  </si>
  <si>
    <t>The authors are thankful to the Brazilian Antarctic Program (PROANTAR), in particular to Dr. LF Medina (Unisinos), by the samples provided. This work has received financial support of CNPq and CAPES (Brasilia, Brazil).</t>
  </si>
  <si>
    <t>0141-8130</t>
  </si>
  <si>
    <t>1879-0003</t>
  </si>
  <si>
    <t>INT J BIOL MACROMOL</t>
  </si>
  <si>
    <t>Int. J. Biol. Macromol.</t>
  </si>
  <si>
    <t>10.1016/j.ijbiomac.2017.05.142</t>
  </si>
  <si>
    <t>Biochemistry &amp; Molecular Biology; Chemistry, Applied; Polymer Science</t>
  </si>
  <si>
    <t>Biochemistry &amp; Molecular Biology; Chemistry; Polymer Science</t>
  </si>
  <si>
    <t>FE5YE</t>
  </si>
  <si>
    <t>WOS:000408286400098</t>
  </si>
  <si>
    <t>Shu-Chien, AC; Han, WY; Carter, CG; Fitzgibbon, QP; Simon, CJ; Kuah, MK; Battaglene, SC; Codabaccus, BM; Ventura, T</t>
  </si>
  <si>
    <t>Shu-Chien, Alexander Chong; Han, Wan-Yin; Carter, Chris G.; Fitzgibbon, Quinn P.; Simon, Cedric J.; Kuah, Meng-Kiat; Battaglene, Stephen C.; Codabaccus, Basseer M.; Ventura, Tomer</t>
  </si>
  <si>
    <t>Effect of dietary lipid source on expression of lipid metabolism genes and tissue lipid profile in juvenile spiny lobster Sagmariasus verreauxi</t>
  </si>
  <si>
    <t>AQUACULTURE</t>
  </si>
  <si>
    <t>FATTY-ACID-COMPOSITION; SOUTHERN ROCK LOBSTER; JASUS-EDWARDSII; FISH-OIL; MACROBRACHIUM-BORELLII; STAGE PHYLLOSOMA; PANULIRUS-ARGUS; GROWTH-RESPONSE; PENAEUS; PHOSPHOLIPIDS</t>
  </si>
  <si>
    <t>The spiny lobster Sagmariasus verreauxi is an emerging lobster species for intensive aquaculture. The lack of any nutritional information required for feed development in this species initiated this study to understand the effect of different dietary lipid sources on tissue lipid profiles and expression of selected lipid metabolising genes. Krill oil, marine oil (blend of fish oils), and vegetable oil (combination of linseed and palm oil), were utilised to formulate three experimental feeds with different phospholipid, triacylglycerol and polyunsaturated fatty acid profiles. Experimental feeds were administered to freshly moulted juvenile S. verreauxi for 50 to 55 days, to determine the effect of lipid sources on the nutritional status, fatty acid composition and expression of genes related to fatty acid biosynthesis, beta-oxidation, lipid catabolism and regulation of lipid metabolism. While there were no significant differences in terms of weight gain and mortality among different dietary treatments, the fatty acids composition in the hepatopancreas and to some extent, muscle tissues correlated with the fatty acids composition of the respective dietary treatments. Vegetable oil diet resulted in higher expression of genes related to beta-oxidation, which indicates selectivity towards utilisation of monounsaturated fatty acids for energy in this species. In tandem, genes related to fatty acid and cholesterol biosynthesis were upregulated, suggesting their importance in the marine lobster diet. This is the first report on the use of formulated feeds to successfully maintain juvenile S. verreauxi.</t>
  </si>
  <si>
    <t>[Shu-Chien, Alexander Chong; Han, Wan-Yin] Univ Sains Malaysia, Sch Biol Sci, Minden 11800, Penang, Malaysia; [Shu-Chien, Alexander Chong] Univ Sains Malaysia, Ctr Marine &amp; Coastal Studies, Minden 11800, Penang, Malaysia; [Carter, Chris G.; Fitzgibbon, Quinn P.; Simon, Cedric J.; Battaglene, Stephen C.; Codabaccus, Basseer M.] Univ Tasmania, Inst Marine &amp; Antarctic Studies, Private Bag 49, Hobart, Tas, Australia; [Kuah, Meng-Kiat] Univ Sains Malaysia, Ctr Chem Biol, Sains USM, Blok B 10, Bayan Lepas 11900, Penang, Malaysia; [Ventura, Tomer] Univ Sunshine Coast, Fac Sci Hlth Educ &amp; Engn, GeneCol Res Ctr, Sunshine Coast, Qld, Australia</t>
  </si>
  <si>
    <t>Universiti Sains Malaysia; Universiti Sains Malaysia; University of Tasmania; Universiti Sains Malaysia; University of the Sunshine Coast</t>
  </si>
  <si>
    <t>Shu-Chien, AC (corresponding author), Univ Sains Malaysia, Sch Biol Sci, Minden 11800, Penang, Malaysia.;Carter, CG (corresponding author), Univ Tasmania, Inst Marine &amp; Antarctic Studies, Private Bag 49, Hobart, Tas, Australia.</t>
  </si>
  <si>
    <t>alex@usm.my; chris.carter@utas.edu.au</t>
  </si>
  <si>
    <t>Simon, Cedric/AET-0945-2022; Kuah, Meng-Kiat/P-6087-2014; Carter, Chris Guy/A-3438-2008; Simon, Cedric/AAX-5264-2020; Ventura, T./H-9832-2019; Shu-Chien, Alexander Chong/D-4041-2009; Battaglene, Stephen C/H-9683-2014</t>
  </si>
  <si>
    <t>Simon, Cedric/0000-0002-7535-3332; Carter, Chris Guy/0000-0001-5210-1282; Simon, Cedric/0000-0002-7535-3332; Ventura, T./0000-0002-0777-2367; Shu-Chien, Alexander Chong/0000-0003-3014-442X; Fitzgibbon, Quinn/0000-0002-1104-3052; codabaccus, mohamed/0000-0001-5108-373X</t>
  </si>
  <si>
    <t>Universiti Sains Malaysia's IREC grant [1002/PBIOLOGI/910405]; IMAS Rock lobster propagation and physiology research by Australian Research Council Industrial Transformation Research Hub [IH12100032]; Nexus Aquasciences</t>
  </si>
  <si>
    <t>Universiti Sains Malaysia's IREC grant; IMAS Rock lobster propagation and physiology research by Australian Research Council Industrial Transformation Research Hub; Nexus Aquasciences</t>
  </si>
  <si>
    <t>This work was funded by Universiti Sains Malaysia's IREC grant (1002/PBIOLOGI/910405) and IMAS Rock lobster propagation and physiology research by the Australian Research Council Industrial Transformation Research Hub, Project number IH12100032). The support and collaboration of industry partner Nexus Aquasciences is acknowledged.</t>
  </si>
  <si>
    <t>0044-8486</t>
  </si>
  <si>
    <t>1873-5622</t>
  </si>
  <si>
    <t>Aquaculture</t>
  </si>
  <si>
    <t>10.1016/j.aquaculture.2017.05.036</t>
  </si>
  <si>
    <t>Fisheries; Marine &amp; Freshwater Biology</t>
  </si>
  <si>
    <t>FE2GM</t>
  </si>
  <si>
    <t>WOS:000408034700042</t>
  </si>
  <si>
    <t>O'Neill, TA</t>
  </si>
  <si>
    <t>O'Neill, T. A.</t>
  </si>
  <si>
    <t>Protection of Antarctic soil environments: A review of the current issues and future challenges for the Environmental Protocol</t>
  </si>
  <si>
    <t>Antarctica; Environmental protocol; Environmental management; Human impacts; Soil environment</t>
  </si>
  <si>
    <t>MCMURDO STATION; VESTFOLD HILLS; CONSERVATION; MANAGEMENT; IMPACTS; TERRESTRIAL; AREA; METHODOLOGY; REMEDIATION; WASTE</t>
  </si>
  <si>
    <t>2016 marked the 25th anniversary of the Protocol on Environmental Protection to the Antarctic Treaty. Terrestrial ice-free areas constitute approximately 0.18% of Antarctica, but represent the most biologically active, historically rich, and environmentally sensitive sites. Antarctic soils are easily disturbed and environmental legacies of human activities are scattered across the continent; many are remnants of the 1950s-1980s when environmental protection was less comprehensive than today. Adoption of the Environmental Protocol in 1991 represented an important and proactive shift in Antarctic governance, securing environmental protection as a fundamental tenet of the Treaty System. Twenty five years on standards of environmental management have greatly improved, yet environmental pressures are compounding. Shortcomings in the implementation of the Environmental Protocol exist due to disparities in cultural values, operational realities, and inconsistent environmental impact assessments among governments and National Antarctic Programs. Non-native species management remains underdeveloped; and there is inadequate representation of all biogeographic regions within the Protected Area system; therefore jeopardizing conservation of Antarctic biodiversity and the integrity of the soil environment. Fundamental improvements are required to address the current shortcomings and ensure effective environmental protection for the next 25 years, including: (1) increased multinational and multidisciplinary collaboration to answer targeted research questions addressing contemporary management challenges, (2) effective communication of science to policy makers and environmental managers to inform decision making, and (3) making the mandate of long-term monitoring of the terrestrial environment a high priority for all governments signatory to the Antarctic Treaty.</t>
  </si>
  <si>
    <t>[O'Neill, T. A.] Waikato Univ, Sch Sci, Private Bag 3105, Hamilton, New Zealand</t>
  </si>
  <si>
    <t>University of Waikato</t>
  </si>
  <si>
    <t>O'Neill, TA (corresponding author), Waikato Univ, Sch Sci, Private Bag 3105, Hamilton, New Zealand.</t>
  </si>
  <si>
    <t>tanya.o'neill@waikato.ac.nz</t>
  </si>
  <si>
    <t>O'Neill, Tanya/AAD-3240-2020; O'Neill, Tanya/I-3045-2017</t>
  </si>
  <si>
    <t>O'Neill, Tanya/0000-0001-8181-4249</t>
  </si>
  <si>
    <t>New Zealand Foundation of Research, Science and Technology</t>
  </si>
  <si>
    <t>New Zealand Foundation of Research, Science and Technology(New Zealand Foundation for Research, Science and Technology)</t>
  </si>
  <si>
    <t>The work that made this paper possible was largely funded by the New Zealand Foundation of Research, Science and Technology. Antarctica New Zealand and the Spanish Antarctic Program provided logistic support for field campaigns.</t>
  </si>
  <si>
    <t>10.1016/j.envsci.2017.06.017</t>
  </si>
  <si>
    <t>WOS:000407981300018</t>
  </si>
  <si>
    <t>Xu, ZX; Gao, GP; Xu, JP; Shi, MC</t>
  </si>
  <si>
    <t>Xu, Zhixin; Gao, Guoping; Xu, Jianping; Shi, Maochong</t>
  </si>
  <si>
    <t>The evolution of water property in the Mackenzie Bay polynya during Antarctic winter</t>
  </si>
  <si>
    <t>JOURNAL OF OCEAN UNIVERSITY OF CHINA</t>
  </si>
  <si>
    <t>Antarctic; Mackenzie Bay polynya; sea ice formation; heat flux; brine rejection</t>
  </si>
  <si>
    <t>SEA-ICE FORMATION; PRYDZ BAY; BOTTOM WATER; COASTAL POLYNYAS; EAST ANTARCTICA; VARIABILITY; REGION</t>
  </si>
  <si>
    <t>Temperature and salinity profile data, collected by southern elephant seals equipped with autonomous CTD-Satellite Relay Data Loggers (CTD-SRDLs) during the Antarctic wintertime in 2011 and 2012, were used to study the evolution of water property and the resultant formation of the high density water in the Mackenzie Bay polynya (MBP) in front of the Amery Ice Shelf (AIS). In late March the upper 100-200 m layer is characterized by strong halocline and inversion thermocline. The mixed layer keeps deepening up to 250 m by mid-April with potential temperature remaining nearly the surface freezing point and sea surface salinity increasing from 34.00 to 34.21. From then on until mid-May, the whole water column stays isothermally at about -1.90aintegral while the surface salinity increases by a further 0.23. Hereafter the temperature increases while salinity decreases along with the increasing depth both by 0.1 order of magnitude vertically. The upper ocean heat content ranging from 120.5 to 2.9 MJ m(-2), heat flux with the values of 9.8-287.0 W m(-2) loss and the sea ice growth rates of 4.3-11.7 cm d(-1) were estimated by using simple 1-D heat and salt budget methods. The MBP exists throughout the whole Antarctic winter (March to October) due to the air-sea-ice interaction, with an average size of about 5.0x10(3) km(2). It can be speculated that the decrease of the salinity of the upper ocean may occur after October each year. The recurring sea-ice production and the associated brine rejection process increase the salinity of the water column in the MBP progressively, resulting in, eventually, the formation of a large body of high density water.</t>
  </si>
  <si>
    <t>[Xu, Zhixin; Xu, Jianping; Shi, Maochong] Ocean Univ China, Coll Ocean &amp; Atmospher Sci, Qingdao 266100, Peoples R China; [Xu, Zhixin; Xu, Jianping] State Ocean Adm, State Key Lab Satellite Ocean Environm Dynam SOED, Hangzhou 310012, Zhejiang, Peoples R China; [Xu, Zhixin; Gao, Guoping; Xu, Jianping] Shanghai Ocean Univ, Coll Marine Sci, Shanghai 201306, Peoples R China; [Xu, Zhixin; Xu, Jianping] State Ocean Adm, Inst Oceanog 2, Hangzhou 310012, Zhejiang, Peoples R China</t>
  </si>
  <si>
    <t>Ocean University of China; Shanghai Ocean University</t>
  </si>
  <si>
    <t>Gao, GP (corresponding author), Shanghai Ocean Univ, Coll Marine Sci, Shanghai 201306, Peoples R China.</t>
  </si>
  <si>
    <t>gpgao@shou.edu.cn</t>
  </si>
  <si>
    <t>Science and Technology Basic Work of the Ministry of Science and Technology of China [2012FY112300]</t>
  </si>
  <si>
    <t>Science and Technology Basic Work of the Ministry of Science and Technology of China</t>
  </si>
  <si>
    <t>This research is supported by the Science and Technology Basic Work of the Ministry of Science and Technology of China (No. 2012FY112300) It is our pleasure to thank Prof. Mark Hindell from the University of Tasmania, Australia, for providing the IMOS Seal-CTD data.</t>
  </si>
  <si>
    <t>OCEAN UNIV CHINA</t>
  </si>
  <si>
    <t>QINGDAO</t>
  </si>
  <si>
    <t>5 YUSHAN RD, QINGDAO, 266003, PEOPLES R CHINA</t>
  </si>
  <si>
    <t>1672-5182</t>
  </si>
  <si>
    <t>1993-5021</t>
  </si>
  <si>
    <t>J OCEAN U CHINA</t>
  </si>
  <si>
    <t>J. OCEAN UNIV.</t>
  </si>
  <si>
    <t>10.1007/s11802-017-3286-8</t>
  </si>
  <si>
    <t>FD6CA</t>
  </si>
  <si>
    <t>WOS:000407615200006</t>
  </si>
  <si>
    <t>Agostini, KD; Rodrigues, LAD; de Alencar, AS; Mendonça, CBF; Gonçalves-Esteves, V</t>
  </si>
  <si>
    <t>Agostini, Karnila da Matta; da Costa Rodrigues, Luiz Antonio; de Alencar, Alexandre Santos; Ferreira Mendonca, Claudia Barbieri; Goncalves-Esteves, Vania</t>
  </si>
  <si>
    <t>Analysis of exotic pollen grains and spores from thawing lakes of King George Island, Antarctic Peninsula</t>
  </si>
  <si>
    <t>REVIEW OF PALAEOBOTANY AND PALYNOLOGY</t>
  </si>
  <si>
    <t>Lake thaw; Palynomorph; Exotic; Atmospheric transport; Antarctica</t>
  </si>
  <si>
    <t>LEGUMINOSAE; MICROORGANISMS; MIMOSOIDEAE; MORPHOLOGY</t>
  </si>
  <si>
    <t>Desertification of areas of the Antarctic Peninsula in recent years has been associated with the introduction of heat and abiotic aerosols from the tropics via atmospheric circulation. This environmental transformation has permitted colonization by plants and the establishment of microorganisms in the long-term; however, the mechanisms responsible are not well understood. The present work presents the results of an analysis of exotic pollen grains and spores collected from thawing lakes located on Ming George Island, Antarctica Peninsula. Atmospheric transport patterns for the region and the main source of the palynomorphs were determined. A total of 13 pollen types of the families Cyperaceae, Apocynaceae, Asteraceae, Malpighiaceae, Meliaceae, Leguminosae, Polygalaceae, Ranunculaceae, Rubiaceae, Ruscaceae and Urticaceae and one spore (Gleicheniaceae) were identified. These groups occur in open areas and are propitious to winds in subtropical, pantropical and neotropical terrestrial regions. Through analysis of the spore-pollen morphology and biogeography of source plants, air transport was found to be a potential, and perhaps the main, transport mechanism for the austral region. (C) 2017 Published by Elsevier B.V.</t>
  </si>
  <si>
    <t>[Agostini, Karnila da Matta; de Alencar, Alexandre Santos] Univ Estado Rio de Janeiro, Inst Biol Roberto Alcantara Gomes, Lab Radioecol &amp; Mudancas Globais, Rio De Janeiro, Brazil; [da Costa Rodrigues, Luiz Antonio; Ferreira Mendonca, Claudia Barbieri; Goncalves-Esteves, Vania] Univ Fed Rio de Janeiro, Museu Nacl, Dept Bot, Lab Palinol Alvaro Xavier Moreira, Rio De Janeiro, Brazil; [de Alencar, Alexandre Santos] Univ Veiga Almeida, Curso Ciencias Biol, Rio De Janeiro, Brazil</t>
  </si>
  <si>
    <t>Universidade do Estado do Rio de Janeiro; Universidade Federal do Rio de Janeiro; Universidade Veiga de Almeida (UVA)</t>
  </si>
  <si>
    <t>Gonçalves-Esteves, V (corresponding author), Univ Fed Rio de Janeiro, Museu Nacl, Dept Bot, Lab Palinol Alvaro Xavier Moreira, Rio De Janeiro, Brazil.</t>
  </si>
  <si>
    <t>alencar@uerj.br; esteves.vr@gmail.com</t>
  </si>
  <si>
    <t>Goncalves-Esteves, Vania/I-5572-2012; Costa Rodrigues, Luiz Antonio/J-5841-2018; Mendonca, Claudia Barbieri F./L-9261-2013</t>
  </si>
  <si>
    <t>Goncalves-Esteves, Vania/0000-0002-2803-6027; Costa Rodrigues, Luiz Antonio/0000-0003-0025-4177; Mendonca, Claudia Barbieri F./0000-0003-4219-6147</t>
  </si>
  <si>
    <t>Instituto Nacional de Ciencias e Tecnologia do Criosfera (INCT-Criosfera/Cnpq); Fundacao de Apoio a Pesquisa no Estado do Rio de Janeiro (FAPERJ)</t>
  </si>
  <si>
    <t>Instituto Nacional de Ciencias e Tecnologia do Criosfera (INCT-Criosfera/Cnpq); Fundacao de Apoio a Pesquisa no Estado do Rio de Janeiro (FAPERJ)(Fundacao Carlos Chagas Filho de Amparo a Pesquisa do Estado do Rio De Janeiro (FAPERJ))</t>
  </si>
  <si>
    <t>We thank the Programa Antartico Brasileiro (Brazilian Antarctic Program; PROANTAR/CNPq) for collecting the material; the members of the Laboratorio de Palinologia Alvaro Xavier Moreira (Alvaro Xavier Moreira Palynology Laboratory) for its support of research and development; and the Laboratorio de Radioecologia e Mudancas Globais (Laboratory of Radioecology and Global Change; LARAMG), especially Dra. Elaine Alves dos Santos, Dr. Heitor Evangelista da Silva and Dr. Antonio Carlos de Freitas, for their cooperation and important suggestions. This work was financed by Instituto Nacional de Ciencias e Tecnologia do Criosfera (INCT-Criosfera/Cnpq), and Fundacao de Apoio a Pesquisa no Estado do Rio de Janeiro (FAPERJ).</t>
  </si>
  <si>
    <t>0034-6667</t>
  </si>
  <si>
    <t>1879-0615</t>
  </si>
  <si>
    <t>REV PALAEOBOT PALYNO</t>
  </si>
  <si>
    <t>Rev. Palaeobot. Palynology</t>
  </si>
  <si>
    <t>10.1016/j.revpa1bo.2017.05.006</t>
  </si>
  <si>
    <t>Plant Sciences; Paleontology</t>
  </si>
  <si>
    <t>FD4YE</t>
  </si>
  <si>
    <t>WOS:000407537300001</t>
  </si>
  <si>
    <t>Hernández-Guerra, A; Espino-Falcón, E; Vélez-Belchí, P; Pérez-Hernández, MD; Martínez-Marrero, A; Cana, L</t>
  </si>
  <si>
    <t>Hernandez-Guerra, Alonso; Espino-Falcon, Elisabet; Velez-Belchi, Pedro; Dolores Perez-Hernandez, M.; Martinez-Marrero, Antonio; Cana, Luis</t>
  </si>
  <si>
    <t>Recirculation of the Canary Current in fall 2014</t>
  </si>
  <si>
    <t>JOURNAL OF MARINE SYSTEMS</t>
  </si>
  <si>
    <t>Canary Current; Recirculation of the Canary Current; Intermediate Poleward Undercurrent; Lanzarote Passage</t>
  </si>
  <si>
    <t>ATLANTIC SUBTROPICAL GYRE; EASTERN NORTH-ATLANTIC; MERIDIONAL OVERTURNING TRANSPORTS; PHYTOPLANKTON PIGMENT PATTERNS; UPWELLING SYSTEM; SEASONAL VARIABILITY; BOUNDARY CURRENT; ISLANDS AREA; CIRCULATION; OCEAN</t>
  </si>
  <si>
    <t>Hydrographic measurements together with Ship mounted Acoustic Doppler Current Profilers and Lowered Acoustic Doppler Current Profilers (LADCP) obtained in October 2014 are used to describe water masses, geostrophic circulation and mass transport of the Canary Current System, as the Eastern Boundary of the North Atlantic Subtropical Gyre. Geostrophic velocities are adjusted to velocities from LADCP data to estimate an initial velocity at the reference layer. The adjustment results in a northward circulation at the thermocline layers over the African slope from an initial convergent flow. Final reference velocities and consequently absolute circulation are estimated from an inverse box model applied to an ocean divided into 13 neutral density layers. This allows us to evaluate mass fluxes consistent with the thermal wind equation and mass conservation. Ekman transport is estimated from the wind data derived from the Weather Research and Forecasting model. Ekman transport is added to the first layer and adjusted with the inverse model. The Canary Current located west of Lanzarote Island transports to the south a mass of 1.5 +/- 0.7 Sv (1 Sv = 10(6) m(3) s(-1) Re, 109 kg s-1) of North Atlantic Central Water at the surface and thermocline layers (similar to 0-700 m). In fall 2014, hydrographic data shows that the Canary Current in the thermocline (below at about 80 m depth to similar to 700 m) recirculates to the north over the African slope and flows through the Lanzarote Passage. At intermediate layers (similar to 700-1400 m), the Intermediate Poleward Undercurrent transports northward a relatively fresh Antarctic Intermediate Water in the range of 0.8 +/- 0.4 Sv through the Lanzarote Passage and west of Lanzarote Island beneath the recirculation of the Canary Current. (C) 2017 Elsevier B.V. All rights reserved.</t>
  </si>
  <si>
    <t>[Hernandez-Guerra, Alonso; Espino-Falcon, Elisabet; Dolores Perez-Hernandez, M.; Martinez-Marrero, Antonio; Cana, Luis] ULPGC, Inst Oceanog &amp; Cambio Global, IOCAG, Canary Isl, Spain; [Velez-Belchi, Pedro] Inst Espanol Oceanog, Ctr Oceanog Canarias, Santa Cruz De Tenerife, Canary Islands, Spain; [Dolores Perez-Hernandez, M.] Woods Hole Oceanog Inst, Woods Hole, MA 02543 USA</t>
  </si>
  <si>
    <t>Universidad de Las Palmas de Gran Canaria; Spanish Institute of Oceanography; Woods Hole Oceanographic Institution</t>
  </si>
  <si>
    <t>Hernández-Guerra, A (corresponding author), ULPGC, Inst Oceanog &amp; Cambio Global, IOCAG, Canary Isl, Spain.</t>
  </si>
  <si>
    <t>alonso.hernandez@ulpgc.es</t>
  </si>
  <si>
    <t>Hernandez-Guerra, Alonso/A-4747-2008; Cana-Cascallar, Luis C/A-7663-2008; Pérez-Hernández, Maria Dolores/J-5330-2014; Martinez-Marrero, Antonio/Q-6714-2017; Velez-Belchi, Pedro/I-9150-2017</t>
  </si>
  <si>
    <t>Hernandez-Guerra, Alonso/0000-0002-4883-8123; Cana-Cascallar, Luis C/0000-0001-6006-5488; Pérez-Hernández, Maria Dolores/0000-0001-7293-9584; Martinez-Marrero, Antonio/0000-0002-2376-1561; Velez-Belchi, Pedro/0000-0003-2404-5679</t>
  </si>
  <si>
    <t>SeVaCan project from Ministerio de Economia y Competividad [CTM2013-48695]</t>
  </si>
  <si>
    <t>SeVaCan project from Ministerio de Economia y Competividad</t>
  </si>
  <si>
    <t>This study has been performed as part of the Institute Espanol de Oceanografia RAPROCAN project, and as a part of the SeVaCan project (CTM2013-48695) from the Ministerio de Economia y Competividad. This work was completed while M.D. Perez-Hernandez was a Ph.D. student in the IOCAG Doctoral Programme in Oceanography and Global Change. The authors are grateful to the captain and crew of the R/V Angeles Alvarino for their help at sea. Many thanks go to David Sosa and Rayco Alvarado for helping with data treatment and figures and Christina Mock for her suggestions and English corrections.</t>
  </si>
  <si>
    <t>0924-7963</t>
  </si>
  <si>
    <t>1879-1573</t>
  </si>
  <si>
    <t>J MARINE SYST</t>
  </si>
  <si>
    <t>J. Mar. Syst.</t>
  </si>
  <si>
    <t>10.1016/j.jmarsys.2017.04.002</t>
  </si>
  <si>
    <t>Geosciences, Multidisciplinary; Marine &amp; Freshwater Biology; Oceanography</t>
  </si>
  <si>
    <t>Geology; Marine &amp; Freshwater Biology; Oceanography</t>
  </si>
  <si>
    <t>FC3HX</t>
  </si>
  <si>
    <t>WOS:000406730800003</t>
  </si>
  <si>
    <t>Hasegawa, T; Oe, H; Taki, M; Sakaguchi, H; Hirano, S; Wada, Y</t>
  </si>
  <si>
    <t>Hasegawa, Tatsuhisa; Oe, Hirofumi; Taki, Masakatsu; Sakaguchi, Hirofumi; Hirano, Shigeru; Wada, Yoshiro</t>
  </si>
  <si>
    <t>End-tidal CO2 relates to seasickness susceptibility: A study in Antarctic voyages</t>
  </si>
  <si>
    <t>AURIS NASUS LARYNX</t>
  </si>
  <si>
    <t>End-tidal CO2; Motion sickness; Susceptibility; Antarctic voyage</t>
  </si>
  <si>
    <t>MOTION SICKNESS; TACHYGASTRIA; MUSIC</t>
  </si>
  <si>
    <t>Objective: To investigate the relationship between end-tidal CO2 (EtCO2) and seasickness (motion sickness at sea) during an Antarctic voyage. Methods: In this study, we measured EtCO2 and severity of seasickness using the subjective symptoms of motion sickness (SSMS). We sampled EtCO2 and SSMS every 3-4 h for 3 days from the date of sail in 16 healthy subjects. This experiment was performed on an icebreaker (standard displacement: 12,650 t). Results: Since 2 subjects dropped out because of severe motion sickness, available data were collected from 14 subjects. On analysis of all data of all subjects grouped together, there seemed to be a significant negative correlation between EtCO2 and SSMS (R = -0.27, P = 0.0005). However, in individual subjects, this correlation was not obvious. During the voyage, EtCO2 level in the seasickness susceptible group was lower than that in the non-susceptible group (P = 0.018). Both EtCO2 increasing in the non-susceptible group and decreasing in the susceptible group contribute to the difference in EtCO2 levels. We suggest that the cause of this increase in EtCO2 level in the non susceptible group was unwitting slow and deep breathing to resist seasickness. Conclusion: We revealed that for seasickness during an Antarctic voyage, EtCO2 level relates to susceptibility, but not occurrence or severity. Measurement of EtCO2 levels may be useful to identify seasickness-susceptible persons and to efficiently prevent seasickness. (C) 2016 Elsevier Ireland Ltd. All rights reserved.</t>
  </si>
  <si>
    <t>[Hasegawa, Tatsuhisa; Oe, Hirofumi] Natl Inst Polar Res, 10-3 Midori Cho, Tachikawa, Tokyo, Japan; [Hasegawa, Tatsuhisa; Taki, Masakatsu; Sakaguchi, Hirofumi; Hirano, Shigeru] Kyoto Prefectural Univ Med, Dept Otolaryngol Head &amp; Neck Surg, Kamigyo Ku, 465 Kajii Cho, Kyoto, Japan; [Wada, Yoshiro] Nara Med Univ, Dept Otorhinolaryngol Head &amp; Neck Surg, 840 Shijo Cho, Kashihara, Nara, Japan; [Hasegawa, Tatsuhisa] Ayabe City Hosp, Dept Otolaryngol, 20-1 Ootsuka,Aono Cho, Ayabe, Kyoto, Japan; [Wada, Yoshiro] Wada Ear Nose &amp; Throat Clin, Higashisumiyosi Ku, 4-7-15 Komagawa, Osaka, Japan</t>
  </si>
  <si>
    <t>Research Organization of Information &amp; Systems (ROIS); National Institute of Polar Research (NIPR) - Japan; Kyoto Prefectural University of Medicine; Nara Medical University</t>
  </si>
  <si>
    <t>Hasegawa, T (corresponding author), Kyoto Prefectural Univ Med, Dept Otolaryngol Head &amp; Neck Surg, Kamigyo Ku, 465 Kajii Cho, Kyoto, Japan.</t>
  </si>
  <si>
    <t>hasegawa@koto.kpu-m.ac.jp</t>
  </si>
  <si>
    <t>Hirano, Shigeru/0000-0003-1737-6613</t>
  </si>
  <si>
    <t>National Institute of Polar Research [PK-13]</t>
  </si>
  <si>
    <t>National Institute of Polar Research(National Institute of Polar Research (NIPR) - Japan)</t>
  </si>
  <si>
    <t>We thank M. Ikegawa, K. Ogata, T. Sekimoto, and T. Matsunami for their support during the preparation of this work. We also thank K. Watanabe, G. Hashida and the members of JARE54 for supporting this research. This research was a part of the Science Program of JARE54, and supported by the National Institute of Polar Research through General Collaboration Projects PK-13. We appreciate the captain and crews of the Icebreaker Shirase for cooperation with the JARE54 including this research.</t>
  </si>
  <si>
    <t>0385-8146</t>
  </si>
  <si>
    <t>1879-1476</t>
  </si>
  <si>
    <t>Auris Nasus Larynx</t>
  </si>
  <si>
    <t>10.1016/j.anl.2016.11.005</t>
  </si>
  <si>
    <t>Otorhinolaryngology</t>
  </si>
  <si>
    <t>FC1BQ</t>
  </si>
  <si>
    <t>WOS:000406572800006</t>
  </si>
  <si>
    <t>Sato, M; Benoit-Bird, KJ</t>
  </si>
  <si>
    <t>Sato, Mei; Benoit-Bird, Kelly J.</t>
  </si>
  <si>
    <t>Spatial variability of deep scattering layers shapes the Bahamian mesopelagic ecosystem</t>
  </si>
  <si>
    <t>Deep scattering layers; Spatial variability; Acoustics; Bahamas; Tongue of the Ocean; Abaco Island</t>
  </si>
  <si>
    <t>PACIFIC SUBTROPICAL GYRE; FOOD-CHAIN LENGTH; VERTICAL MIGRATION; NORTH PACIFIC; BEAKED-WHALES; ZIPHIUS-CAVIROSTRIS; ANTARCTIC PENINSULA; FEEDING ECOLOGY; DYNAMICS; ZOOPLANKTON</t>
  </si>
  <si>
    <t>Deep scattering layers (DSLs) play an important role in pelagic food webs, serving as a vehicle for transferring energy between productive surface waters and the deep sea. We ex plored the spatial dynamics of DSLs off the Bahamas in shaping oligotrophic ecosystems. We compared 2 areas known to be important foraging habitats for a deep-diving predator, Blainville's beaked whales: the Tongue of the Ocean (TOTO), an oceanographically isolated habitat, and the waters off Abaco Island, an oceanographically connected habitat. Using ship-based multifrequency echosounders and direct net sampling, we identified common layer structures characterized by diffuse, broad layers (&gt; 100 m in thickness) observed across the study areas. Within those diffuse layers, we occasionally observed distinctively bounded intense layers (similar to 20 m in thickness) located at the upper edges of the DSLs. We found that spatial variability of layer structures shaped the Bahamian ecosystem. By comparing common layer types across the sampling locations, 2 potential mechanisms were identified. The area off Abaco Island was characterized by diffuse layers comprised of larger animals with greater migration distance and biomass than the habitat in TOTO, suggesting that Abaco may transfer more energy between energy-rich surface waters and the deep sea. Within TOTO, habitat most frequently used by beaked whales was characterized by the highest occurrence of intense layers dominated by thinner layers, suggesting such fine-scale structures may increase foraging efficiency by layer predators. Spatial variability of the DSL structures reveals the dynamics of the Bahamian mesopelagic ecosystem, potentially driving the beaked whales through bottom-up control of their prey.</t>
  </si>
  <si>
    <t>[Sato, Mei; Benoit-Bird, Kelly J.] Oregon State Univ, Coll Earth Ocean &amp; Atmospher Sci, 104 CEOAS Admin Bldg, Corvallis, OR 97331 USA; [Benoit-Bird, Kelly J.] Monterey Bay Aquarium Res Inst, 7700 Sandholdt Rd, Moss Landing, CA 95039 USA</t>
  </si>
  <si>
    <t>Oregon State University; Monterey Bay Aquarium Research Institute</t>
  </si>
  <si>
    <t>Sato, M (corresponding author), Oregon State Univ, Coll Earth Ocean &amp; Atmospher Sci, 104 CEOAS Admin Bldg, Corvallis, OR 97331 USA.</t>
  </si>
  <si>
    <t>msato@coas.oregonstate.edu</t>
  </si>
  <si>
    <t>Benoit-Bird, Kelly J./0000-0002-5868-0390</t>
  </si>
  <si>
    <t>Office of Naval Research Marine Mammal Biology Program [N00014-15-1-2204]</t>
  </si>
  <si>
    <t>Office of Naval Research Marine Mammal Biology Program</t>
  </si>
  <si>
    <t>We thank the crew of the R/V 'Sharp' for field support. Chad Waluk provided technical expertise, assisted with equipment setup and data collection, and conducted pre-processing of the CTD and acoustic data. Marnie Jo Zirbel provided taxonomic expertise. Mark Moline, Brandon Southall, Chad Waluk, Ian Robbins, Diane Claridge, Charlotte Dunn, Megan Cimino, and Matthew Breece collaborated on the field operations. We thank 3 anonymous reviewers for their valuable comments which improved the focus of the manuscript. This work was funded by the Office of Naval Research Marine Mammal Biology Program (Grant Number: N00014-15-1-2204) to Kelly Benoit-Bird, Mark Moline, and Brandon Southall.</t>
  </si>
  <si>
    <t>SEP 29</t>
  </si>
  <si>
    <t>10.3354/meps12295</t>
  </si>
  <si>
    <t>FR5FE</t>
  </si>
  <si>
    <t>WOS:000419091500005</t>
  </si>
  <si>
    <t>Zhu, YL; Ishizaka, J; Tripathy, SC; Wang, SQ; Sukigara, C; Goes, J; Matsuno, T; Suggett, DJ</t>
  </si>
  <si>
    <t>Zhu, Yuanli; Ishizaka, Joji; Tripathy, Sarat Chandra; Wang, Shengqiang; Sukigara, Chiho; Goes, Joaquim; Matsuno, Takeshi; Suggett, David J.</t>
  </si>
  <si>
    <t>Relationship between light, community composition and the electron requirement for carbon fixation in natural phytoplankton</t>
  </si>
  <si>
    <t>Electron transfer rate; ETR; Primary productivity; Quantum requirement; Carbon fixation; Phytoplankton composition; Fast repetition rate fluorometry</t>
  </si>
  <si>
    <t>REPETITION RATE FLUOROMETRY; EAST CHINA SEA; PRIMARY PRODUCTIVITY; CELL-SIZE; PHOTOSYSTEM-II; ACTIVE FLUORESCENCE; SEASONAL-VARIATION; PHOTO-PHYSIOLOGY; PRODUCTION-MODEL; SPECTRAL SHAPE</t>
  </si>
  <si>
    <t>Fast repetition rate fluorometry (FRRF) provides a means to examine primary productivity at high resolution across broad scales, but must be coupled with independent knowledge of the electron requirement for carbon uptake (K-C) to convert FRRF-measured electron transfer rate (ETR) to an inorganic carbon (C) uptake rate. Previous studies have demonstrated that variability of K-C can be explained by key environmental factors (e.g. light, nutrients, temperature). However, how such reconciliation of K-C reflects changes of phytoplankton physiological status versus that of community composition has not been well resolved. Therefore, using a dataset of coupled FRRF and C uptake measurements, we examined how the environmental dependency of K-C potentially varied with parallel changes in phytoplankton community structure. Data were combined from 14 campaigns conducted during the summer season throughout 2007 to 2014 in the East China Sea (ECS) and Tsushima Strait (TS). K-C varied considerably, but this variability was best explained by a linear relationship with light availability (R-2 = 0.66). Co-variability between K-C and light availability was slightly improved by considering data as 2 clusters of physico-chemical conditions (R-2 = 0.74), but was best improved as 2 taxonomic clusters: samples dominated by micro-phytoplankton (&gt; 20 mu m) versus small phytoplankton (nano + pico, &lt; 20 mu m; R-2 = 0.70-0.81). Interaction of phytoplankton community structure with light availability therefore explains the majority of variance of K-C. The algorithms generated through our analysis therefore provide a means to examine C uptake with high resolution from future FRRF observations from these waters.</t>
  </si>
  <si>
    <t>[Zhu, Yuanli; Ishizaka, Joji] Nagoya Univ, Inst Space Earth Environm Res, Nagoya, Aichi 4648601, Japan; [Tripathy, Sarat Chandra] Minist Earth Sci, ESSO Natl Ctr Antarctic &amp; Ocean Res, Vasco Da Gama 403804, Goa, India; [Wang, Shengqiang] Nanjing Univ Informat Sci &amp; Technol, Sch Marine Sci, Nanjing 210044, Jiangsu, Peoples R China; [Sukigara, Chiho] Nagoya Univ, Grad Sch Environm Studies, Nagoya, Aichi 4648601, Japan; [Goes, Joaquim] Columbia Univ, Lamont Doherty Earth Observ, Palisades, NY 10964 USA; [Matsuno, Takeshi] Kyushu Univ, Res Inst Appl Mech, Fukuoka 8128581, Japan; [Suggett, David J.] Univ Technol Sydney, Climate Change Cluster, POB 123, Broadway, NSW 2007, Australia</t>
  </si>
  <si>
    <t>Nagoya University; Ministry of Earth Sciences (MoES) - India; National Centre for Polar and Ocean Research (NCPOR); Nanjing University of Information Science &amp; Technology; Nagoya University; Columbia University; Kyushu University; University of Technology Sydney</t>
  </si>
  <si>
    <t>Zhu, YL (corresponding author), Nagoya Univ, Inst Space Earth Environm Res, Nagoya, Aichi 4648601, Japan.</t>
  </si>
  <si>
    <t>zyl19840218@gmail.com</t>
  </si>
  <si>
    <t>Suggett, David J/G-9212-2017; Sukigara, Chiho/AGH-0186-2022; Ishizaka, Joji/B-3587-2009; Zhu, Li/KBA-1685-2024</t>
  </si>
  <si>
    <t>Matsuno, Takeshi/0000-0001-8526-909X; Tripathy, Dr. Sarat Chandra/0000-0002-2437-8660; Goes, Joaquim/0000-0002-9785-6985</t>
  </si>
  <si>
    <t>Global Change Observation Mission-Climate (GCOM-C) Project of the Japan Aerospace Exploration Agency; Japan Society for the Promotion of Science KAKENHI [JP26241009]; Zhejiang Provincial Natural Science Foundation of China [LQ16C030004]; Australian Research Council Future Fellowship [FT130100202]; National Aeronautics and Space Administration [NNX16AD40G]</t>
  </si>
  <si>
    <t>Global Change Observation Mission-Climate (GCOM-C) Project of the Japan Aerospace Exploration Agency; Japan Society for the Promotion of Science KAKENHI(Ministry of Education, Culture, Sports, Science and Technology, Japan (MEXT)Japan Society for the Promotion of ScienceGrants-in-Aid for Scientific Research (KAKENHI)); Zhejiang Provincial Natural Science Foundation of China(Natural Science Foundation of Zhejiang Province); Australian Research Council Future Fellowship(Australian Research Council); National Aeronautics and Space Administration(National Aeronautics &amp; Space Administration (NASA))</t>
  </si>
  <si>
    <t>We thank the captain, officers and crew of TV 'Nagasaki Maru' for their assistance during onboard sampling and measurements. Many thanks to Dr. Koji Suzuki for measuring HPLC data. The earlier version of the manuscript greatly benefited from the critical reading by Drs. Akiko Mizuno and Egil Sakshaug. We thank 4 anonymous reviewers for their very constructive comments and suggestions. This research was supported by the Global Change Observation Mission-Climate (GCOM-C) Project of the Japan Aerospace Exploration Agency and partially supported by the Japan Society for the Promotion of Science KAKENHI (JP26241009) and Zhejiang Provincial Natural Science Foundation of China (LQ16C030004). The contribution by D.J.S. was supported by an Australian Research Council Future Fellowship (FT130100202); the contribution by J.G. was supported by the National Aeronautics and Space Administration (NNX16AD40G).</t>
  </si>
  <si>
    <t>10.3354/meps12310</t>
  </si>
  <si>
    <t>WOS:000419091500006</t>
  </si>
  <si>
    <t>Schaafsma, FL; Kohlbach, D; David, C; Lange, BA; Graeve, M; Flores, H; van Franeker, JA</t>
  </si>
  <si>
    <t>Schaafsma, Fokje L.; Kohlbach, Doreen; David, Carmen; Lange, Benjamin A.; Graeve, Martin; Flores, Hauke; van Franeker, Jan A.</t>
  </si>
  <si>
    <t>Spatio-temporal variability in the winter diet of larval and juvenile Antarctic krill, Euphausia superba, in ice-covered waters</t>
  </si>
  <si>
    <t>Euphausia superba; Winter; Stomach contents; Fatty acids; Sea ice; Weddell Sea; Furcilia; Juveniles</t>
  </si>
  <si>
    <t>SEA-ICE; WEDDELL SEA; PACK ICE; FOOD-WEB; LIPID BIOMARKERS; TROPHIC MARKERS; MARINE; PHYTOPLANKTON; ZOOPLANKTON; ABUNDANCE</t>
  </si>
  <si>
    <t>Antarctic krill Euphausia superba is an ecological key species in the Southern Ocean and a major fisheries resource. The winter survival of age class 0 (AC0) krill is susceptible to changes in the sea-ice environment due to their association with sea ice and their need to feed during their first winter. However, our understanding of their overwintering diet and its variability is limited. We studied the spatio-temporal variability of the diet in 4 cohorts of AC0 krill in the Northern Weddell Sea during late winter 2013 using stomach contents, fatty acids (FAs) and bulk stable isotope analysis (BSIA). Stomach contents were dominated by diatoms in numbers and occasionally contained large volumes of copepods. Many of the prey species found in the stomachs were sea ice-associated. Our results show that the diet of overwintering AC0 krill varies significantly in space and time. Variability in stomach content composition was related to environmental factors, including chlorophyll a concentration, copepod abundance and sea-ice cover. In contrast, FA composition mainly varied between cohorts, indicating variation in the long-term diet. The condition of the AC0 krill was reflected in FA and BSIA analysis, suggesting that the availability of sea ice-derived food sources over a long period may impact the condition of developing AC0 krill significantly. The spatio-temporal availability of sea-ice resources is a potentially important factor for AC0 krill winter survival.</t>
  </si>
  <si>
    <t>[Schaafsma, Fokje L.; van Franeker, Jan A.] Wageningen Marine Res, Ankerpk 27, NL-1781 AG Den Helder, Netherlands; [Kohlbach, Doreen; David, Carmen; Lange, Benjamin A.; Graeve, Martin; Flores, Hauke] Alfred Wegener Inst Helmholtz Zentrum Polar &amp; Mee, Handelshafen 12, D-27570 Bremerhaven, Germany; [Kohlbach, Doreen; David, Carmen; Lange, Benjamin A.; Flores, Hauke] Univ Hamburg, Ctr Nat Hist CeNak, Zool Museum, Martin Luther King Pl 3, D-20146 Hamburg, Germany</t>
  </si>
  <si>
    <t>Wageningen University &amp; Research; Helmholtz Association; Alfred Wegener Institute, Helmholtz Centre for Polar &amp; Marine Research; University of Hamburg</t>
  </si>
  <si>
    <t>Schaafsma, FL (corresponding author), Wageningen Marine Res, Ankerpk 27, NL-1781 AG Den Helder, Netherlands.</t>
  </si>
  <si>
    <t>fokje.schaafsma@wur.nl</t>
  </si>
  <si>
    <t>Lange, Benjamin/H-4733-2017; Flores, Hauke/ABD-1888-2020; Graeve, Martin/B-5751-2017</t>
  </si>
  <si>
    <t>Flores, Hauke/0000-0003-1617-5449; Schaafsma, Fokje/0000-0002-8945-2868; Kohlbach, Doreen/0000-0002-9245-2500; Lange, Benjamin Allen/0000-0003-4534-8978; David, Carmen L/0000-0002-4241-1284; Graeve, Martin/0000-0002-2294-1915</t>
  </si>
  <si>
    <t>Netherlands Ministry of Economic Affairs [WOT-04-009-036]; Netherlands Polar Program [ALW-NWO 866.13.009]; Helmholtz research Programme PACES II, Topic 1.5. Expedition grant [AWI-PS81_01]</t>
  </si>
  <si>
    <t>Netherlands Ministry of Economic Affairs(Ministry of Economic Affairs, Netherlands); Netherlands Polar Program; Helmholtz research Programme PACES II, Topic 1.5. Expedition grant</t>
  </si>
  <si>
    <t>We are very grateful for the support of Captain Stefan Schwarze and officers and crew of RV 'Polarstern' during expedition PS81 (ANT-XXIX/7). Special thanks to Michiel van Dorssen (M. van Dorssen Metaalbewerking) for operational and technical support with SUIT, Laura Halbach for help with krill dissection, Christiane Lorenzen and Hannelore Cantzler for carbon and nitrogen measurements and data processing, Klaas Timmermans (NIOZ) and Eva-Maria Nothig (AWI) for help with the identification of species, and Martina Vortkamp (AWI) for technical assistance. At Wageningen Marine Research, we thank Andre Meijboom for technical assistance and Erik Meesters and Joop Coolen for help with statistics. Christine Klaas (AWI) helped with calibration of chlorophyll a data. This study was funded by the Netherlands Ministry of Economic Affairs (project WOT-04-009-036) and the Netherlands Polar Program (project ALW-NWO 866.13.009). The study is associated with the Helmholtz Association Young Investigators Group Iceflux: Ice-ecosystem carbon flux in polar oceans (VH-NG-800) and contributes to the Helmholtz research Programme PACES II, Topic 1.5. Expedition grant no: AWI-PS81_01 (WISKY).</t>
  </si>
  <si>
    <t>10.3354/meps12309</t>
  </si>
  <si>
    <t>WOS:000419091500007</t>
  </si>
  <si>
    <t>Turner, SWD; Bennett, JC; Robertson, DE; Galelli, S</t>
  </si>
  <si>
    <t>Turner, Sean W. D.; Bennett, James C.; Robertson, David E.; Galelli, Stefano</t>
  </si>
  <si>
    <t>Complex relationship between seasonal streamflow forecast skill and value in reservoir operations</t>
  </si>
  <si>
    <t>HYDROLOGY AND EARTH SYSTEM SCIENCES</t>
  </si>
  <si>
    <t>CLIMATE FORECASTS; WATER-RESOURCES; ENSEMBLE FORECASTS; RISK-MANAGEMENT; SYSTEMS; MODEL; LONG; AUSTRALIA; FRAMEWORK; OPTIMIZATION</t>
  </si>
  <si>
    <t>Considerable research effort has recently been directed at improving and operationalising ensemble seasonal streamflow forecasts. Whilst this creates new opportunities for improving the performance of water resources systems, there may also be associated risks. Here, we explore these potential risks by examining the sensitivity of forecast value (improvement in system performance brought about by adopting forecasts) to changes in the forecast skill for a range of hypothetical reservoir designs with contrasting operating objectives. Forecast-informed operations are simulated using rolling horizon, adaptive control and then benchmarked against optimised control rules to assess performance improvements. Results show that there exists a strong relationship between forecast skill and value for systems operated to maintain a target water level. But this relationship breaks down when the reservoir is operated to satisfy a target demand for water; good forecast accuracy does not necessarily translate into performance improvement. We show that the primary cause of this behaviour is the buffering role played by storage in water supply reservoirs, which renders the forecast superfluous for long periods of the operation. System performance depends primarily on forecast accuracy when critical decisions are made - namely during severe drought. As it is not possible to know in advance if a forecast will perform well at such moments, we advocate measuring the consistency of forecast performance, through bootstrap resampling, to indicate potential usefulness in storage operations. Our results highlight the need for sensitivity assess-ment in value-of-forecast studies involving reservoirs with supply objectives.</t>
  </si>
  <si>
    <t>[Turner, Sean W. D.] Pacific Northwest Natl Lab, College Pk, MD USA; [Turner, Sean W. D.] Singapore Univ Technol &amp; Design, SUTD MIT Int Design Ctr, Singapore 487372, Singapore; [Bennett, James C.; Robertson, David E.] CSIRO, Clayton, Vic 3168, Australia; [Bennett, James C.] Univ Tasmania, Inst Marine &amp; Antarctic Studies, Battery Point, Tas 7004, Australia; [Galelli, Stefano] Singapore Univ Technol &amp; Design, Pillar Engn Syst &amp; Design, Singapore 487372, Singapore</t>
  </si>
  <si>
    <t>United States Department of Energy (DOE); Pacific Northwest National Laboratory; Singapore University of Technology &amp; Design; Commonwealth Scientific &amp; Industrial Research Organisation (CSIRO); University of Tasmania; Singapore University of Technology &amp; Design</t>
  </si>
  <si>
    <t>Galelli, S (corresponding author), Singapore Univ Technol &amp; Design, Pillar Engn Syst &amp; Design, Singapore 487372, Singapore.</t>
  </si>
  <si>
    <t>stefano_galelli@sutd.edu.sg</t>
  </si>
  <si>
    <t>Bennett, James/C-8456-2013; Robertson, David/C-3643-2011; Galelli, Stefano/H-5190-2019; Galelli, Stefano/M-9421-2019; Turner, Sean/AAS-4898-2020</t>
  </si>
  <si>
    <t>Bennett, James/0000-0002-4930-2638; Robertson, David/0000-0003-4230-8006; Galelli, Stefano/0000-0003-2316-3243; Galelli, Stefano/0000-0003-2316-3243; Turner, Sean/0000-0003-4400-9800</t>
  </si>
  <si>
    <t>SUTD-MIT International Design Centre (IDC) [IDG 21400101]; Water Information Research and Development Alliance (WIRADA)</t>
  </si>
  <si>
    <t>SUTD-MIT International Design Centre (IDC); Water Information Research and Development Alliance (WIRADA)</t>
  </si>
  <si>
    <t>This research was supported by the SUTD-MIT International Design Centre (IDC) - research grant IDG 21400101. Any findings, conclusions, recommendations or opinions expressed in this document are those of the authors and do not necessary reflect the views of the IDC. James C. Bennett and David E. Robertson were supported by the Water Information Research and Development Alliance (WIRADA) between the Bureau of Meteorology and CSIRO Land &amp; Water. The authors thank Senlin Zhou and Paul Feikema (Bureau of Meteorology) for supplying data.</t>
  </si>
  <si>
    <t>1027-5606</t>
  </si>
  <si>
    <t>1607-7938</t>
  </si>
  <si>
    <t>HYDROL EARTH SYST SC</t>
  </si>
  <si>
    <t>Hydrol. Earth Syst. Sci.</t>
  </si>
  <si>
    <t>SEP 28</t>
  </si>
  <si>
    <t>10.5194/hess-21-4841-2017</t>
  </si>
  <si>
    <t>Geosciences, Multidisciplinary; Water Resources</t>
  </si>
  <si>
    <t>Geology; Water Resources</t>
  </si>
  <si>
    <t>FI3SJ</t>
  </si>
  <si>
    <t>Green Accepted, Green Submitted, gold</t>
  </si>
  <si>
    <t>WOS:000411889800002</t>
  </si>
  <si>
    <t>Holland, MM; Landrum, L; Raphael, M; Stammerjohn, S</t>
  </si>
  <si>
    <t>Holland, Marika M.; Landrum, Laura; Raphael, Marilyn; Stammerjohn, Sharon</t>
  </si>
  <si>
    <t>Springtime winds drive Ross Sea ice variability and change in the following autumn</t>
  </si>
  <si>
    <t>TRENDS; CLIMATE; OCEAN; CMIP5; EXTENT</t>
  </si>
  <si>
    <t>Autumn sea ice trends in the western Ross Sea dominate increases in Antarctic sea ice and are outside the range simulated by climate models. Here we use a number of independent data sets to show that variability in western Ross Sea autumn ice conditions is largely driven by springtime zonal winds in the high latitude South Pacific, with a lead-time of 5 months. Enhanced zonal winds dynamically thin the ice, allowing an earlier melt out, enhanced solar absorption, and reduced ice cover the next autumn. This seasonal lag relationship has implications for sea ice prediction. Given a weakening trend in springtime zonal winds, this lagged relationship can also explain an important fraction of the observed sea ice increase. An analysis of climate models indicates that they simulate weaker relationships and wind trends than observed. This contributes to weak western Ross Sea ice trends in climate model simulations.</t>
  </si>
  <si>
    <t>[Holland, Marika M.; Landrum, Laura] Natl Ctr Atmospher Res, POB 3000, Boulder, CO 80307 USA; [Raphael, Marilyn] Univ Calif Los Angeles, Dept Geog, 1255 Bunche Hall, Los Angeles, CA 90095 USA; [Stammerjohn, Sharon] Univ Colorado, Inst Arctic &amp; Alpine Res, Campus Box 450, Boulder, CO 80309 USA</t>
  </si>
  <si>
    <t>National Center Atmospheric Research (NCAR) - USA; University of California System; University of California Los Angeles; University of Colorado System; University of Colorado Boulder</t>
  </si>
  <si>
    <t>Holland, MM (corresponding author), Natl Ctr Atmospher Res, POB 3000, Boulder, CO 80307 USA.</t>
  </si>
  <si>
    <t>mholland@ucar.edu</t>
  </si>
  <si>
    <t>Holland, Marika/0000-0001-5621-8939; Landrum, Laura/0000-0002-6003-1146</t>
  </si>
  <si>
    <t>NSF FESD [1338814]; NSF [1417642, ANT-1440435, ANT-1341606]; NASA [1048926]; Directorate For Geosciences; Office of Polar Programs (OPP) [1440435] Funding Source: National Science Foundation; Office of Polar Programs (OPP); Directorate For Geosciences [1417642] Funding Source: National Science Foundation</t>
  </si>
  <si>
    <t>NSF FESD; NSF(National Science Foundation (NSF)); NASA(National Aeronautics &amp; Space Administration (NASA)); Directorate For Geosciences; Office of Polar Programs (OPP)(National Science Foundation (NSF)NSF - Directorate for Geosciences (GEO)); Office of Polar Programs (OPP); Directorate For Geosciences(National Science Foundation (NSF)NSF - Directorate for Geosciences (GEO))</t>
  </si>
  <si>
    <t>M.M.H. and L.L. acknowledge support from a grant from the NSF FESD 1338814, NSF 1417642, and NASA 1048926. S.S. acknowledges support from NSF ANT-1440435 and NSF ANT-1341606. We acknowledge the World Climate Research Programme's Working Group on Coupled Modeling, which is responsible for CMIP, and we thank the climate modeling groups (listed in Supplementary Table 1 of this paper)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t>
  </si>
  <si>
    <t>10.1038/s41467-017-00820-0</t>
  </si>
  <si>
    <t>FI4ZQ</t>
  </si>
  <si>
    <t>WOS:000411989800015</t>
  </si>
  <si>
    <t>Randel, WJ; Polvani, L; Wu, F; Kinnison, DE; Zou, CZ; Mears, C</t>
  </si>
  <si>
    <t>Randel, William J.; Polvani, Lorenzo; Wu, Fei; Kinnison, Douglas E.; Zou, Cheng-Zhi; Mears, Carl</t>
  </si>
  <si>
    <t>Troposphere-Stratosphere Temperature Trends Derived From Satellite Data Compared With Ensemble Simulations From WACCM</t>
  </si>
  <si>
    <t>OZONE-DEPLETING SUBSTANCES; HEMISPHERE CLIMATE-CHANGE; SURFACE-TEMPERATURE; GREENHOUSE GASES; GLOBAL-MODELS; SEA-ICE; ATMOSPHERE; CHEMISTRY; RECORDS; AMSU</t>
  </si>
  <si>
    <t>Decadal-scale trends in tropospheric and stratospheric temperatures derived from satellite measurements over 1979-2014 are compared with ensemble simulations from the Whole Atmosphere Community Climate Model (WACCM). The model is forced with observed sea surface temperatures, changes in greenhouse gases, and ozone-depleting substances, plus solar and volcanic effects, and results from five WACCM realizations (with slightly different initial conditions) are analyzed. We focus on the vertical structure of tropospheric warming and stratospheric cooling increasing with height, the latitudinal and seasonal dependence of trends, and on the temporal evolution of stratospheric temperatures in response to stratospheric ozone depletion and partial recovery. The model captures the observed trend structure in most respects, and the ensemble of simulations provides quantitative estimates of the impact of internal variability on trend estimates. In regions of low variability (e.g., over low latitudes) the ensemble mean trends agree with the observations, while in regions of high variability (e.g., the polar stratosphere) the observations mostly fall within the range of realizations. Temperature response to evolving stratospheric ozone is evaluated by computing separate trends over 1979-1997 (ozone depletion) and 1998-2014 (partial recovery). Robust changes in temperature trends between these periods occur in the global upper stratosphere and in the Antarctic spring lower stratosphere, with consistent behavior between model and observations. Observed lower stratospheric temperatures in the Antarctic show statistically significant warming after 1998, reflecting recently reported healing of the ozone hole. Plain Language Summary This work compares temperature trends during 1979-2014 measured by satellites with results from a state-of-the-art chemistry-climate model, incorporating observed forcings including observed sea surface temperatures and changes in greenhouse gases and ozone-depleting substances, plus solar cycle and volcanic effects. We analyze an ensemble of five different model simulations (with slightly different initial conditions) to evaluate effects of internal climate variability on temperature trends. Temperature trends show good quantitative agreement between model and observations, including troposphere warming and stratosphere cooling increasing with altitude. This agreement demonstrates that the satellite-observed temperature changes are a result of known forcings, both natural and anthropogenic. Stratospheric temperatures reflect the influence of stratospheric ozone depletion and partial recovery, with stronger cooling during the first half of the record. Satellite measurements identify a warming of the Antarctic lower stratosphere since 1998, as a response to the recently reported healing of the Antarctic ozone hole.</t>
  </si>
  <si>
    <t>[Randel, William J.; Wu, Fei; Kinnison, Douglas E.] Natl Ctr Atmospher Res, POB 3000, Boulder, CO 80307 USA; [Polvani, Lorenzo] Columbia Univ, Dept Appl Phys &amp; Appl Math, New York, NY USA; [Zou, Cheng-Zhi] NOAA NESDIS, Ctr Satellite Applicat &amp; Res, College Pk, MD USA; [Mears, Carl] Remote Sensing Syst, Santa Rosa, CA USA</t>
  </si>
  <si>
    <t>National Center Atmospheric Research (NCAR) - USA; Columbia University; National Oceanic Atmospheric Admin (NOAA) - USA</t>
  </si>
  <si>
    <t>Randel, WJ (corresponding author), Natl Ctr Atmospher Res, POB 3000, Boulder, CO 80307 USA.</t>
  </si>
  <si>
    <t>randel@ucar.edu</t>
  </si>
  <si>
    <t>Polvani, Lorenzo M/E-5949-2011; Zou, Cheng-Zhi/E-3085-2010; Randel, William/K-3267-2016</t>
  </si>
  <si>
    <t>Zou, Cheng-Zhi/0000-0003-4124-6448; Kinnison, Douglas/0000-0002-3418-0834; Mears, Carl/0000-0002-6020-9354; Randel, William/0000-0002-5999-7162</t>
  </si>
  <si>
    <t>U.S. National Science Foundation (NSF); NSF Frontiers in Earth System Dynamics grant [OCE-1338814]; NSF [AG132249]; NASA [NNX14AF92G]; Office of Science of the U.S. Department of Energy; NSF; NASA [NNX14AF92G, 684592] Funding Source: Federal RePORTER</t>
  </si>
  <si>
    <t>U.S. National Science Foundation (NSF)(National Science Foundation (NSF)); NSF Frontiers in Earth System Dynamics grant; NSF(National Science Foundation (NSF)); NASA(National Aeronautics &amp; Space Administration (NASA)); Office of Science of the U.S. Department of Energy(United States Department of Energy (DOE)); NSF(National Science Foundation (NSF)); NASA(National Aeronautics &amp; Space Administration (NASA))</t>
  </si>
  <si>
    <t>The National Center for Atmospheric Research (NCAR) is sponsored by the U.S. National Science Foundation (NSF). D.K. was partially supported by the NSF Frontiers in Earth System Dynamics grant OCE-1338814. L.M.P. is funded by award AG132249 from the NSF to Columbia University. W.J.R. was partially supported by the NASA Aura Science Team under grant NNX14AF92G. We thank Marta Abalos, Rolando Garcia, and Qiang Fu for comments on the manuscript and three anonymous referees for helpful and constructive reviews. WACCM is a component of NCAR's Community Earth System Model (CESM), which is supported by the NSF and the Office of Science of the U.S. Department of Energy. Computing resources were provided by NCAR's Climate Simulation Laboratory, sponsored by NSF and other agencies. This research was enabled by the computational and storage resources of NCAR's Computational and Information Systems Laboratory (CISL). The model output and data used in this paper are listed in the references or available from the NCAR Earth System Grid. The observational satellite data were obtained from Remote Sensing Systems (http://www.remss.com) and NOAA STAR (http://www.star.noaa.gov). The SSU + MLS data are available at ftp://ftp.acom.ucar.edu/user/randel/SSUdata. The Syowa ozonesonde data were obtained from the World Ozone and Ultraviolet Radiation Center (http://woudc.org). For C.-Z. Zou, the views, opinions, and findings contained in this report are those of the author and should not be construed as an official National Oceanic and Atmospheric Administration or the U.S. Government position, policy, or decision.</t>
  </si>
  <si>
    <t>SEP 27</t>
  </si>
  <si>
    <t>10.1002/2017JD027158</t>
  </si>
  <si>
    <t>FN9UI</t>
  </si>
  <si>
    <t>WOS:000416388000007</t>
  </si>
  <si>
    <t>Loisel, J; Yu, ZC; Beilman, DW; Kaiser, K; Parnikoza, I</t>
  </si>
  <si>
    <t>Loisel, Julie; Yu, Zicheng; Beilman, David W.; Kaiser, Karl; Parnikoza, Ivan</t>
  </si>
  <si>
    <t>Peatland Ecosystem Processes in the Maritime Antarctic During Warm Climates</t>
  </si>
  <si>
    <t>ORGANIC-MATTER; MOSS BANK; PENINSULA; BAY; TEMPERATURE; VARIABILITY; CARBON; WEST; CHROMATOGRAPHY; DECOMPOSITION</t>
  </si>
  <si>
    <t>We discovered a 50-cm-thick peat deposit near Cape Rasmussen (65.2 degrees S), in the maritime Antarctic. To our knowledge, while aerobic 'moss banks' have often been examined, waterlogged 'peatlands' have never been described in this region before. The waterlogged system is approximately 100 m(2), with a shallow water table. Surface vegetation is dominated by Warnstorfia fontinaliopsis, a wet-adapted moss commonly found in the Antarctic Peninsula. Peat inception was dated at 2750 cal. BP and was followed by relatively rapid peat accumulation (similar to 0.1 cm/year) until 2150 cal. BP. Our multi-proxy analysis then shows a 2000-year-long stratigraphic hiatus as well as the recent resurgence of peat accumulation, sometime after 1950 AD. The existence of a thriving peatland at 2700-2150 cal. BP implies regionally warm summer conditions extending beyond the mid-Holocene; this finding is corroborated by many regional records showing moss bank initiation and decreased sea ice extent during this time period. Recent peatland recovery at the study site (&lt;50 years ago) might have been triggered by ongoing rapid warming, as the area is experiencing climatic conditions approaching those found on milder, peatland-rich sub-Antarctic islands (50-60 degrees S). Assuming that colonization opportunities and stabilization mechanisms would allow peat to persist in Antarctica, our results suggest that longer and warmer growing seasons in the maritime Antarctic region may promote a more peatland-rich landscape in the future.</t>
  </si>
  <si>
    <t>[Loisel, Julie] Texas A&amp;M Univ, Dept Geog, College Stn, TX 77843 USA; [Loisel, Julie; Yu, Zicheng] Lehigh Univ, Dept Earth &amp; Environm Sci, Bethlehem, PA 18015 USA; [Beilman, David W.] Univ Hawaii Manoa, Dept Geog, Honolulu, HI 96822 USA; [Kaiser, Karl] Texas A&amp;M Univ, Dept Marine Sci, Galveston, TX 77553 USA; [Parnikoza, Ivan] Natl Acad Sci, Inst Mol Biol &amp; Genet, Kiev, Ukraine</t>
  </si>
  <si>
    <t>Texas A&amp;M University System; Texas A&amp;M University College Station; Lehigh University; University of Hawaii System; University of Hawaii Manoa; Texas A&amp;M University System; National Academy of Sciences Ukraine; Institute of Molecular Biology &amp; Genetics of NASU</t>
  </si>
  <si>
    <t>Loisel, J (corresponding author), Texas A&amp;M Univ, Dept Geog, College Stn, TX 77843 USA.;Loisel, J (corresponding author), Lehigh Univ, Dept Earth &amp; Environm Sci, Bethlehem, PA 18015 USA.</t>
  </si>
  <si>
    <t>julieloisel@tamu.edu</t>
  </si>
  <si>
    <t>Kaiser, Karl/AHB-7688-2022; Parnikoza, Ivan/I-2398-2016</t>
  </si>
  <si>
    <t>Yu, Zicheng/0000-0003-2358-2712; Kaiser, Karl/0000-0002-4951-4665</t>
  </si>
  <si>
    <t>US NSF - Antarctic Earth Sciences Program [PLR 1246190, PLR 1246359]; Earth Sciences Program [EAR 1324347]</t>
  </si>
  <si>
    <t>US NSF - Antarctic Earth Sciences Program(National Science Foundation (NSF)NSF - Directorate for Geosciences (GEO)); Earth Sciences Program</t>
  </si>
  <si>
    <t>We thank Cara Ferrier, Carolyn Lipke, Ryan Wallace, and the entire staff at the Ukrainian Vernadsky station for field assistance and hospitality, the National Antarctic Scientific Center of Ukraine for operating the Vernadsky base and their logistical assistance, Drs. I. Kozeretska and V. Papitashvili from NSF for logistical support of I. P.' s expedition, Prof. R. Ochyra for help with bryophyte identification, and Alex Hedgpeth, Lauren Yumol, Mary Tardona, Jacob Ransom, and Maria Canedo-Oropeza for laboratory assistance. This project was supported by US NSF - Antarctic Earth Sciences Program (PLR 1246190 to Z.Y. and PLR 1246359 to D.B.) and Earth Sciences Program (EAR 1324347 to K.K.)</t>
  </si>
  <si>
    <t>10.1038/s41598-017-12479-0</t>
  </si>
  <si>
    <t>FI4VZ</t>
  </si>
  <si>
    <t>WOS:000411978000003</t>
  </si>
  <si>
    <t>Pontefract, A; Zhu, TF; Walker, VK; Hepburn, H; Lui, C; Zuber, MT; Ruvkun, G; Carr, CE</t>
  </si>
  <si>
    <t>Pontefract, Alexandra; Zhu, Ting F.; Walker, Virginia K.; Hepburn, Holli; Lui, Clarissa; Zuber, Maria T.; Ruvkun, Gary; Carr, Christopher E.</t>
  </si>
  <si>
    <t>Microbial Diversity in a Hypersaline Sulfate Lake: A Terrestrial Analog of Ancient Mars</t>
  </si>
  <si>
    <t>mars analog; extremophiles; hypersaline environments; metagenomic; spotted lake; magnesium sulfate</t>
  </si>
  <si>
    <t>SULFUR ISOTOPE FRACTIONATION; MAGNESIUM-SULFATE; WATER-ACTIVITY; DEEP; CONTRACTILE; TOLERANCE; CHEMISTRY; BACTERIUM; VIRUSES; LIFE</t>
  </si>
  <si>
    <t>Life can persist under severe osmotic stress and low water activity in hypersaline environments. On Mars, evidence for the past presence of saline bodies of water is prevalent and resulted in the widespread deposition of sulfate and chloride salts. Here we investigate Spotted Lake (British Columbia, Canada), a hypersaline lake with extreme (&gt; 3 M) levels of sulfate salts as an exemplar of the conditions thought to be associated with ancient Mars. We provide the first characterization of microbial structure in Spotted Lake sediments through metagenomic sequencing, and report a bacteria-dominated community with abundant Proteobacteria, Firmicutes, and Bacteroidetes, as well as diverse extremophiles. Microbial abundance and functional comparisons reveal similarities to Ace Lake, a meromictic Antarctic lake with anoxic and sulfidic bottom waters. Our analysis suggests that hypersaline-associated species occupy niches characterized foremost by differential abundance of Archaea, uncharacterized Bacteria, and Cyanobacteria. Potential biosignatures in this environment are discussed, specifically the likelihood of a strong sulfur isotopic fractionation record within the sediments due to the presence of sulfate reducing bacteria. With its high sulfate levels and seasonal freeze-thaw cycles, Spotted Lake is an analog for ancient paleolakes on Mars in which sulfate salt deposits may have offered periodically habitable environments, and could have concentrated and preserved organic materials or their biomarkers over geologic time.</t>
  </si>
  <si>
    <t>[Pontefract, Alexandra; Zhu, Ting F.; Lui, Clarissa; Zuber, Maria T.; Carr, Christopher E.] MIT, Dept Earth Atmospher &amp; Planetary Sci, Cambridge, MA 02139 USA; [Pontefract, Alexandra; Hepburn, Holli; Ruvkun, Gary; Carr, Christopher E.] Massachusetts Gen Hosp, Dept Mol Biol, Boston, MA 02114 USA; [Walker, Virginia K.] Queens Univ, Dept Biol, Kingston, ON, Canada; [Ruvkun, Gary] Harvard Med Sch, Dept Genet, Boston, MA USA; [Zhu, Ting F.] Tsinghua Univ, Sch Life Sci, Beijing, Peoples R China</t>
  </si>
  <si>
    <t>Massachusetts Institute of Technology (MIT); Harvard University; Massachusetts General Hospital; Queens University - Canada; Harvard University; Harvard Medical School; Tsinghua University</t>
  </si>
  <si>
    <t>Carr, CE (corresponding author), MIT, Dept Earth Atmospher &amp; Planetary Sci, Cambridge, MA 02139 USA.;Carr, CE (corresponding author), Massachusetts Gen Hosp, Dept Mol Biol, Boston, MA 02114 USA.</t>
  </si>
  <si>
    <t>chrisc@mit.edu</t>
  </si>
  <si>
    <t>Pontefract, Alexandra/0009-0009-1510-2425; Carr, Christopher/0000-0002-7946-5622</t>
  </si>
  <si>
    <t>SEP 26</t>
  </si>
  <si>
    <t>10.3389/fmicb.2017.01819</t>
  </si>
  <si>
    <t>FI2DU</t>
  </si>
  <si>
    <t>WOS:000411748400001</t>
  </si>
  <si>
    <t>Hao, X; He, SP; Wang, HJ; Han, TT</t>
  </si>
  <si>
    <t>Hao, Xin; He, Shengping; Wang, Huijun; Han, Tingting</t>
  </si>
  <si>
    <t>The impact of long-term oceanic warming on the Antarctic Oscillation in austral winter</t>
  </si>
  <si>
    <t>CIRCULATION RESPONSE; PART I; VARIABILITY</t>
  </si>
  <si>
    <t>Increasing greenhouse gas concentration and ozone depletion are generally considered two important factors that affect the variability of the Antarctic Oscillation (AAO). Here, we find that the first leading mode of sea surface temperature (SST) variability (rotated empirical orthogonal functions) shows a long-term upward trend from 1901 to 2004 and is closely related to the AAO index that is obtained using the observationally constrained reanalysis data. Further, regressions of the sea level pressure and the 500-hPa geopotential height anomalies, against the principle component associated with the long-term SST anomalies, display a seesaw behavior between the middle and high latitudes of the Southern Hemisphere in austral winter, which is similar to the high polarity of the AAO. The circulation responses to the long-term oceanic warming in three numerical models are consistent with the observed results. This finding suggests that the long-term oceanic warming is partly responsible for the upward trend of the AAO in austral winter. The thermal wind response to the oceanic warming in South Indian and South Atlantic Ocean may be a possible mechanism for this process.</t>
  </si>
  <si>
    <t>[Hao, Xin; He, Shengping; Wang, Huijun; Han, Tingting] Chinese Acad Sci, Nansen Zhu Int Res Ctr, Inst Atmospher Phys, Beijing, Peoples R China; [Hao, Xin; He, Shengping; Wang, Huijun; Han, Tingting] Chinese Acad Sci, Climate Change Res Ctr, Beijing, Peoples R China; [He, Shengping; Wang, Huijun; Han, Tingting] Nanjing Univ Informat Sci &amp; Technol, Collaborat Innovat Ctr Forecast &amp; Evaluat Meteoro, Key Lab Meteorol Disaster, Minist Educ, Nanjing, Jiangsu, Peoples R China; [Hao, Xin; Wang, Huijun; Han, Tingting] Univ Chinese Acad Sci, Beijing, Peoples R China; [He, Shengping] Univ Bergen, Geophys Inst, Bergen, Norway; [He, Shengping] Bjerknes Ctr Climate Res, Bergen, Norway</t>
  </si>
  <si>
    <t>Chinese Academy of Sciences; Institute of Atmospheric Physics, CAS; Chinese Academy of Sciences; Nanjing University of Information Science &amp; Technology; Chinese Academy of Sciences; University of Chinese Academy of Sciences, CAS; University of Bergen; Bjerknes Centre for Climate Research</t>
  </si>
  <si>
    <t>Hao, X (corresponding author), Chinese Acad Sci, Nansen Zhu Int Res Ctr, Inst Atmospher Phys, Beijing, Peoples R China.;Hao, X (corresponding author), Chinese Acad Sci, Climate Change Res Ctr, Beijing, Peoples R China.;Hao, X (corresponding author), Univ Chinese Acad Sci, Beijing, Peoples R China.</t>
  </si>
  <si>
    <t>haoxlike91@163.com</t>
  </si>
  <si>
    <t>Wang, Hui/HMU-9512-2023; wang, hui/HSG-6135-2023; HAN, TINGTING/GQZ-8692-2022; He, Shengping/A-4084-2017; HE, Shengping/AAD-5213-2022</t>
  </si>
  <si>
    <t>He, Shengping/0000-0003-4245-357X; HE, Shengping/0000-0003-4245-357X</t>
  </si>
  <si>
    <t>U.S. Department of Energy, Office of Science Biological and Environmental Research (BER); National Oceanic and Atmospheric Administration Climate Program Office; National Key Research and Development Program of China [2016YFA0600703]; National Science Foundation of China [41421004]</t>
  </si>
  <si>
    <t>U.S. Department of Energy, Office of Science Biological and Environmental Research (BER)(United States Department of Energy (DOE)); National Oceanic and Atmospheric Administration Climate Program Office(National Oceanic Atmospheric Admin (NOAA) - USA); National Key Research and Development Program of China; National Science Foundation of China(National Natural Science Foundation of China (NSFC))</t>
  </si>
  <si>
    <t>This work is partially supported by the U.S. CLIVAR drought working group activity, to coordinate and compare climate model simulations forced with a common set of idealized SST patterns. We would like to thank the Lamont-Doherty Earth Observatory of Columbia University for making their CCM3 runs available, NOAA's Geophysical Fluid Dynamics Laboratory for making the AM2.1 runs available, and the National Centers for Atmospheric Research for making the CAM3.5 runs available. Support for the Twentieth Century Reanalysis Project version 2c dataset is provided by the U.S. Department of Energy, Office of Science Biological and Environmental Research (BER), and by the National Oceanic and Atmospheric Administration Climate Program Office. We would like to thank them for the NOAA-CIRES 20th Century Reanalysis V2c. This research is supported by the National Key Research and Development Program of China (Grant No. 2016YFA0600703), and National Science Foundation of China (Grant No. 41421004).</t>
  </si>
  <si>
    <t>10.1038/s41598-017-12517-x</t>
  </si>
  <si>
    <t>FI1FP</t>
  </si>
  <si>
    <t>WOS:000411677500025</t>
  </si>
  <si>
    <t>Stap, LB; de Wal, RSWV; de Boer, B; Bintanja, R; Lourens, LJ</t>
  </si>
  <si>
    <t>Stap, Lennert B.; de Wal, Roderik S. W. van; de Boer, Bas; Bintanja, Richard; Lourens, Lucas J.</t>
  </si>
  <si>
    <t>The influence of ice sheets on temperature during the past 38 million years inferred from a one-dimensional ice sheet-climate model</t>
  </si>
  <si>
    <t>ATMOSPHERIC CARBON-DIOXIDE; DEEP-SEA-TEMPERATURE; LEVEL; OCEAN; CO2; EVOLUTION; VOLUME; SENSITIVITY; RECORD; ONSET</t>
  </si>
  <si>
    <t>Since the inception of the Antarctic ice sheet at the Eocene-Oligocene transition (similar to 34 Myr ago), land ice has played a crucial role in Earth's climate. Through feed-backs in the climate system, land ice variability modifies atmospheric temperature changes induced by orbital, topographical, and greenhouse gas variations. Quantification of these feedbacks on long timescales has hitherto scarcely been undertaken. In this study, we use a zonally averaged energy balance climate model bidirectionally coupled to a one-dimensional ice sheet model, capturing the ice-albedo and surface-height-temperature feedbacks. Potentially important transient changes in topographic boundary conditions by tectonics and erosion are not taken into account but are briefly discussed. The relative simplicity of the coupled model allows us to perform integrations over the past 38 Myr in a fully transient fashion using a benthic oxygen isotope record as forcing to inversely simulate CO2. Firstly, we find that the results of the simulations over the past 5 Myr are dependent on whether the model run is started at 5 or 38 Myr ago. This is because the relation between CO2 and temperature is subject to hysteresis. When the climate cools from very high CO2 levels, as in the longer transient 38 Myr run, temperatures in the lower CO2 range of the past 5 Myr are higher than when the climate is initialised at low temperatures. Consequently, the modelled CO2 concentrations depend on the initial state. Taking the realistic warm initialisa-tion into account, we come to a best estimate of CO2, temperature, ice-volume-equivalent sea level, and benthic delta O-18 over the past 38 Myr. Secondly, we study the influence of ice sheets on the evolution of global temperature and polar amplification by comparing runs with ice sheet-climate interaction switched on and off. By passing only albedo or surface height changes to the climate model, we can distinguish the separate effects of the ice-albedo and surface-height-temperature feedbacks. We find that ice volume variability has a strong enhancing effect on atmospheric temperature changes, particularly in the regions where the ice sheets are located. As a result, polar amplification in the Northern Hemisphere decreases towards warmer climates as there is little land ice left to melt. Conversely, decay of the Antarctic ice sheet increases polar amplification in the Southern Hemisphere in the high-CO2 regime. Our results also show that in cooler climates than the pre-industrial, the ice-albedo feedback predominates the surface-heighttemperature feedback, while in warmer climates they are more equal in strength.</t>
  </si>
  <si>
    <t>[Stap, Lennert B.; de Wal, Roderik S. W. van; de Boer, Bas] Univ Utrecht, Inst Marine &amp; Atmospher Res Utrecht IMAU, Princetonpl 5, NL-3584 CC Utrecht, Netherlands; [Bintanja, Richard] Royal Netherlands Meteorol Inst KNMI, Utrechtseweg 297, NL-3731 GA De Bilt, Netherlands; [Lourens, Lucas J.] Univ Utrecht, Fac Geosci, Dept Earth Sci, Heidelberglaan 2, NL-3584 CS Utrecht, Netherlands; [Stap, Lennert B.] Helmholtz Ctr Polar &amp; Marine Res AWI, Alfred Wegener Inst, Bussestr 24, D-27570 Bremerhaven, Germany</t>
  </si>
  <si>
    <t>Utrecht University; Royal Netherlands Meteorological Institute; Utrecht University; Helmholtz Association; Alfred Wegener Institute, Helmholtz Centre for Polar &amp; Marine Research</t>
  </si>
  <si>
    <t>Stap, LB (corresponding author), Univ Utrecht, Inst Marine &amp; Atmospher Res Utrecht IMAU, Princetonpl 5, NL-3584 CC Utrecht, Netherlands.;Stap, LB (corresponding author), Helmholtz Ctr Polar &amp; Marine Res AWI, Alfred Wegener Inst, Bussestr 24, D-27570 Bremerhaven, Germany.</t>
  </si>
  <si>
    <t>l.b.stap@uu.nl</t>
  </si>
  <si>
    <t>van de wal, roderik/D-1705-2011</t>
  </si>
  <si>
    <t>van de wal, roderik/0000-0003-2543-3892; Stap, Lennert/0000-0002-2108-3533; de Boer, Bas/0000-0002-3696-6654; Bintanja, Richard/0000-0002-0465-5923</t>
  </si>
  <si>
    <t>Netherlands Organisation of Scientific Research (NWO) NWO-ALW; NWO Earth and Life Sciences (ALW) [863.15.019]; Netherlands Organisation for Scientific Research (NWO)</t>
  </si>
  <si>
    <t>Netherlands Organisation of Scientific Research (NWO) NWO-ALW; NWO Earth and Life Sciences (ALW); Netherlands Organisation for Scientific Research (NWO)(Netherlands Organization for Scientific Research (NWO))</t>
  </si>
  <si>
    <t>We thank four anonymous reviewers for providing useful suggestions, which helped to improve the quality of the paper. We further thank Edward Gasson for sharing his data. Financial support for Lennert B. Stap was provided by the Netherlands Organisation of Scientific Research (NWO), grant NWO-ALW. Bas de Boer is funded by NWO Earth and Life Sciences (ALW), project 863.15.019. This paper contributes to the gravity programme Reading the past to project the future funded by the Netherlands Organisation for Scientific Research (NWO).</t>
  </si>
  <si>
    <t>SEP 25</t>
  </si>
  <si>
    <t>10.5194/cp-13-1243-2017</t>
  </si>
  <si>
    <t>FI0CG</t>
  </si>
  <si>
    <t>WOS:000411587900001</t>
  </si>
  <si>
    <t>Paillard, D</t>
  </si>
  <si>
    <t>Paillard, Didier</t>
  </si>
  <si>
    <t>The Plio-Pleistocene climatic evolution as a consequence of orbital forcing on the carbon cycle</t>
  </si>
  <si>
    <t>POLARITY TIME-SCALE; FOSSIL-FUEL CO2; ORGANIC-CARBON; DIOXIDE CONCENTRATION; SYSTEM; RECORD; OLIGOCENE; EROSION; OCEAN; EARTH</t>
  </si>
  <si>
    <t>Since the discovery of ice ages in the 19th century, a central question of climate science has been to understand the respective role of the astronomical forcing and of greenhouse gases, in particular changes in the atmospheric concentration of carbon dioxide. Glacial-interglacial cycles have been shown to be paced by the astronomy with a dominant periodicity of 100 ka over the last million years, and a periodicity of 41 ka between roughly 1 and 3 million years before present (Myr BP). But the role and dynamics of the carbon cycle over the last 4 million years remain poorly understood. In particular, the transition into the Pleistocene about 2.8 Myr BP or the transition towards larger glaciations about 0.8 Myr BP (sometimes referred to as the mid-Pleistocene transition, or MPT) are not easily explained as direct consequences of the astronomical forcing. Some recent atmospheric CO2 reconstructions suggest slightly higher pCO(2) levels before 1 Myr BP and a slow decrease over the last few million years (Bartoli et al., 2011; Seki et al., 2010). But the dynamics and the climatic role of the carbon cycle during the Plio-Pleistocene period remain unclear. Interestingly, the delta C-13 marine records provide some critical information on the evolution of sources and sinks of carbon. In particular, a clear 400 kyr oscillation has been found at many different time periods and appears to be a robust feature of the carbon cycle throughout at least the last 100 Myr (e.g. Paillard and Donnadieu, 2014). This oscillation is also visible over the last 4 Myr but its relationship with the eccentricity appears less obvious, with the occurrence of longer cycles at the end of the record, and a periodicity which therefore appears shifted towards 500 kyr (see Wang et al., 2004). In the following we present a simple dynamical model that provides an explanation for these carbon cycle variations, and how they relate to the climatic evolution over the last 4 Myr. It also gives an explanation for the lowest pCO(2) values observed in the Antarctic ice core around 600-700 kyr BP. More generally, the model predicts a two-step decrease in p CO2 levels associated with the 2.4 Myr modulation of the eccentricity forcing. These two steps occur respectively at the PlioPleistocene transition and at the MPT, which strongly suggests that these transitions are astronomically forced through the dynamics of the carbon cycle.</t>
  </si>
  <si>
    <t>[Paillard, Didier] IPSL CEA CNRS UVSQ, Ctr Etud Saclay, LSCE, UMR 8212, F-91191 Gif Sur Yvette, France</t>
  </si>
  <si>
    <t>CEA; Centre National de la Recherche Scientifique (CNRS); Universite Paris Saclay; CNRS - National Institute for Earth Sciences &amp; Astronomy (INSU)</t>
  </si>
  <si>
    <t>Paillard, D (corresponding author), IPSL CEA CNRS UVSQ, Ctr Etud Saclay, LSCE, UMR 8212, F-91191 Gif Sur Yvette, France.</t>
  </si>
  <si>
    <t>didier.paillard@lsce.ipsl.fr</t>
  </si>
  <si>
    <t>Paillard, Didier/G-4776-2012</t>
  </si>
  <si>
    <t>Paillard, Didier/0000-0002-9995-2794</t>
  </si>
  <si>
    <t>10.5194/cp-13-1259-2017</t>
  </si>
  <si>
    <t>WOS:000411587900002</t>
  </si>
  <si>
    <t>Ambroso, S; Salazar, J; Zapata-Guardiola, R; Federwisch, L; Richter, C; Gili, JM; Teixidó, N</t>
  </si>
  <si>
    <t>Ambroso, Stefano; Salazar, Janire; Zapata-Guardiola, Rebeca; Federwisch, Luisa; Richter, Claudio; Gili, Josep Maria; Teixido, Nuria</t>
  </si>
  <si>
    <t>Pristine populations of habitat-forming gorgonian species on the Antarctic continental shelf</t>
  </si>
  <si>
    <t>SHALLOW-WATER GORGONIANS; WEDDELL SEA; ICEBERG DISTURBANCE; SPATIAL-PATTERNS; CLIMATE-CHANGE; COMMUNITIES; CORALS; GROWTH; IMPACT; DIVERSITY</t>
  </si>
  <si>
    <t>Declines in the abundance of long-lived and habitat-forming species on continental shelves have attracted particular attention given their importance to ecosystem structure and function of marine habitats. The study of undisturbed habitats defined as pristine areas is essential in creating a frame of reference for natural habitats free of human interference. Gorgonian species are one of the key structure-forming taxa in benthic communities on the Antarctic continental shelf. Current knowledge of the diversity, distribution and demography of this group is relatively limited in Antarctica. To overcome this lack of information we present original data on pristine and remote populations of gorgonians from the Weddell Sea, some of which display the largest colony sizes ever recorded in Antarctica. We assessed the distribution patterns of seven gorgonian species, a morphogroup and a family in front of the Filchner Ronne Ice Shelf (Weddell Sea) by means of quantitative analysis of video transects. Analysis of these videos showed a total of 3140 colonies of gorgonians with the highest abundance in the southern section and a significantly clumped distribution. This study contributes to the general knowledge of pristine areas of the continental shelf and identifies the eastern Weddell Sea as a hotspot for habitat-forming species.</t>
  </si>
  <si>
    <t>[Ambroso, Stefano; Salazar, Janire; Zapata-Guardiola, Rebeca; Gili, Josep Maria] Inst Ciencies Mar ICM CSIC, Pg Maritim Barceloneta 37-49, Barcelona 08003, Spain; [Federwisch, Luisa; Richter, Claudio] Helmholtz Zentrum Polar &amp; Meeresforsch, Alfred Wegener Inst, D-27568 Bremerhaven, Germany; [Federwisch, Luisa; Richter, Claudio] Univ Bremen, D-28334 Bremen, Germany; [Teixido, Nuria] Stn Zool Anton Dohrn, I-80121 Naples, Italy; [Teixido, Nuria] Stanford Univ, Hopkins Marine Stn, 120 Ocean View Blvd, Pacific Grove, CA 93950 USA</t>
  </si>
  <si>
    <t>Consejo Superior de Investigaciones Cientificas (CSIC); CSIC - Centro Mediterraneo de Investigaciones Marinas y Ambientales (CMIMA); CSIC - Instituto de Ciencias del Mar (ICM); Helmholtz Association; Alfred Wegener Institute, Helmholtz Centre for Polar &amp; Marine Research; University of Bremen; Stazione Zoologica Anton Dohrn di Napoli; Stanford University</t>
  </si>
  <si>
    <t>Ambroso, S (corresponding author), Inst Ciencies Mar ICM CSIC, Pg Maritim Barceloneta 37-49, Barcelona 08003, Spain.</t>
  </si>
  <si>
    <t>ambroso@icm.csic.es</t>
  </si>
  <si>
    <t>Richter, Claudio/AAT-1212-2020; Ambroso, Stefano/IUP-6817-2023</t>
  </si>
  <si>
    <t>Richter, Claudio/0000-0002-8182-6896; Federwisch, Luisa/0000-0002-4815-475X</t>
  </si>
  <si>
    <t>ECOWED Project [CTM2012-39350-C02-01]; PACES I 1.6; PACES II 1.6; Polarstern Expedition PS82 [AWI_PS82_03]</t>
  </si>
  <si>
    <t>ECOWED Project; PACES I 1.6; PACES II 1.6; Polarstern Expedition PS82</t>
  </si>
  <si>
    <t>We are grateful to the captain and crew of R/V Polarstern cruise PS82 (ANT-XXIX/9) and AWI for their technical and logistical support. We thank Nils Owsianowski for engineering and for piloting the ROV, and Anna Kluibenschedl, Santiago Pineda Metz and Pilar Casado de Amezua for their help during ROV deployments. This research was partially funded by ECOWED Project (CTM2012-39350-C02-01), PACES I 1.6, PACES II 1.6 and Polarstern Expedition PS82 with grant no. AWI_PS82_03.</t>
  </si>
  <si>
    <t>10.1038/s41598-017-12427-y</t>
  </si>
  <si>
    <t>FI0VS</t>
  </si>
  <si>
    <t>WOS:000411648500025</t>
  </si>
  <si>
    <t>Constantinou, NC; Young, WR</t>
  </si>
  <si>
    <t>Constantinou, Navid C.; Young, William R.</t>
  </si>
  <si>
    <t>Beta-plane turbulence above monoscale topography</t>
  </si>
  <si>
    <t>JOURNAL OF FLUID MECHANICS</t>
  </si>
  <si>
    <t>geostrophic turbulence; quasi-geostrophic flows; topographic effects</t>
  </si>
  <si>
    <t>ANTARCTIC CIRCUMPOLAR CURRENT; SOUTHERN-OCEAN; CLIMATE-CHANGE; OVERTURNING CIRCULATION; BIFURCATION PROPERTIES; MULTIPLE EQUILIBRIA; CLOSED STREAMLINES; BAROTROPIC MODELS; EDDY SATURATION; DRAKE PASSAGE</t>
  </si>
  <si>
    <t>Using a one-layer quasi-geostrophic model, we study the effect of random monoscale topography on forced beta-plane turbulence. The forcing is a uniform steady wind stress that produces both a uniform large-scale zonal flow U(t) and smaller-scale macroturbulence characterized by standing and transient eddies. The large-scale flow U is retarded by a combination of Ekman drag and the domain-averaged topographic form stress produced by the eddies. The topographic form stress typically balances most of the applied wind stress, while the Ekman drag provides all of the energy dissipation required to balance the wind work. A collection of statistically equilibrated numerical solutions delineate the main flow regimes and the dependence of the time average of U on parameters such as the planetary potential vorticity (PV) gradient beta and the statistical properties of the topography. We obtain asymptotic scaling laws for the strength of the large-scale flow U in the limiting cases of weak and strong forcing. If beta is significantly smaller than the topographic PV gradient, the flow consists of stagnant pools attached to pockets of closed geostrophic contours. The stagnant dead zones are bordered by jets and the flow through the domain is concentrated into a narrow channel of open geostrophic contours. In most of the domain, the flow is weak and thus the large-scale flow U is an unoccupied mean. If beta is comparable to, or larger than, the topographic PV gradient, then all geostrophic contours are open and the flow is uniformly distributed throughout the domain. In this open-contour case, there is an 'eddy saturation' regime in which U is insensitive to large changes in the wind stress. We show that eddy saturation requires strong transient eddies that act effectively as PV diffusion. This PV diffusion does not alter the kinetic energy of the standing eddies, but it does increase the topographic form stress by enhancing the correlation between the topographic slope and the standing-eddy pressure field. Using bounds based on the energy and enstrophy power integrals, we show that as the strength of the wind stress increases, the flow transitions from a regime in which the form stress balances most of the wind stress to a regime in which the form stress is very small and large transport ensues.</t>
  </si>
  <si>
    <t>[Constantinou, Navid C.; Young, William R.] Univ Calif San Diego, Scripps Inst Oceanog, La Jolla, CA 92093 USA</t>
  </si>
  <si>
    <t>University of California System; University of California San Diego; Scripps Institution of Oceanography</t>
  </si>
  <si>
    <t>Constantinou, NC (corresponding author), Univ Calif San Diego, Scripps Inst Oceanog, La Jolla, CA 92093 USA.</t>
  </si>
  <si>
    <t>navid@ucsd.edu</t>
  </si>
  <si>
    <t>Young, William R/B-1632-2009; Constantinou, Navid C/GVS-6295-2022</t>
  </si>
  <si>
    <t>Constantinou, Navid C/0000-0002-8149-4094; Young, William/0000-0002-1842-3197</t>
  </si>
  <si>
    <t>NOAA Climate and Global Change Postdoctoral Fellowship Program; National Science Foundation [OCE-1357047]; Division Of Ocean Sciences; Directorate For Geosciences [1357047] Funding Source: National Science Foundation</t>
  </si>
  <si>
    <t>NOAA Climate and Global Change Postdoctoral Fellowship Program(National Oceanic Atmospheric Admin (NOAA) - USA); National Science Foundation(National Science Foundation (NSF)); Division Of Ocean Sciences; Directorate For Geosciences(National Science Foundation (NSF)NSF - Directorate for Geosciences (GEO))</t>
  </si>
  <si>
    <t>The authors acknowledge fruitful discussions with N. A. Bakas, P. Cessi, T. D. Drivas, B. F. Farrell, G. R. Flierl, A. McC. Hogg, P. J. Ioannou and A. F. Thompson. Comments from three anonymous reviewers greatly improved the paper. N. C. C. was supported by the NOAA Climate and Global Change Postdoctoral Fellowship Program, administered by UCAR's Cooperative Programs for the Advancement of Earth System Sciences. W. R. Y. was supported by the National Science Foundation under OCE-1357047. The MATLAB code used in this paper is available at the github repository: https://github. com/navidcy/QG_ACC_1layer.</t>
  </si>
  <si>
    <t>0022-1120</t>
  </si>
  <si>
    <t>1469-7645</t>
  </si>
  <si>
    <t>J FLUID MECH</t>
  </si>
  <si>
    <t>J. Fluid Mech.</t>
  </si>
  <si>
    <t>10.1017/jfm.2017.482</t>
  </si>
  <si>
    <t>Mechanics; Physics, Fluids &amp; Plasmas</t>
  </si>
  <si>
    <t>Mechanics; Physics</t>
  </si>
  <si>
    <t>FE6NN</t>
  </si>
  <si>
    <t>WOS:000408326300018</t>
  </si>
  <si>
    <t>Dunbar, NW; Iverson, NA; Van Eaton, AR; Sigl, M; Alloway, BV; Kurbatov, AV; Mastin, LG; McConnell, JR; Wilson, CJN</t>
  </si>
  <si>
    <t>Dunbar, Nelia W.; Iverson, Nels A.; Van Eaton, Alexa R.; Sigl, Michael; Alloway, Brent V.; Kurbatov, Andrei V.; Mastin, Larry G.; McConnell, Joseph R.; Wilson, Colin J. N.</t>
  </si>
  <si>
    <t>New Zealand supereruption provides time marker for the Last Glacial Maximum in Antarctica</t>
  </si>
  <si>
    <t>ICE-CORE; WAIS DIVIDE; VOLCANIC-ERUPTION; SIPLE DOME; CLIMATE; ASH; TEPHRA; RECORD; TEPHROCHRONOLOGY; CRYPTOTEPHRA</t>
  </si>
  <si>
    <t>Multiple, independent time markers are essential to correlate sediment and ice cores from the terrestrial, marine and glacial realms. These records constrain global paleoclimate reconstructions and inform future climate change scenarios. In the Northern Hemisphere, sub-visible layers of volcanic ash (cryptotephra) are valuable time markers due to their widespread dispersal and unique geochemical fingerprints. However, cryptotephra are not as widely identified in the Southern Hemisphere, leaving a gap in the climate record, particularly during the Last Glacial Maximum (LGM). Here we report the first identification of New Zealand volcanic ash in Antarctic ice. The Oruanui supereruption from Taupo volcano (25,580 +/- 258 cal. a BP) provides a key time marker for the LGM in the New Zealand sector of the SW Pacific. This finding provides a high-precision chronological link to mid-latitude terrestrial and marine sites, and sheds light on the long-distance transport of tephra in the Southern Hemisphere. As occurred after identification of the Alaskan White River Ash in northern Europe, recognition of ash from the Oruanui eruption in Antarctica dramatically increases the reach and value of tephrochronology, providing links among climate records in widely different geographic areas and depositional environments.</t>
  </si>
  <si>
    <t>[Dunbar, Nelia W.] New Mexico Inst Min &amp; Technol, NMBG EES Dept, Socorro, NM USA; [Iverson, Nels A.] New Mexico Inst Min &amp; Technol, EES Dept, Socorro, NM USA; [Van Eaton, Alexa R.; Mastin, Larry G.] US Geol Survey, Cascades Volcano Observ, Vancouver, WA USA; [Sigl, Michael; McConnell, Joseph R.] Desert Res Inst, Div Hydrol Sci, Reno, NV USA; [Sigl, Michael] Paul Scherrer Inst, Villigen, Switzerland; [Alloway, Brent V.] Univ Auckland, Sch Environm, Private Bag 92019, Auckland, New Zealand; [Alloway, Brent V.] Univ Wollongong, Sch Earth &amp; Environm Sci, CAS, Wollongong, NSW 2522, Australia; [Kurbatov, Andrei V.] Univ Maine, Climate Change Inst, Orono, ME USA; [Wilson, Colin J. N.] Victoria Univ, SGEES, POB 600, Wellington 6140, New Zealand</t>
  </si>
  <si>
    <t>New Mexico Institute of Mining Technology; New Mexico Institute of Mining Technology; United States Department of the Interior; United States Geological Survey; Nevada System of Higher Education (NSHE); Desert Research Institute NSHE; Swiss Federal Institutes of Technology Domain; Paul Scherrer Institute; University of Auckland; University of Wollongong; University of Maine System; University of Maine Orono; Victoria University Wellington</t>
  </si>
  <si>
    <t>Dunbar, NW (corresponding author), New Mexico Inst Min &amp; Technol, NMBG EES Dept, Socorro, NM USA.</t>
  </si>
  <si>
    <t>nelia.dunbar@nmt.edu</t>
  </si>
  <si>
    <t>Dunbar, Nelia W./HZL-8693-2023; Wilson, Colin/E-9457-2011</t>
  </si>
  <si>
    <t>Dunbar, Nelia W./0000-0002-5181-937X; Kurbatov, Andrei/0000-0002-9819-9251; Van Eaton, Alexa/0000-0001-6646-4594; Sigl, Michael/0000-0002-9028-9703; Iverson, Nels/0000-0002-7110-5040; Wilson, Colin/0000-0001-7565-0743</t>
  </si>
  <si>
    <t>US National Science Foundation (NSF) [NSF-PLR-1142069, NSF-PLR- 1142007, NSF-PLR-1142115, NSF-PLR-0839093]; WAIS Divide Science Coordination Office at the Desert Research Institute, Reno, NE, USA; NSF [0230396, 0440817, 0944348, 0944266]; U.S. Geological Survey Mendenhall Fellowship; National Science Foundation Division of Polar Programs; Directorate For Geosciences; Office of Polar Programs (OPP) [1142069] Funding Source: National Science Foundation</t>
  </si>
  <si>
    <t>US National Science Foundation (NSF)(National Science Foundation (NSF)); WAIS Divide Science Coordination Office at the Desert Research Institute, Reno, NE, USA; NSF(National Science Foundation (NSF)); U.S. Geological Survey Mendenhall Fellowship(United States Geological Survey); National Science Foundation Division of Polar Programs(National Science Foundation (NSF)); Directorate For Geosciences; Office of Polar Programs (OPP)(National Science Foundation (NSF)NSF - Directorate for Geosciences (GEO))</t>
  </si>
  <si>
    <t>This work was supported by US National Science Foundation (NSF) grants NSF-PLR-1142069 (Dunbar), NSF-PLR- 1142007 (Kurbatov), NSF-PLR-1142115 (Dunbar), and NSF-PLR-0839093 (McConnell). The authors appreciate the support of the WAIS Divide Science Coordination Office at the Desert Research Institute, Reno, NE, USA and University of New Hampshire, USA, for the collection and distribution of the WAIS Divide ice core and related tasks (NSF Grants 0230396, 0440817, 0944348; and 0944266). Van Eaton acknowledges a U.S. Geological Survey Mendenhall Fellowship. Kendrick Taylor led the field effort that collected the samples. We are grateful to Frank Lamy and Thomas Ronge (Alfred Wegener Institute, Bremerhaven, Germany) for providing (to BVA) Oruanui eruption tephra samples (SO213-79-2 and SO213-76-2). The National Science Foundation Division of Polar Programs also funded the Ice Drilling Program Office (IDPO) and Ice Drilling Design and Operations (IDDO) group for coring activities; the National Ice Core Laboratory for curation of the core; the Antarctic Support Contractor for logistics support in Antarctica; and the 109th New York Air National Guard for airlift in Antarctica. Integrated Data Viewer (IDV) software from UCAR/Unidata was used in the analysis and visualization of the data. We also thank Andrew Lorrey and James Renwick for insights regarding LGM climate. Thanks to two anonymous reviewers for useful comments.</t>
  </si>
  <si>
    <t>10.1038/s41598-017-11758-0</t>
  </si>
  <si>
    <t>WOS:000411648500012</t>
  </si>
  <si>
    <t>Yin, HB; Wang, YB; He, YY; Xing, L; Zhang, XF; Wang, S; Qi, XQ; Zheng, Z; Lu, J; Miao, JL</t>
  </si>
  <si>
    <t>Yin, Hua; Wang, Yibin; He, Yingying; Xing, Lei; Zhang, Xiufang; Wang, Shuai; Qi, Xiaoqing; Zheng, Zhou; Lu, Jian; Miao, Jinlai</t>
  </si>
  <si>
    <t>Cloning and expression analysis of tps, and cryopreservation research of trehalose from Antarctic strain Pseudozyma sp</t>
  </si>
  <si>
    <t>3 BIOTECH</t>
  </si>
  <si>
    <t>Trehalose; Antarctic; Pseudozyma sp.; Genome; Trehalose phosphate synthase</t>
  </si>
  <si>
    <t>TREHALOSE-6-PHOSPHATE SYNTHASE GENE; SACCHAROMYCES-CEREVISIAE; FREEZE TOLERANCE; BAKERS-YEAST; TEMPERATURES; METABOLISM; PATHWAY</t>
  </si>
  <si>
    <t>Trehalose is a non-reducing disaccharide sugar that widely exists in a variety of organisms, such as bacteria and eukaryotes except the vertebrates. It plays an important role in a number of critical metabolic functions especially in response to stressful environmental conditions. However, the biosynthetic pathways of trehalose in cold-adapted yeast and its responses to temperature and salinity changes remain little understood. In this study, the genome of Antarctic-isolated Pseudozyma sp. NJ7 was generated from which we identified the gene coding for trehalose phosphate synthase (TPS1) and trehalose phosphate phosphatase (TPS2), the two enzymes most critical for trehalose production. The whole draft genome length of Pseudozyma sp. NJ7 was 18,021,233 bp, and encoded at least 34 rRNA operons and 72 tRNAs. The open reading frame of tps1 contained 1827 nucleotide encoding 608 amino acids with a molecular weight of 67.64 kDa, and an isoelectric point of 5.54, while tps2 contained 3948 nucleotide encoding 1315 amino acids with a molecular weight of 144.47 kDa and an isoelectric point of 6.36. The TPS1 and TPS2 protein sequences were highly homologous to Moesziomyces antarcticus T-34, but TPS2 had obvious specificity and differently with others which suggest species specificity and different evolutionary history. Expression level of tps1 gene was strongly influenced by temperature and high salinity. In addition, addition of 0.5% trehalose preserved yeast cells in the short term but was not effective for cryopreservation for more than 5 days, but still suggesting that exogenous trehalose could indeed significantly improve the survival of yeast cells under freezing conditions. Our results provided new insights on the molecular basis of cold adaptations of Antarctic Pseudozyma sp., and also generated new information on the roles trehalose play in yeast tolerance to extreme conditions in the extreme Antarctic environments.</t>
  </si>
  <si>
    <t>[Yin, Hua; Xing, Lei] Tsingtao Brewery Co Ltd, State Key Lab Biol Fermentat Engn Beer, Qingdao 266061, Peoples R China; [Wang, Yibin; He, Yingying; Wang, Shuai; Qi, Xiaoqing; Zheng, Zhou; Miao, Jinlai] State Ocean Adm, Inst Oceanog 1, Qingdao 266061, Peoples R China; [Wang, Yibin; Zheng, Zhou; Miao, Jinlai] Qingdao Natl Lab Marine Sci &amp; Technol, Qingdao 266235, Peoples R China; [Zhang, Xiufang] Qingdao Hiser Med Ctr, Clin Lab, Qingdao 266033, Peoples R China; [Wang, Shuai] Marine &amp; Fisheries Monitoring Ctr Sanya, Sanya 572000, Peoples R China; [Qi, Xiaoqing] Chinese Acad Sci, Inst Deep Sea Sci &amp; Engn, Sanya 572000, Peoples R China; [Lu, Jian] Jiangnan Univ, Key Lab Ind Biotechnol, Minist Educ, Wuxi 214122, Peoples R China</t>
  </si>
  <si>
    <t>First Institute of Oceanography, Ministry of Natural Resources; Laoshan Laboratory; Chinese Academy of Sciences; Institute of Deep-Sea Science &amp; Engineering, CAS; Jiangnan University</t>
  </si>
  <si>
    <t>Miao, JL (corresponding author), State Ocean Adm, Inst Oceanog 1, Qingdao 266061, Peoples R China.;Miao, JL (corresponding author), Qingdao Natl Lab Marine Sci &amp; Technol, Qingdao 266235, Peoples R China.</t>
  </si>
  <si>
    <t>miaojinlai@fio.org.cn</t>
  </si>
  <si>
    <t>Zheng, Zhou/JJD-0602-2023; Wang, Yibin/J-6584-2017</t>
  </si>
  <si>
    <t>Wang, Yibin/0000-0001-5278-7245</t>
  </si>
  <si>
    <t>National Natural Science Foundation of China [41576187]; Natural Science Foundation of China-Shandong Joint Fund [U1606403]; Polar Strategic Foundation of China [20150303]; Shandong Provincial Natural Science Foundation, China [ZR2017QD008]; Public Science and Technology Research Funds Projects of Ocean [201405015]; Key Research and Development Program of Shandong Province [2016ZDJS06A03]; Qingdao National Laboratory for Marine Science and Technology and the Science [2015ASKJ02]; State Key Laboratory of Biological Fermentation Engineering of Beer [K2014002]; Technology Planning Project of Shandong Province [2014GHY115003]; Qingdao Entrepreneurship and Innovation Pioneers Program [15-10-3-15-(44)-zch]</t>
  </si>
  <si>
    <t>National Natural Science Foundation of China(National Natural Science Foundation of China (NSFC)); Natural Science Foundation of China-Shandong Joint Fund; Polar Strategic Foundation of China; Shandong Provincial Natural Science Foundation, China(Natural Science Foundation of Shandong Province); Public Science and Technology Research Funds Projects of Ocean; Key Research and Development Program of Shandong Province; Qingdao National Laboratory for Marine Science and Technology and the Science; State Key Laboratory of Biological Fermentation Engineering of Beer; Technology Planning Project of Shandong Province; Qingdao Entrepreneurship and Innovation Pioneers Program</t>
  </si>
  <si>
    <t>This study was supported by the National Natural Science Foundation of China (No. 41576187), the Natural Science Foundation of China-Shandong Joint Fund (No. U1606403), the Polar Strategic Foundation of China (No. 20150303), the Shandong Provincial Natural Science Foundation, China (No. ZR2017QD008), the Public Science and Technology Research Funds Projects of Ocean (No. 201405015), the Key Research and Development Program of Shandong Province (No. 2016ZDJS06A03), the Scientific and Technological Innovation Project Financially Supported by Qingdao National Laboratory for Marine Science and Technology and the Science (No. 2015ASKJ02), the Open Research Fund of State Key Laboratory of Biological Fermentation Engineering of Beer (No. K2014002), the Technology Planning Project of Shandong Province (No. 2014GHY115003), and Qingdao Entrepreneurship and Innovation Pioneers Program (No. 15-10-3-15-(44)-zch). We thank MogoEdit Co. for its linguistic assistance during the preparation of this manuscript.</t>
  </si>
  <si>
    <t>2190-572X</t>
  </si>
  <si>
    <t>2190-5738</t>
  </si>
  <si>
    <t>3 Biotech</t>
  </si>
  <si>
    <t>SEP 22</t>
  </si>
  <si>
    <t>10.1007/s13205-017-0983-3</t>
  </si>
  <si>
    <t>FI1ZO</t>
  </si>
  <si>
    <t>WOS:000411736100001</t>
  </si>
  <si>
    <t>Cole, ST; Toole, JM; Lele, R; Timmermans, ML; Gallaher, SG; Stanton, TP; Shaw, WJ; Hwang, B; Maksym, T; Wilkinson, JP; Ortiz, M; Graber, H; Rainville, L; Petty, AA; Farrell, SL; Richter-Menge, JA; Haas, C</t>
  </si>
  <si>
    <t>Cole, Sylvia T.; Toole, John M.; Lele, Ratnaksha; Timmermans, Mary-Louise; Gallaher, Shawn G.; Stanton, Timothy P.; Shaw, William J.; Hwang, Byongjun; Maksym, Ted; Wilkinson, Jeremy P.; Ortiz, Macarena; Graber, Hans; Rainville, Luc; Petty, Alek A.; Farrell, Sinead L.; Richter-Menge, Jackie A.; Haas, Christian</t>
  </si>
  <si>
    <t>Ice and ocean velocity in the Arctic marginal ice zone: Ice roughness and momentum transfer</t>
  </si>
  <si>
    <t>ELEMENTA-SCIENCE OF THE ANTHROPOCENE</t>
  </si>
  <si>
    <t>Arctic ocean; ice-ocean boundary layer; momentum transfer</t>
  </si>
  <si>
    <t>The interplay between sea ice concentration, sea ice roughness, ocean stratification, and momentum transfer to the ice and ocean is subject to seasonal and decadal variations that are crucial to understanding the present and future air-ice-ocean system in the Arctic. In this study, continuous observations in the Canada Basin from March through December 2014 were used to investigate spatial differences and temporal changes in under-ice roughness and momentum transfer as the ice cover evolved seasonally. Observations of wind, ice, and ocean properties from four clusters of drifting instrument systems were complemented by direct drill-hole measurements and instrumented overhead flights by NASA operation IceBridge in March, as well as satellite remote sensing imagery about the instrument clusters. Spatially, directly estimated ice-ocean drag coefficients varied by a factor of three with rougher ice associated with smaller multi-year ice floe sizes embedded within the first-year-ice/multi-year-ice conglomerate. Temporal differences in the ice-ocean drag coefficient of 20-30% were observed prior to the mixed layer shoaling in summer and were associated with ice concentrations falling below 100%. The ice-ocean drag coefficient parameterization was found to be invalid in September with low ice concentrations and small ice floe sizes. Maximum momentum transfer to the ice occurred for moderate ice concentrations, and transfer to the ocean for the lowest ice concentrations and shallowest stratification. Wind work and ocean work on the ice were the dominant terms in the kinetic energy budget of the ice throughout the melt season, consistent with free drift conditions. Overall, ice topography, ice concentration, and the shallow summer mixed layer all influenced mixed layer currents and the transfer of momentum within the air-ice-ocean system. The observed changes in momentum transfer show that care must be taken to determine appropriate parameterizations of momentum transfer, and imply that the future Arctic system could become increasingly seasonal.</t>
  </si>
  <si>
    <t>[Cole, Sylvia T.; Toole, John M.; Lele, Ratnaksha; Maksym, Ted] Woods Hole Oceanog Inst, Woods Hole, MA 02543 USA; [Timmermans, Mary-Louise] Yale Univ, New Haven, CT USA; [Gallaher, Shawn G.] US Naval Acad, Annapolis, MD 21402 USA; [Stanton, Timothy P.; Shaw, William J.] Naval Postgrad Sch, Monterey, CA USA; [Hwang, Byongjun] Scottish Assoc Marine Sci, Oban, Argyll, Scotland; [Wilkinson, Jeremy P.] British Antarctic Survey, Cambridge, England; [Ortiz, Macarena; Graber, Hans] Univ Miami, RSMAS, Miami, FL USA; [Rainville, Luc] Univ Washington, Appl Phys Lab, Seattle, WA 98105 USA; [Petty, Alek A.; Farrell, Sinead L.] Univ Maryland, Earth Syst Sci Interdisciplinary Ctr, College Pk, MD 20742 USA; [Richter-Menge, Jackie A.] Cold Reg Res &amp; Engn Lab, Hanover, NH USA; [Haas, Christian] York Univ, Toronto, ON, Canada</t>
  </si>
  <si>
    <t>Woods Hole Oceanographic Institution; Yale University; United States Department of Defense; United States Navy; United States Naval Academy; United States Department of Defense; United States Navy; Naval Postgraduate School; UHI Millennium Institute; UK Research &amp; Innovation (UKRI); Natural Environment Research Council (NERC); NERC British Antarctic Survey; University of Miami; University of Washington; University of Washington Seattle; University System of Maryland; University of Maryland College Park; United States Department of Defense; United States Army; U.S. Army Corps of Engineers; U.S. Army Engineer Research &amp; Development Center (ERDC); Cold Regions Research &amp; Engineering Laboratory (CRREL); York University - Canada</t>
  </si>
  <si>
    <t>Cole, ST (corresponding author), Woods Hole Oceanog Inst, Woods Hole, MA 02543 USA.</t>
  </si>
  <si>
    <t>scole@whoi.edu</t>
  </si>
  <si>
    <t>Timmermans, Mary-Louise/N-5983-2014; Petty, Alek/K-1839-2014; Farrell, Sinead L/F-5586-2010; Cole, Sylvia/K-6388-2013</t>
  </si>
  <si>
    <t>Cole, Sylvia/0000-0001-6579-142X; Toole, John/0000-0003-2905-0637</t>
  </si>
  <si>
    <t>Office of Naval Research [N00014-12-10140, N00014-12-10799]; NERC [bas0100032, NE/L012707/1] Funding Source: UKRI; Natural Environment Research Council [bas0100032, NE/L012707/1] Funding Source: researchfish</t>
  </si>
  <si>
    <t>Office of Naval Research(Office of Naval Research); NERC(UK Research &amp; Innovation (UKRI)Natural Environment Research Council (NERC)); Natural Environment Research Council(UK Research &amp; Innovation (UKRI)Natural Environment Research Council (NERC))</t>
  </si>
  <si>
    <t>The deployment of the ITP-Vs and the subsequent analysis effort was supported by the Office of Naval Research under grants N00014-12-10140 and N00014-12-10799.</t>
  </si>
  <si>
    <t>UNIV CALIFORNIA PRESS</t>
  </si>
  <si>
    <t>OAKLAND</t>
  </si>
  <si>
    <t>155 GRAND AVE, SUITE 400, OAKLAND, CA 94612-3758 USA</t>
  </si>
  <si>
    <t>2325-1026</t>
  </si>
  <si>
    <t>ELEMENTA-SCI ANTHROP</t>
  </si>
  <si>
    <t>Elementa-Sci. Anthrop.</t>
  </si>
  <si>
    <t>SEP 21</t>
  </si>
  <si>
    <t>10.1525/elementa.241</t>
  </si>
  <si>
    <t>FH7TK</t>
  </si>
  <si>
    <t>Green Submitted, Green Accepted, gold, Green Published</t>
  </si>
  <si>
    <t>WOS:000411394600001</t>
  </si>
  <si>
    <t>Timmermann, R; Goeller, S</t>
  </si>
  <si>
    <t>Timmermann, Ralph; Goeller, Sebastian</t>
  </si>
  <si>
    <t>Response to Filchner-Ronne Ice Shelf cavity warming in a coupled ocean-ice sheet model - Part 1: The ocean perspective</t>
  </si>
  <si>
    <t>OCEAN SCIENCE</t>
  </si>
  <si>
    <t>SURFACE; CIRCULATION; ANTARCTICA; DRIVEN</t>
  </si>
  <si>
    <t>The Regional Antarctic ice and Global Ocean (RAnGO) model has been developed to study the interaction between the world ocean and the Antarctic ice sheet. The coupled model is based on a global implementation of the Finite Element Sea-ice Ocean Model (FESOM) with a mesh refinement in the Southern Ocean, particularly in its marginal seas and in the sub-ice-shelf cavities. The cryosphere is represented by a regional setup of the ice flow model RIMBAY comprising the Filchner-Ronne Ice Shelf and the grounded ice in its catchment area up to the ice divides. At the base of the RIMBAY ice shelf, melt rates from FESOM's ice-shelf component are supplied. RIMBAY returns ice thickness and the position of the grounding line. The ocean model uses a pre-computed mesh to allow for an easy adjustment of the model domain to a varying cavity geometry. RAnGO simulations with a 20th-century climate forcing yield realistic basal melt rates and a quasi-stable grounding line position close to the presently observed state. In a centennial-scale warm-water-inflow scenario, the model suggests a substantial thinning of the ice shelf and a local retreat of the grounding line. The potentially negative feedback from ice-shelf thinning through a rising in situ freezing temperature is more than outweighed by the increasing water column thickness in the deepest parts of the cavity. Compared to a control simulation with fixed ice-shelf geometry, the coupled model thus yields a slightly stronger increase in ice-shelf basal melt rates.</t>
  </si>
  <si>
    <t>[Timmermann, Ralph; Goeller, Sebastian] Helmholtz Zentrum Polar &amp; Meeresforsch, Alfred Wegener Inst, Bremerhaven, Germany; [Goeller, Sebastian] GFZ German Res Ctr Geosci, Potsdam, Germany</t>
  </si>
  <si>
    <t>Timmermann, R (corresponding author), Helmholtz Zentrum Polar &amp; Meeresforsch, Alfred Wegener Inst, Bremerhaven, Germany.</t>
  </si>
  <si>
    <t>ralph.timmermann@awi.de</t>
  </si>
  <si>
    <t>Helmholtz Climate Initiative REKLIM (Regional Climate Change); Helmholtz Association of German Research Centres (HGF)</t>
  </si>
  <si>
    <t>Helmholtz Climate Initiative REKLIM (Regional Climate Change); Helmholtz Association of German Research Centres (HGF)(Helmholtz Association)</t>
  </si>
  <si>
    <t>We would like to thank Klaus Grosfeld, Hartmut Hellmer, Rachael Mueller, Dmitry Sidorenko, and Qiang Wang for helpful discussions; Sina Loschke for supplying the illustration of Weddell Sea continental-shelf processes; Wolfgang Cohrs, Herbert Liegmahl, Natalja Rakowsky, Malte Thoma, and Chresten Wubber for maintaining excellent computing facilities at AWI; and the two anonymous reviewers for their careful reading and helpful suggestions. Frank Schnaase created the scripts for combining sub-ice temperature sections with basal melt rate profiles. We thank the North German Supercomputing Alliance (HLRN) for providing the computer resources required to run FESOM and RAnGO over several hundreds of years. Funding by the Helmholtz Climate Initiative REKLIM (Regional Climate Change), a joint research project of the Helmholtz Association of German Research Centres (HGF), has been indispensable for this study and is gratefully acknowledged.</t>
  </si>
  <si>
    <t>1812-0784</t>
  </si>
  <si>
    <t>OCEAN SCI</t>
  </si>
  <si>
    <t>Ocean Sci.</t>
  </si>
  <si>
    <t>10.5194/os-13-765-2017</t>
  </si>
  <si>
    <t>FH7KL</t>
  </si>
  <si>
    <t>Green Submitted, gold, Green Accepted</t>
  </si>
  <si>
    <t>WOS:000411366400002</t>
  </si>
  <si>
    <t>Zeng, J; Chen, M; Zheng, MF; Hu, WJ; Qiu, YS</t>
  </si>
  <si>
    <t>Zeng, Jian; Chen, Min; Zheng, Minfang; Hu, Wangjiang; Qiu, Yusheng</t>
  </si>
  <si>
    <t>A potential nitrogen sink discovered in the oxygenated Chukchi Shelf waters of the Arctic</t>
  </si>
  <si>
    <t>GEOCHEMICAL TRANSACTIONS</t>
  </si>
  <si>
    <t>Denitrification; Oxygenated water column; Primary productivity; Chukchi Shelf</t>
  </si>
  <si>
    <t>ANAEROBIC AMMONIUM OXIDATION; SOUTHEASTERN BERING-SEA; PARTICULATE ORGANIC-MATTER; MINIMUM ZONE; MARINE-SEDIMENTS; N-2 PRODUCTION; SOUTH-PACIFIC; DENITRIFICATION RATES; EXOPOLYMER PARTICLES; COMMUNITY STRUCTURE</t>
  </si>
  <si>
    <t>The western Arctic Shelf has long been considered as an important sink of nitrogen because high primary productivity of the shelf water fuels active denitrification within the sediments, which has been recognized to account for all the nitrogen (N) removal of the Pacific water inflow. However, potentially high denitrifying activity was discovered within the oxygenated Chukchi Shelf water during our summer expedition. Based on N-15-isotope pairing incubations, we estimated denitrification rates ranging from 1.8 +/- 0.4 to 75.9 +/- 8.7 nmol N-2 L-1 h(-1). We find that the spatial pattern of denitrifying activity follows well with primary productivity, which supplies plentiful fresh organic matter, and there was a strong correlation between integrated denitrification and integrated primary productivity. Considering the active hydrodynamics over the Chukchi Shelf during summer, resuspension of benthic sediment coupled with particle-associated bacteria induces an active denitrification process in the oxic water column. We further extrapolate to the whole Chukchi Shelf and estimate an N removal flux from this cold Arctic shelf water to be 12.2 Tg-N year(-1), which compensates for the difference between sediment cores incubation (similar to 3 Tg-N year(-1)) and geochemical estimation based on N deficit relative to phosphorous (similar to 16 Tg-N year(-1)). We infer that dynamic sediment resuspension combined with high biological productivity stimulates intensive denitrification in the water column, potentially creating a nitrogen sink over the shallow Arctic shelves that have previously been unrecognized.</t>
  </si>
  <si>
    <t>[Zeng, Jian; Chen, Min; Zheng, Minfang; Hu, Wangjiang; Qiu, Yusheng] Xiamen Univ, Coll Ocean &amp; Earth Sci, Xiamen 361005, Peoples R China</t>
  </si>
  <si>
    <t>Xiamen University</t>
  </si>
  <si>
    <t>Chen, M (corresponding author), Xiamen Univ, Coll Ocean &amp; Earth Sci, Xiamen 361005, Peoples R China.</t>
  </si>
  <si>
    <t>mchen@xmu.edu.cn</t>
  </si>
  <si>
    <t>ma, qiang/HCI-1013-2022; Chen, Min/B-7763-2012; Zeng, Jian/D-3884-2017</t>
  </si>
  <si>
    <t>Chen, Min/0000-0003-0369-694X; Zeng, Jian/0000-0001-8801-5220</t>
  </si>
  <si>
    <t>Chinese Natural Science Foundation [41125020]; Polar Strategic Research Foundation of China [20140306]; Chinese Arctic and Antarctic Administration [CHINARE2017-03-04-03, CHINARE2017-04-03-05]</t>
  </si>
  <si>
    <t>Chinese Natural Science Foundation(National Natural Science Foundation of China (NSFC)); Polar Strategic Research Foundation of China; Chinese Arctic and Antarctic Administration</t>
  </si>
  <si>
    <t>We wish to thank Dr. Jianfang Chen for generously providing nutrient data of the same cruise. We also sincerely thank the crews of the 5th CHINARE onboard R/V Xuelong for their supports at sea. All data are available from the authors upon request (mchen@xmu.edu.cn). This work was supported in part by a Chinese Natural Science Foundation (41125020), a Polar Strategic Research Foundation of China (20140306) and the polar environment investigation and assessment supported by the Chinese Arctic and Antarctic Administration (CHINARE2017-03-04-03, CHINARE2017-04-03-05).</t>
  </si>
  <si>
    <t>BIOMED CENTRAL LTD</t>
  </si>
  <si>
    <t>236 GRAYS INN RD, FLOOR 6, LONDON WC1X 8HL, ENGLAND</t>
  </si>
  <si>
    <t>1467-4866</t>
  </si>
  <si>
    <t>GEOCHEM T</t>
  </si>
  <si>
    <t>Geochem. Trans.</t>
  </si>
  <si>
    <t>SEP 20</t>
  </si>
  <si>
    <t>10.1186/s12932-017-0043-2</t>
  </si>
  <si>
    <t>FH7TY</t>
  </si>
  <si>
    <t>WOS:000411396100001</t>
  </si>
  <si>
    <t>Passalacqua, O; Ritz, C; Parrenin, F; Urbini, S; Frezzotti, M</t>
  </si>
  <si>
    <t>Passalacqua, Olivier; Ritz, Catherine; Parrenin, Frederic; Urbini, Stefano; Frezzotti, Massimo</t>
  </si>
  <si>
    <t>Geothermal flux and basal melt rate in the Dome C region inferred from radar reflectivity and heat modelling</t>
  </si>
  <si>
    <t>ANTARCTIC ICE-SHEET; EAST ANTARCTICA; SUBGLACIAL LAKES; OLD ICE; FLOW; CLIMATE; SURFACE; VARIABILITY; BOREHOLE; TRAVERSE</t>
  </si>
  <si>
    <t>Basal melt rate is the most important physical quantity to be evaluated when looking for an old-ice drilling site, and it depends to a great extent on the geothermal flux (GF), which is poorly known under the East Antarctic ice sheet. Given that wet bedrock has higher reflectivity than dry bedrock, the wetness of the ice-bed interface can be assessed using radar echoes from the bedrock. But, since basal conditions depend on heat transfer forced by climate but lagged by the thick ice, the basal ice may currently be frozen whereas in the past it was generally melting. For that reason, the risk of bias between present and past conditions has to be evaluated. The objective of this study is to assess which locations in the Dome C area could have been protected from basal melting at any time in the past, which requires evaluating GF. We used an inverse approach to retrieve GF from radar-inferred distribution of wet and dry beds. A 1-D heat model is run over the last 800 ka to constrain the value of GF by assessing a critical ice thickness, i.e. the minimum ice thickness that would allow the present local distribution of basal melting. A regional map of the GF was then inferred over a 80 km x 130 km area, with a N-S gradient and with values ranging from 48 to 60m Wm(-2). The forward model was then emulated by a polynomial function to compute a time-averaged value of the spatially variable basal melt rate over the region. Three main subregions appear to be free of basal melting, two because of a thin overlying ice and one, north of Dome C, because of a low GF.</t>
  </si>
  <si>
    <t>[Passalacqua, Olivier; Ritz, Catherine; Parrenin, Frederic] Univ Grenoble Alpes, CNRS, IGE, F-38000 Grenoble, France; [Urbini, Stefano] Ist Nazl Geofis &amp; Vulcanol, I-00143 Rome, Italy; [Frezzotti, Massimo] ENEA, Ctr Ric Casaccia, POB 2400, I-00100 Rome, Italy</t>
  </si>
  <si>
    <t>Centre National de la Recherche Scientifique (CNRS); Communaute Universite Grenoble Alpes; Universite Grenoble Alpes (UGA); Istituto Nazionale Geofisica e Vulcanologia (INGV); Italian National Agency New Technical Energy &amp; Sustainable Economics Development</t>
  </si>
  <si>
    <t>Passalacqua, O (corresponding author), Univ Grenoble Alpes, CNRS, IGE, F-38000 Grenoble, France.</t>
  </si>
  <si>
    <t>olivier.passalacqua@univ-grenoble-alpes.fr</t>
  </si>
  <si>
    <t>Parrenin, Frédéric/H-3054-2014; FREZZOTTI, Massimo/AAK-7275-2020</t>
  </si>
  <si>
    <t>Parrenin, Frédéric/0000-0002-9489-3991; FREZZOTTI, Massimo/0000-0002-2461-2883; Ritz, Catherine/0000-0003-0785-8571; urbini, stefano/0000-0002-8053-4197</t>
  </si>
  <si>
    <t>European Union's Horizon research and innovation programme [730258]; Swiss State Secretariat for Education, Research and Innovation (SERI) [16.0144]; CNRS/LEFE project CO2Role; Universite Grenoble Alpes; H2020 Societal Challenges Programme [730258] Funding Source: H2020 Societal Challenges Programme</t>
  </si>
  <si>
    <t>European Union's Horizon research and innovation programme(Horizon 2020European Union (EU)Horizon Europe Research Infrastructures); Swiss State Secretariat for Education, Research and Innovation (SERI); CNRS/LEFE project CO2Role; Universite Grenoble Alpes; H2020 Societal Challenges Programme(Horizon 2020European Union (EU)H2020 Societal Challenges Programme)</t>
  </si>
  <si>
    <t>The project has received funding from the European Union's Horizon 2020 research and innovation programme under grant agreement no. 730258 (BE-OI CSA). It has received funding from the Swiss State Secretariat for Education, Research and Innovation (SERI) under contract number 16.0144. It is furthermore supported by national partners and funding agencies in Belgium, Denmark, France, Germany, Italy, Norway, Sweden, Switzerland, the Netherlands and the United Kingdom. Logistic support is mainly provided by AWI, BAS, ENEA and IPEV.; This publication also benefitted from support by the CNRS/LEFE project CO2Role and by the Universite Grenoble Alpes in the framework of the proposal called Grenoble Innovation Recherche AGIR.</t>
  </si>
  <si>
    <t>10.5194/tc-11-2231-2017</t>
  </si>
  <si>
    <t>FH6CE</t>
  </si>
  <si>
    <t>WOS:000411259100001</t>
  </si>
  <si>
    <t>Saunois, M; Bousquet, P; Poulter, B; Peregon, A; Ciais, P; Canadell, JG; Dlugokencky, EJ; Etiope, G; Bastviken, D; Houweling, S; Janssens-Maenhout, G; Tubiello, FN; Castaldi, S; Jackson, RB; Alexe, M; Arora, VK; Beerling, DJ; Bergamaschi, P; Blake, DR; Brailsford, G; Bruhwiler, L; Crevoisier, C; Crill, P; Covey, K; Frankenberg, C; Gedney, N; Höglund-Isaksson, L; Ishizawa, M; Ito, A; Joos, F; Kim, HS; Kleinen, T; Krummel, P; Lamarque, JF; Langenfelds, R; Locatelli, R; Machida, T; Maksyutov, S; Melton, JR; Morino, I; Naik, V; O'Doherty, S; Parmentier, FJ; Patra, PK; Peng, CH; Peng, SS; Peters, GP; Pison, I; Prinn, R; Ramonet, M; Riley, WJ; Saito, M; Santini, M; Schroeder, R; Simpson, IJ; Spahni, R; Takizawa, A; Thornton, BF; Tian, HQ; Tohjima, Y; Viovy, N; Voulgarakis, A; Weiss, R; Wilton, DJ; Wiltshire, A; Worthy, D; Wunch, D; Xu, XY; Yoshida, Y; Zhang, BW; Zhang, Z; Zhu, QA</t>
  </si>
  <si>
    <t>Saunois, Marielle; Bousquet, Philippe; Poulter, Ben; Peregon, Anna; Ciais, Philippe; Canadell, Josep G.; Dlugokencky, Edward J.; Etiope, Giuseppe; Bastviken, David; Houweling, Sander; Janssens-Maenhout, Greet; Tubiello, Francesco N.; Castaldi, Simona; Jackson, Robert B.; Alexe, Mihai; Arora, Vivek K.; Beerling, David J.; Bergamaschi, Peter; Blake, Donald R.; Brailsford, Gordon; Bruhwiler, Lori; Crevoisier, Cyril; Crill, Patrick; Covey, Kristofer; Frankenberg, Christian; Gedney, Nicola; Hoeglund-Isaksson, Lena; Ishizawa, Misa; Ito, Akihiko; Joos, Fortunat; Kim, Heon-Sook; Kleinen, Thomas; Krummel, Paul; Lamarque, Jean-Francois; Langenfelds, Ray; Locatelli, Robin; Machida, Toshinobu; Maksyutov, Shamil; Melton, Joe R.; Morino, Isamu; Naik, Vaishali; O'Doherty, Simon; Parmentier, Frans-JanW.; Patra, Prabir K.; Peng, Changhui; Peng, Shushi; Peters, Glen P.; Pison, Isabelle; Prinn, Ronald; Ramonet, Michel; Riley, William J.; Saito, Makoto; Santini, Monia; Schroeder, Ronny; Simpson, Isobel J.; Spahni, Renato; Takizawa, Atsushi; Thornton, Brett F.; Tian, Hanqin; Tohjima, Yasunori; Viovy, Nicolas; Voulgarakis, Apostolos; Weiss, Ray; Wilton, David J.; Wiltshire, Andy; Worthy, Doug; Wunch, Debra; Xu, Xiyan; Yoshida, Yukio; Zhang, Bowen; Zhang, Zhen; Zhu, Qiuan</t>
  </si>
  <si>
    <t>Variability and quasi-decadal changes in the methane budget over the period 2000-2012</t>
  </si>
  <si>
    <t>GLOBAL ATMOSPHERIC ETHANE; NATURAL WETLANDS; GAS-PRODUCTION; CH4 EMISSIONS; FOSSIL-FUEL; GROWTH-RATE; INTERANNUAL VARIABILITY; TERRESTRIAL ECOSYSTEMS; ASSIMILATION SYSTEM; FIRE EMISSIONS</t>
  </si>
  <si>
    <t>Following the recent Global Carbon Project (GCP) synthesis of the decadal methane (CH4) budget over 2000-2012 (Saunois et al., 2016), we analyse here the same dataset with a focus on quasi-decadal and inter-annual variability in CH4 emissions. The GCP dataset integrates results from top-down studies (exploiting atmospheric observations within an atmospheric inverse-modelling framework) and bottom-up models (including process-based models for estimating land surface emissions and atmospheric chemistry), inventories of anthropogenic emissions, and data-driven approaches. The annual global methane emissions from top-down studies, which by construction match the observed methane growth rate within their uncertainties, all show an increase in total methane emissions over the period 2000-2012, but this increase is not linear over the 13 years. Despite differences between individual studies, the mean emission anomaly of the top-down ensemble shows no significant trend in total methane emissions over the period 2000-2006, during the plateau of atmospheric methane mole fractions, and also over the period 2008-2012, during the renewed atmospheric methane increase. However, the top-down ensemble mean produces an emission shift between 2006 and 2008, leading to 22 [16-32] Tg CH4 yr(-1) higher methane emissions over the period 2008-2012 compared to 2002-2006. This emission increase mostly originated from the tropics, with a smaller contribution from mid-latitudes and no significant change from boreal regions. The regional contributions remain uncertain in top-down studies. Tropical South America and South and East Asia seem to contribute the most to the emission increase in the tropics. However, these two regions have only limited atmospheric measurements and remain therefore poorly constrained. The sectorial partitioning of this emission increase between the periods 2002-2006 and 2008-2012 differs from one atmospheric inversion study to another. However, all top-down studies suggest smaller changes in fossil fuel emissions (from oil, gas, and coal industries) compared to the mean of the bottom-up inventories included in this study. This difference is partly driven by a smaller emission change in China from the top-down studies compared to the estimate in the Emission Database for Global Atmospheric Research (EDGARv4.2) inventory, which should be revised to smaller values in a near future. We apply isotopic signatures to the emission changes estimated for individual studies based on five emission sectors and find that for six individual top-down studies (out of eight) the average isotopic signature of the emission changes is not consistent with the observed change in atmospheric (CH4)-C-13. However, the partitioning in emission change derived from the ensemble mean is consistent with this isotopic constraint. At the global scale, the top-down ensemble mean suggests that the dominant contribution to the resumed atmospheric CH4 growth after 2006 comes from microbial sources (more from agriculture and waste sectors than from natural wetlands), with an uncertain but smaller contribution from fossil CH4 emissions. In addition, a decrease in biomass burning emissions (in agreement with the biomass burning emission databases) makes the balance of sources consistent with atmospheric (CH4)-C-13 observations. In most of the top-down studies included here, OH concentrations are considered constant over the years (seasonal variations but without any inter-annual variability). As a result, the methane loss (in particular through OH oxidation) varies mainly through the change in methane concentrations and not its oxidants. For these reasons, changes in the methane loss could not be properly investigated in this study, although it may play a significant role in the recent atmospheric methane changes as briefly discussed at the end of the paper.</t>
  </si>
  <si>
    <t>[Saunois, Marielle; Bousquet, Philippe; Peregon, Anna; Ciais, Philippe; Locatelli, Robin; Peng, Shushi; Pison, Isabelle; Ramonet, Michel; Viovy, Nicolas] Univ Paris Saclay, Lab Sci Climat &amp; Environnem, LSCE IPSL, CNRS UVSQ CEA, F-91191 Gif Sur Yvette, France; [Poulter, Ben] NASA, Goddard Space Flight Ctr, Biospher Sci Lab, Greenbelt, MD 20771 USA; [Canadell, Josep G.] CSIRO, Oceans &amp; Atmosphere, Global Carbon Project, Canberra, ACT 2601, Australia; [Dlugokencky, Edward J.; Bruhwiler, Lori] NOAA, ESRL, 325 Broadway, Boulder, CO 80305 USA; [Etiope, Giuseppe] Ist Nazl Geofis &amp; Vulcanol, Sez Roma 2, Via V Murata 605, I-00143 Rome, Italy; [Etiope, Giuseppe] Babes Bolyai Univ, Fac Environm Sci &amp; Engn, Cluj Napoca, Romania; [Bastviken, David] Linkoping Univ, Dept Themat Studies, Environm Change, S-58183 Linkoping, Sweden; [Houweling, Sander] Netherlands Inst Space Res SRON, Sorbonnelaan 2, NL-3584 CA Utrecht, Netherlands; [Houweling, Sander] Inst Marine &amp; Atmospher Res, Sorbonnelaan 2, NL-3584 CA Utrecht, Netherlands; [Janssens-Maenhout, Greet; Alexe, Mihai; Bergamaschi, Peter] European Commiss Joint Res Ctr, Ispra, VA, Italy; [Tubiello, Francesco N.] Food &amp; Agr Org United Nations FAO, Stat Div, Viale Terme Caracalla, I-00153 Rome, Italy; [Castaldi, Simona] Seconda Univ Napoli, Dipartimento Sci &amp; Tecnol Ambientali Biol &amp; Farma, Via Vivaldi 43, I-81100 Caserta, Italy; [Castaldi, Simona; Santini, Monia] FEFU, Vladivostok, Russia; [Castaldi, Simona; Santini, Monia] Euro Mediterranean Ctr Climate Change, Via Augusto Imperatore 16, I-73100 Lecce, Italy; [Jackson, Robert B.] Stanford Univ, Sch Earth Energy &amp; Environm Sci, Stanford, CA 94305 USA; [Arora, Vivek K.] Environm &amp; Climate Change Canada, Canadian Ctr Climate Modelling &amp; Anal, Climate Res Div, Victoria, BC V8W 2Y2, Canada; [Beerling, David J.; Wilton, David J.] Univ Sheffield, Dept Anim &amp; Plant Sci, Sheffield S10 2TN, S Yorkshire, England; [Blake, Donald R.; Simpson, Isobel J.] Univ Calif Irvine, 570 Rowland Hall, Irvine, CA 92697 USA; [Brailsford, Gordon] Nat Inst Water &amp; Atmospher Res, 301 Evans Bay Parade, Wellington, New Zealand; [Crevoisier, Cyril] Univ Paris Saclay, CNRS, Ecole Polytech, Lab Meteorol Dynam,LMD IPSL, F-91120 Palaiseau, France; [Crill, Patrick; Thornton, Brett F.] Dept Geol Sci, Svante Arrhenius Vag 8, S-10691 Stockholm, Sweden; [Crill, Patrick; Thornton, Brett F.] Bolin Ctr Climate Res, Svante Arrhenius Vag 8, S-10691 Stockholm, Sweden; [Covey, Kristofer] Yale Univ, Sch Forestry &amp; Environm Studies, New Haven, CT 06511 USA; [Frankenberg, Christian] CALTECH, Geol &amp; Planetary Sci, Pasadena, CA 91125 USA; [Frankenberg, Christian] Jet Prop Lab, MS 183-601,4800 Oak Grove Dr, Pasadena, CA 91109 USA; [Gedney, Nicola] Joint Ctr Hydrometeorol Res, Hadley Ctr, Met Off, Maclean Bldg, Wallingford OX10 8BB, Oxon, England; [Hoeglund-Isaksson, Lena] IIASA, Air Qual &amp; Greenhouse Gases Program AIR, A-2361 Laxenburg, Austria; [Ishizawa, Misa; Ito, Akihiko; Kim, Heon-Sook; Machida, Toshinobu; Maksyutov, Shamil; Morino, Isamu; Saito, Makoto; Tohjima, Yasunori; Yoshida, Yukio] Natl Inst Environm Studies, Ctr Global Environm Res, Onogawa 16-2, Tsukuba, Ibaraki 3058506, Japan; [Joos, Fortunat; Spahni, Renato] Univ Bern, Climate &amp; Environm Phys, Phys Inst, Sidlerstr 5, CH-3012 Bern, Switzerland; [Joos, Fortunat; Spahni, Renato] Univ Bern, Oeschger Ctr Climate Change Res, Sidlerstr 5, CH-3012 Bern, Switzerland; [Kleinen, Thomas] Max Planck Inst Meteorol, Bundesstr 53, D-20146 Hamburg, Germany; [Krummel, Paul; Langenfelds, Ray] CSIRO, Oceans &amp; Atmosphere, Aspendale, Vic 3195, Australia; [Lamarque, Jean-Francois] NCAR, POB 3000, Boulder, CO 80307 USA; [Melton, Joe R.] Environm &amp; Climate Change Canada, Climate Res Div, Victoria, BC V8W 2Y2, Canada; [Naik, Vaishali] NOAA, GFDL, 201 Forrestal Rd, Princeton, NJ 08540 USA; [O'Doherty, Simon] Univ Bristol, Sch Chem, Cantocks Close, Bristol BS8 1TS, Avon, England; [Parmentier, Frans-JanW.] UiT Arctic Univ Norway, Dept Arctic &amp; Marine Biol, Fac Biosci Fisheries &amp; Econ, N-9037 Tromso, Norway; [Patra, Prabir K.] JAMSTEC, Kanagawa Ku, Dept Environm Geochem Cycle Res, 3173-25 Showa Machi, Yokohama, Kanagawa 2360001, Japan; [Patra, Prabir K.] JAMSTEC, Kanagawa Ku, Inst Arctic Climate &amp; Environm Res, 3173-25 Showa Machi, Yokohama, Kanagawa 2360001, Japan; [Peng, Changhui] Univ Quebec, Inst Environm Sci, Dept Biol Sci, Montreal, PQ H3C 3P8, Canada; [Peng, Changhui; Zhu, Qiuan] Northwest A&amp;F Univ, State Key Lab Soil Eros &amp; Dryland Farming Loess P, Yangling 712100, Shaanxi, Peoples R China; [Peng, Shushi] Peking Univ, Coll Urban &amp; Environm Sci, Sino French Inst Earth Syst Sci, Beijing 100871, Peoples R China; [Peters, Glen P.] CICERO Ctr Int Climate Res, Pb 1129 Blindern, N-0318 Oslo, Norway; [Prinn, Ronald] MIT, Bldg 54-1312, Cambridge, MA 02139 USA; [Riley, William J.; Xu, Xiyan] Lawrence Berkeley Natl Lab, Climate &amp; Ecosystem Sci Div, 1 Cyclotron Rd, Berkeley, CA 94720 USA; [Schroeder, Ronny] Univ New Hampshire, Dept Civil &amp; Environm Engn, Durham, NH 03824 USA; [Takizawa, Atsushi] Japan Meteorol Agcy, Chiyoda Ku, 1-3-4 Otemachi, Tokyo 1008122, Japan; [Tian, Hanqin; Zhang, Bowen] Auburn Univ, Sch Forestry &amp; Wildlife Sci, lnt Ctr Climate &amp; Global Change Res, 602 Duncan Dr, Auburn, AL 36849 USA; [Voulgarakis, Apostolos] Imperial Coll London, Blackett Lab, Space &amp; Atmospher Phys, London SW7 2AZ, England; [Weiss, Ray] Univ Calif San Diego, SIO, La Jolla, CA 92093 USA; [Wiltshire, Andy] Hadley Ctr, Met Off, FitzRoy Rd, Exeter EX1 3PB, Devon, England; [Worthy, Doug] Environm Canada, 4905,Rue Dufferin, Toronto, ON, Canada; [Wunch, Debra] Univ Toronto, Dept Phys, 60 St George St, Toronto, ON, Canada; [Xu, Xiyan] Chinese Acad Sci, Inst Atmospher Phys, CAS Key Lab Reg Climate, Environm Temperate East Asia, Beijing 100029, Peoples R China; [Zhang, Zhen] Swiss Fed Res Inst WSL, CH-8059 Birmensdorf, Switzerland</t>
  </si>
  <si>
    <t>Universite Paris Saclay; Universite Paris Cite; CEA; Centre National de la Recherche Scientifique (CNRS); National Aeronautics &amp; Space Administration (NASA); NASA Goddard Space Flight Center; Commonwealth Scientific &amp; Industrial Research Organisation (CSIRO); National Oceanic Atmospheric Admin (NOAA) - USA; Istituto Nazionale Geofisica e Vulcanologia (INGV); Babes Bolyai University from Cluj; Linkoping University; Utrecht University; European Commission Joint Research Centre; EC JRC ISPRA Site; Food &amp; Agriculture Organization of the United Nations (FAO); Universita della Campania Vanvitelli; Far Eastern Federal University; Centro Euro-Mediterraneo sui Cambiamenti Climatici (CMCC); Stanford University; Environment &amp; Climate Change Canada; Canadian Centre for Climate Modelling &amp; Analysis (CCCma); University of Sheffield; University of California System; University of California Irvine; Sorbonne Universite; Universite Paris Cite; Universite Paris Saclay; Institut Polytechnique de Paris; Centre National de la Recherche Scientifique (CNRS); Ecole des Ponts ParisTech; Yale University; California Institute of Technology; National Aeronautics &amp; Space Administration (NASA); NASA Jet Propulsion Laboratory (JPL); Met Office - UK; International Institute for Applied Systems Analysis (IIASA); National Institute for Environmental Studies - Japan; University of Bern; University of Bern; Max Planck Society; Commonwealth Scientific &amp; Industrial Research Organisation (CSIRO); National Center Atmospheric Research (NCAR) - USA; Environment &amp; Climate Change Canada; National Oceanic Atmospheric Admin (NOAA) - USA; University of Bristol; UiT The Arctic University of Tromso; Japan Agency for Marine-Earth Science &amp; Technology (JAMSTEC); Japan Agency for Marine-Earth Science &amp; Technology (JAMSTEC); University of Quebec; University of Quebec Montreal; Northwest A&amp;F University - China; Peking University; Massachusetts Institute of Technology (MIT); United States Department of Energy (DOE); Lawrence Berkeley National Laboratory; University System Of New Hampshire; University of New Hampshire; Japan Meteorological Agency; Auburn University System; Auburn University; Imperial College London; University of California System; University of California San Diego; Met Office - UK; Hadley Centre; Environment &amp; Climate Change Canada; University of Toronto; Chinese Academy of Sciences; Institute of Atmospheric Physics, CAS; Swiss Federal Institutes of Technology Domain; Swiss Federal Institute for Forest, Snow &amp; Landscape Research</t>
  </si>
  <si>
    <t>Saunois, M (corresponding author), Univ Paris Saclay, Lab Sci Climat &amp; Environnem, LSCE IPSL, CNRS UVSQ CEA, F-91191 Gif Sur Yvette, France.</t>
  </si>
  <si>
    <t>marielle.saunois@lsce.ipsl.fr</t>
  </si>
  <si>
    <t>Wiltshire, Andy/C-2848-2008; Krummel, Paul B/A-4293-2013; Etiope, Giuseppe/H-3343-2011; Patra, Prabir/B-5206-2009; Maksyutov, Shamil/G-6494-2011; Naik, Vaishali/A-4938-2013; YOSHIDA, Yukio/H-2759-2018; Zhang, Zhen/P-4169-2016; Langenfelds, Raymond L/B-5381-2012; Naik, Vaishali/Y-5661-2019; Machida, Toshinobu/H-6526-2018; Saunois, Marielle/JYP-5156-2024; Dlugokencky, Edward/AAN-8746-2020; Bruhwiler, Lori/AAQ-8502-2020; Viovy, Nicolas/S-2631-2018; BOUSQUET, Philippe/AGI-6602-2022; Poulter, Ben/ABB-5886-2021; Canadell, Pep/E-9419-2010; Melton, Joe R./H-6803-2019; Peters, Glen P/B-1012-2008; Xu, Xiyan/ABB-9249-2020; Parmentier, Frans-Jan W./D-9022-2013; Morino, Isamu/K-1033-2014; Joos, Fortunat/B-4118-2018; PENG, Shushi/AAS-2603-2020; Ito, Akihiko/P-2624-2017; Ciais, Philippe/A-6840-2011; Riley, William J/D-3345-2015; Lamarque, Jean-Francois/L-2313-2014; Saito, Makoto/AAL-4510-2021; Crill, Patrick/ABC-1357-2021; Frankenberg, Christian/A-2944-2013; Tian, Hanqin/A-6484-2012; Kleinen, Thomas/G-5666-2018; Santini, Monia/K-1280-2017; Beerling, David/C-2840-2009</t>
  </si>
  <si>
    <t>Krummel, Paul B/0000-0002-4884-3678; Etiope, Giuseppe/0000-0001-8614-4221; Patra, Prabir/0000-0001-5700-9389; Maksyutov, Shamil/0000-0002-1200-9577; Naik, Vaishali/0000-0002-2254-1700; Zhang, Zhen/0000-0003-0899-1139; Naik, Vaishali/0000-0002-2254-1700; Saunois, Marielle/0000-0003-3983-2931; Dlugokencky, Edward/0000-0003-0612-6985; Bruhwiler, Lori/0000-0002-3554-9250; Viovy, Nicolas/0000-0002-9197-6417; Poulter, Ben/0000-0002-9493-8600; Canadell, Pep/0000-0002-8788-3218; Melton, Joe R./0000-0002-9414-064X; Peters, Glen P/0000-0001-7889-8568; Xu, Xiyan/0000-0003-2732-1325; Parmentier, Frans-Jan W./0000-0003-2952-7706; Morino, Isamu/0000-0003-2720-1569; Joos, Fortunat/0000-0002-9483-6030; PENG, Shushi/0000-0001-5098-726X; Ito, Akihiko/0000-0001-5265-0791; Ciais, Philippe/0000-0001-8560-4943; Riley, William J/0000-0002-4615-2304; Frankenberg, Christian/0000-0002-0546-5857; Tian, Hanqin/0000-0002-1806-4091; Jackson, Robert/0000-0001-8846-7147; Kleinen, Thomas/0000-0001-9550-5164; Locatelli, Robin/0000-0002-3725-0519; Houweling, Sander/0000-0002-6189-1009; Ishizawa, Misa/0000-0003-4177-9447; Bousquet, Philippe/0000-0002-4444-2703; Bastviken, David/0000-0003-0038-2152; Santini, Monia/0000-0002-8041-8241; Hoglund-Isaksson, Lena/0000-0001-7514-3135; Voulgarakis, Apostolos/0000-0002-6656-4437; Blake, Donald/0000-0002-8283-5014; Tubiello, Francesco Nicola/0000-0003-4617-4690; Beerling, David/0000-0003-1869-4314</t>
  </si>
  <si>
    <t>EU FP7 GEOCARBON project; National Environmental Science Program - Earth Systems and Climate Change Hub; NASA [NNX07AK10G]; Swiss National Science Foundation; National Science and Engineering Research Council of Canada (NSERC) discovery grant; China's QianRen Program; Research Council of Norway project [209701]; Swedish Research Council VR; ERC [725546]; Environment Research and Technology Development Fund of the Ministry of the Environment, Japan [A2-1502]; Office of Science, Office of Biological and Environmental Research of the US Department of Energy as part of the RGCM BGC-Climate Feedbacks SFA [DE-AC02-05CH11231]; European Commission Seventh Framework Programme (FP7) project MACCII [283576]; European Commission Horizon Programme project MACC-III [633080]; ESA Climate Change Initiative Greenhouse Gases Phase 2 project; NASA Carbon Monitoring Program [NNX12AP84G, NNX14AO73G]; Joint DECC/Defra Met Office Hadley Centre Climate Programme [GA01101]; ERC Advanced grant (CDREG) [322998]; NERC [NE/J00748X/1]; CSIRO Australia; Australian Bureau of Meteorology; Australian Institute of Marine Science; Australian Antarctic Division; NOAA USA; Meteorological Service of Canada; National Aeronautic and Space Administration (NASA) [NAG5-12669, NNX07AE89G, NNX11AF17G, NNX07AE87G, NNX07AF09G, NNX11AF15G, NNX11AF16G]; Department of Energy and Climate Change (DECC, UK) [GA01081]; Commonwealth Scientific and Industrial Research Organisation (CSIRO Australia); Bureau of Meteorology (Australia); NASA [NNX14AO73G, 677591, 14155, NNX12AP84G] Funding Source: Federal RePORTER; European Research Council (ERC) [633080, 725546] Funding Source: European Research Council (ERC)</t>
  </si>
  <si>
    <t>EU FP7 GEOCARBON project(European Union (EU)); National Environmental Science Program - Earth Systems and Climate Change Hub; NASA(National Aeronautics &amp; Space Administration (NASA)); Swiss National Science Foundation(Swiss National Science Foundation (SNSF)); National Science and Engineering Research Council of Canada (NSERC) discovery grant(Natural Sciences and Engineering Research Council of Canada (NSERC)); China's QianRen Program; Research Council of Norway project(Research Council of Norway); Swedish Research Council VR(Swedish Research Council); ERC(European Research Council (ERC)); Environment Research and Technology Development Fund of the Ministry of the Environment, Japan(Ministry of the Environment, Japan); Office of Science, Office of Biological and Environmental Research of the US Department of Energy as part of the RGCM BGC-Climate Feedbacks SFA(United States Department of Energy (DOE)); European Commission Seventh Framework Programme (FP7) project MACCII; European Commission Horizon Programme project MACC-III; ESA Climate Change Initiative Greenhouse Gases Phase 2 project; NASA Carbon Monitoring Program; Joint DECC/Defra Met Office Hadley Centre Climate Programme; ERC Advanced grant (CDREG)(European Research Council (ERC)); NERC(UK Research &amp; Innovation (UKRI)Natural Environment Research Council (NERC)); CSIRO Australia(Commonwealth Scientific &amp; Industrial Research Organisation (CSIRO)); Australian Bureau of Meteorology; Australian Institute of Marine Science; Australian Antarctic Division; NOAA USA(National Oceanic Atmospheric Admin (NOAA) - USA); Meteorological Service of Canada; National Aeronautic and Space Administration (NASA)(National Aeronautics &amp; Space Administration (NASA)); Department of Energy and Climate Change (DECC, UK); Commonwealth Scientific and Industrial Research Organisation (CSIRO Australia)(Commonwealth Scientific &amp; Industrial Research Organisation (CSIRO)); Bureau of Meteorology (Australia)(Bureau of Meteorology - Australia); NASA(National Aeronautics &amp; Space Administration (NASA)); European Research Council (ERC)(European Research Council (ERC)Spanish Government)</t>
  </si>
  <si>
    <t>Ben Poulter has been funded by the EU FP7 GEOCARBON project. Josep G. Canadell thanks the National Environmental Science Program - Earth Systems and Climate Change Hub for their support. Donald R. Black and Isobel J. Simpson (UCI) acknowledge funding support from NASA (NNX07AK10G). Fortunat Joos, Renato Spahni, and Ronny Schroeder acknowledge support by the Swiss National Science Foundation. Changhui Peng acknowledges the support of the National Science and Engineering Research Council of Canada (NSERC) discovery grant and China's QianRen Program. Glen P. Peters acknowledges the support of the Research Council of Norway project 209701. David Bastviken acknowledges support from the Swedish Research Council VR and ERC (grant no. 725546). Patrick Crill acknowledges support from the Swedish Research Council VR. Francesco N. Tubiello acknowledges the support of FAO Regular Programme Funding under O6 and SO2 for the development and maintenance of the FAOSTAT emissions database. The FAOSTAT database is supported by regular programme funding from all FAO member countries. Prabir K. Patra is partly supported by the Environment Research and Technology Development Fund (A2-1502) of the Ministry of the Environment, Japan. William J. Riley and Xiyan Xu were supported by the Director, Office of Science, Office of Biological and Environmental Research of the US Department of Energy under Contract DE-AC02-05CH11231 as part of the RGCM BGC-Climate Feedbacks SFA. Peter Bergamaschi and Mihai Alexe acknowledge support by the European Commission Seventh Framework Programme (FP7/2007-2013) project MACCII under grant agreement 283576, by the European Commission Horizon 2020 Programme project MACC-III under grant agreement 633080, and by the ESA Climate Change Initiative Greenhouse Gases Phase 2 project. Hanqin Tian and Bowen Zhang acknowledge support by the NASA Carbon Monitoring Program (NNX12AP84G, NNX14AO73G). HeonSook Kim and Shamil Maksyutov acknowledge use of the GOSAT Research Computation Facility. Nicola Gedney and Andy Wiltshire acknowledge support by the Joint DECC/Defra Met Office Hadley Centre Climate Programme (GA01101). David J. Beerling acknowledges support from an ERC Advanced grant (CDREG, 322998) and NERC (NE/J00748X/1).; The CSIRO and the Australian Government Bureau of Meteorology are thanked for their ongoing long-term support of the Cape Grim station and the Cape Grim science programme. The CSIRO flask network is supported by CSIRO Australia, the Australian Bureau of Meteorology, the Australian Institute of Marine Science, the Australian Antarctic Division, the NOAA USA, and the Meteorological Service of Canada. The operation of the AGAGE instruments at Mace Head, Trinidad Head, Cape Matatula, Ragged Point, and Cape Grim is supported by the National Aeronautic and Space Administration (NASA; grants NAG5-12669, NNX07AE89G, and NNX11AF17G to MIT and grants NNX07AE87G, NNX07AF09G, NNX11AF15G, and NNX11AF16G to SIO), the Department of Energy and Climate Change (DECC, UK) contract GA01081 to the University of Bristol, the Commonwealth Scientific and Industrial Research Organisation (CSIRO Australia), and the Bureau of Meteorology (Australia).</t>
  </si>
  <si>
    <t>10.5194/acp-17-11135-2017</t>
  </si>
  <si>
    <t>FH6AH</t>
  </si>
  <si>
    <t>Green Accepted, Green Submitted, Green Published, gold</t>
  </si>
  <si>
    <t>WOS:000411253700003</t>
  </si>
  <si>
    <t>Heinonen, JS; Fusswinkel, T</t>
  </si>
  <si>
    <t>Heinonen, Jussi S.; Fusswinkel, Tobias</t>
  </si>
  <si>
    <t>High Ni and low Mn/Fe in olivine phenocrysts of the Karoo meimechites do not reflect pyroxenitic mantle sources</t>
  </si>
  <si>
    <t>CHEMICAL GEOLOGY</t>
  </si>
  <si>
    <t>Olivine; LA-ICP-MS; Trace elements; Nickel; Manganese; Mantle sources; Pyroxenite; Peridotite; Recycled crust; Large igneous provinces; Karoo</t>
  </si>
  <si>
    <t>LARGE IGNEOUS PROVINCE; DRONNING MAUD LAND; TRACE-ELEMENT; PERIDOTITE; BASALTS; ORIGIN; MAGMAS; PETROLOGY; PLUME; FLUID</t>
  </si>
  <si>
    <t>Nickel contents and Mn/Fe in olivine phenocrysts have been suggested to reflect the mineral composition of the mantle source of the host magma. This hypothesis is tested here against a well-characterized suite of meimechitic (or Ti-rich komatiitic) dikes from the Antarctic extension of the Jurassic similar to 180 Ma Karoo large igneous province. The presented trace element data on Fo(82-92) olivines show relatively high Ni (2430-3570 ppm) and low 100 * Mn/Fe (1.32-1.5; Mn = 890-1570 ppm), compatible with pyroxenite-rich sources (X-px = 37-75%). Many other mantle source indicators (parental melt MgO and whole-rock Zn/Fe, MgO/CaO, FC3MS, Zr/Y vs. Nb/Y, and radiogenic isotope compositions) suggest dominantly or solely peridotitic mantle sources, however. Therefore, the measured high Ni and low Mn/Fe are likely to reflect high temperatures and pressures of melting and possibly high water contents in such peridotite sources. We recommend considerable caution when using Ni and Mn contents of olivine as source indicators, as they may only serve for qualitative comparison of primitive volcanic rocks that originated under fairly similar mantle conditions.</t>
  </si>
  <si>
    <t>[Heinonen, Jussi S.; Fusswinkel, Tobias] Univ Helsinki, Dept Geosci &amp; Geog, POB 64, FIN-00014 Helsinki, Finland</t>
  </si>
  <si>
    <t>University of Helsinki</t>
  </si>
  <si>
    <t>Heinonen, JS (corresponding author), Univ Helsinki, Dept Geosci &amp; Geog, POB 64, FIN-00014 Helsinki, Finland.</t>
  </si>
  <si>
    <t>jussi.s.heinonen@helsinki.fi; tobias.fusswinkel@helsinki.fi</t>
  </si>
  <si>
    <t>; Heinonen, Jussi/L-6152-2013</t>
  </si>
  <si>
    <t>Fusswinkel, Tobias/0000-0001-5875-4903; Heinonen, Jussi/0000-0001-8998-4357</t>
  </si>
  <si>
    <t>Department of Geosciences and Geography, University of Helsinki</t>
  </si>
  <si>
    <t>We warmly thank the reviewers (Veronique Le Roux, Andrew K. Matzen, and an anonymous one) and Editor (Klaus Mezger) for providing clear and thoughtful commentary with the help of which the manuscript was improved. We are also grateful to Thomas Wagner for making this study possible by acquiring state-of-the-art LA-ICP-MS for our department and Radoslaw Michallik for helping with the EPMA analysis. We give special thanks to Helena Korkka for assisting with the separation and mount procedures - we thank you for good work and company over the years and wish you a retirement filled with happiness. Thanks to Zong-Feng Yang and Kaj Hoernle for providing geochemical data for comparison. The administrators and updaters of the geochemical data service GEOROC (http://georoc.mpch-mainz.gwdg.de/georoc/) are thanked for their important and hard work. This study has been supported by the Department of Geosciences and Geography, University of Helsinki.</t>
  </si>
  <si>
    <t>0009-2541</t>
  </si>
  <si>
    <t>1872-6836</t>
  </si>
  <si>
    <t>CHEM GEOL</t>
  </si>
  <si>
    <t>Chem. Geol.</t>
  </si>
  <si>
    <t>10.1016/j.chemgeo.2017.08.002</t>
  </si>
  <si>
    <t>FE2LW</t>
  </si>
  <si>
    <t>WOS:000408048800012</t>
  </si>
  <si>
    <t>Choi, E; Han, Y; Cho, YJ; Nam, D; Lee, EJ</t>
  </si>
  <si>
    <t>Choi, Eunna; Han, Yoontak; Cho, Yong-Joon; Nam, Daesil; Lee, Eun-Jin</t>
  </si>
  <si>
    <t>A trans-acting leader RNA from a Salmonella virulence gene</t>
  </si>
  <si>
    <t>flagellin; mgtC; trans-acting leader RNA</t>
  </si>
  <si>
    <t>FLAGELLAR PHASE VARIATION; BACTERIAL SENSOR KINASE; ESCHERICHIA-COLI; MESSENGER-RNA; INTRAMACROPHAGE SURVIVAL; TYPHIMURIUM; EXPRESSION; ENTERICA; LOCUS; INFECTION</t>
  </si>
  <si>
    <t>Bacteria use flagella to move toward nutrients, find its host, or retract from toxic substances. Because bacterial flagellum is one of the ligands that activate the host innate immune system, its synthesis should be tightly regulated during host infection, which is largely unknown. Here, we report that a bacterial leader mRNA from the mgtCBR virulence operon in the intracellular pathogen Salmonella enterica serovar Typhimurium binds to the fljB coding region of mRNAs in the fljBA operon encoding the FljB phase 2 flagellin, a main component of bacterial flagella and the FljA repressor for the FliC phase 1 flagellin, and degrades fljBA mRNAs in an RNase E-dependent fashion during infection. A nucleotide substitution of the fljB flagellin gene that prevents the mgtC leader RNA-mediated down-regulation increases the fljB-encoded flagellin synthesis, leading to a hypermotile phenotype inside macrophages. Moreover, the fljB nucleotide substitution renders Salmonella hypervirulent, indicating that FljB-based motility must be compromised in the phagosomal compartment where Salmonella resides. This suggests that this pathogen promotes pathogenicity by producing a virulence protein and limits locomotion by a trans-acting leader RNA from the same virulence gene during infection.</t>
  </si>
  <si>
    <t>[Choi, Eunna; Han, Yoontak; Lee, Eun-Jin] Kyung Hee Univ, Coll Life Sci, Grad Sch Biotechnol, Dept Genet Engn, Yongin 17104, South Korea; [Cho, Yong-Joon] Korea Polar Res Inst, Unit Antarctic K Route Expedit, Incheon 21990, South Korea; [Nam, Daesil] Samsung Biomed Res Inst, Dept Mol Cell Biol, Div Microbiol, Suwon 16419, South Korea</t>
  </si>
  <si>
    <t>Kyung Hee University; Korea Polar Research Institute (KOPRI); Samsung</t>
  </si>
  <si>
    <t>Lee, EJ (corresponding author), Kyung Hee Univ, Coll Life Sci, Grad Sch Biotechnol, Dept Genet Engn, Yongin 17104, South Korea.</t>
  </si>
  <si>
    <t>eunjinlee@khu.ac.kr</t>
  </si>
  <si>
    <t>Lee, Eun-Jin/0000-0001-5078-1974; Cho, Yong-Joon/0000-0003-3191-2670</t>
  </si>
  <si>
    <t>Basic Science Research Program through the National Research Foundation of Korea (NRF) - Ministry of Science, Information and Communications Technology, and Future Planning [NRF-2013R1A1A2074505, NRF-2016R1A2B2012424]</t>
  </si>
  <si>
    <t>Basic Science Research Program through the National Research Foundation of Korea (NRF) - Ministry of Science, Information and Communications Technology, and Future Planning</t>
  </si>
  <si>
    <t>This work was supported, in part, by the Basic Science Research Program through the National Research Foundation of Korea (NRF) funded by the Ministry of Science, Information and Communications Technology, and Future Planning (NRF-2013R1A1A2074505 and NRF-2016R1A2B2012424) (to E.-J.L.).</t>
  </si>
  <si>
    <t>SEP 19</t>
  </si>
  <si>
    <t>10.1073/pnas.1705437114</t>
  </si>
  <si>
    <t>FH4UH</t>
  </si>
  <si>
    <t>WOS:000411157100077</t>
  </si>
  <si>
    <t>Martínez, D; Oyarzun, R; Pontigo, JP; Romero, A; Yáñez, AJ; Vargas-Chacoff, L</t>
  </si>
  <si>
    <t>Martinez, Danixa; Oyarzun, Ricardo; Pablo Pontigo, Juan; Romero, Alex; Yanez, Alejandro J.; Vargas-Chacoff, Luis</t>
  </si>
  <si>
    <t>Nutritional Immunity Triggers the Modulations of Iron Metabolism Genes in the Sub-Antarctic Notothenioid Eleginops maclovinus in Response to Piscirickettsia Salmonis</t>
  </si>
  <si>
    <t>FRONTIERS IN IMMUNOLOGY</t>
  </si>
  <si>
    <t>Eleginops maclovinus; iron metabolism; notothenioid; nutritional immunity; iron-withholding</t>
  </si>
  <si>
    <t>EUROPEAN SEA-BASS; TRANSFERRIN RECEPTOR; EXPRESSION ANALYSIS; MOLECULAR-CLONING; STOCKING DENSITY; GENOME SEQUENCE; HEPCIDIN GENES; FISH; PROTEIN; CERULOPLASMIN</t>
  </si>
  <si>
    <t>Iron deprivation is a nutritional immunity mechanism through which fish can limit the amount of iron available to invading bacteria. The aim of this study was to evaluate the modulation of iron metabolism genes in the liver and brain of sub-Antarctic notothenioid Eleginops maclovinus challenged with Piscirickettsia salmonis. The specimens were inoculated with two P. salmonis strains: LF-89 (ATCC (R) VR-1361 T) and Austral-005 (antibiotic resistant). Hepatic and brain samples were collected at intervals over a period of 35 days. Gene expression (by RT-qPCR) of proteins involved in iron storage, transport, and binding were statistically modulated in infected fish when compared with control counterparts. Specifically, the expression profiles of the transferrin and hemopexin genes in the liver, as well as the expression profiles of ferritin-M, ferritin-L, and transferrin in the brain, were similar for both experimental groups. Nevertheless, the remaining genes such as ferritin-H, ceruloplasmin, hepcidin, and haptoglobin presented tissue-specific expression profiles that varied in relation to the injected bacterial strain and sampling time-point. These results suggest that nutritional immunity could be an important immune defense mechanism for E. maclovinus against P. salmonis injection. This study provides relevant information for understanding iron metabolism of a sub-Antarctic notothenioid fish.</t>
  </si>
  <si>
    <t>[Martinez, Danixa; Oyarzun, Ricardo; Pablo Pontigo, Juan; Vargas-Chacoff, Luis] Univ Austral Chile, Inst Ciencias Marinas &amp; Limnol, Valdivia, Chile; [Martinez, Danixa; Oyarzun, Ricardo] Univ Austral Chile, Escuela Grad, Programa Doctorado Ciencias Acuicultura, Puerto Montt, Chile; [Martinez, Danixa; Oyarzun, Ricardo; Vargas-Chacoff, Luis] Univ Austral Chile, Ctr Fondap Invest Altas Latitudes IDEAL, Valdivia, Chile; [Romero, Alex; Yanez, Alejandro J.] Univ Austral Chile, Ctr Aquaculture Res INCAR, Ctr Fondap Interdisciplinary, Valdivia, Chile; [Romero, Alex] Univ Austral Chile, Inst Patol Anim, Valdivia, Chile; [Yanez, Alejandro J.] Univ Austral Chile, Inst Bioquim &amp; Microbiol, Valdivia, Chile</t>
  </si>
  <si>
    <t>Universidad Austral de Chile; Universidad Austral de Chile; Universidad Austral de Chile; Universidad Austral de Chile; Universidad Austral de Chile; Universidad Austral de Chile</t>
  </si>
  <si>
    <t>Martínez, D; Vargas-Chacoff, L (corresponding author), Univ Austral Chile, Inst Ciencias Marinas &amp; Limnol, Valdivia, Chile.;Martínez, D (corresponding author), Univ Austral Chile, Escuela Grad, Programa Doctorado Ciencias Acuicultura, Puerto Montt, Chile.;Martínez, D; Vargas-Chacoff, L (corresponding author), Univ Austral Chile, Ctr Fondap Invest Altas Latitudes IDEAL, Valdivia, Chile.;Yáñez, AJ (corresponding author), Univ Austral Chile, Ctr Aquaculture Res INCAR, Ctr Fondap Interdisciplinary, Valdivia, Chile.;Yáñez, AJ (corresponding author), Univ Austral Chile, Inst Bioquim &amp; Microbiol, Valdivia, Chile.</t>
  </si>
  <si>
    <t>danixapamela@gmail.com; ayanez@uach.cl; luis.vargas@uach.cl</t>
  </si>
  <si>
    <t>Pontigo, Juan Pablo/AAS-2367-2021; Oyarzún-Salazar, Ricardo/HGU-6035-2022; Vargas-Chacoff, Luis LVCh/A-5855-2012; Romero, Alejandro/R-4565-2019</t>
  </si>
  <si>
    <t>Pontigo, Juan Pablo/0000-0003-0084-0862; Romero, Alejandro/0000-0002-9343-3352; MARTINEZ GONZALEZ, DANIXA PAMELA/0000-0002-7363-419X; Vargas-Chacoff, Luis/0000-0002-0497-2582; Oyarzun-Salazar, Ricardo/0000-0003-3177-399X; Yanez Carcamo, Alejandro J./0000-0002-4619-4600</t>
  </si>
  <si>
    <t>Fondap-INCAR [15110027]; Fondap-IDEAL [15150003]; Fondecyt Regular Grant [1160877]; Office of Research, Universidad Austral de Chile; Chilean National Commission for Scientific and Technological Research (CONICYT, Spanish acronym)</t>
  </si>
  <si>
    <t>Fondap-INCAR(Comision Nacional de Investigacion Cientifica y Tecnologica (CONICYT)CONICYT FONDAP); Fondap-IDEAL; Fondecyt Regular Grant(Comision Nacional de Investigacion Cientifica y Tecnologica (CONICYT)CONICYT FONDECYT); Office of Research, Universidad Austral de Chile; Chilean National Commission for Scientific and Technological Research (CONICYT, Spanish acronym)</t>
  </si>
  <si>
    <t>This work was funded by Fondap-INCAR Grant No. 15110027, Fondap-IDEAL Grant No. 15150003, Fondecyt Regular Grant No. 1160877, and the Office of Research, Universidad Austral de Chile. We acknowledge Carlos Loncoman (University of Melbourne) for his help handling the sequences and submission process to GenBank. D. Martinez received support from a doctoral scholarship awarded by the Chilean National Commission for Scientific and Technological Research (CONICYT, Spanish acronym).</t>
  </si>
  <si>
    <t>1664-3224</t>
  </si>
  <si>
    <t>FRONT IMMUNOL</t>
  </si>
  <si>
    <t>Front. Immunol.</t>
  </si>
  <si>
    <t>10.3389/fimmu.2017.01153</t>
  </si>
  <si>
    <t>Immunology</t>
  </si>
  <si>
    <t>FH3PQ</t>
  </si>
  <si>
    <t>WOS:000411062100001</t>
  </si>
  <si>
    <t>McConnell, JR; Burke, A; Dunbar, NW; Köhler, P; Thomas, JL; Arienzo, MM; Chellman, NJ; Maselli, OJ; Sigl, M; Adkins, JF; Baggenstos, D; Burkhart, JF; Brook, EJ; Buizert, C; Cole-Dai, J; Fudge, TJ; Knorr, G; Graf, HF; Grieman, MM; Iverson, N; McGwire, KC; Mulvaney, R; Paris, G; Rhodes, RH; Saltzman, ES; Severinghaus, JP; Steffensen, JP; Taylor, KC; Winckler, G</t>
  </si>
  <si>
    <t>McConnell, Joseph R.; Burke, Andrea; Dunbar, Nelia W.; Koehler, Peter; Thomas, Jennie L.; Arienzo, Monica M.; Chellman, Nathan J.; Maselli, Olivia J.; Sigl, Michael; Adkins, Jess F.; Baggenstos, Daniel; Burkhart, John F.; Brook, Edward J.; Buizert, Christo; Cole-Dai, Jihong; Fudge, T. J.; Knorr, Gregor; Graf, Hans-F.; Grieman, Mackenzie M.; Iverson, Nels; McGwire, Kenneth C.; Mulvaney, Robert; Paris, Guillaume; Rhodes, Rachael H.; Saltzman, Eric S.; Severinghaus, Jeffrey P.; Steffensen, Jorgen Peder; Taylor, Kendrick C.; Winckler, Gisela</t>
  </si>
  <si>
    <t>Synchronous volcanic eruptions and abrupt climate change ∼17.7 ka plausibly linked by stratospheric ozone depletion</t>
  </si>
  <si>
    <t>climate; deglaciation; volcanism; ozone; aerosol</t>
  </si>
  <si>
    <t>LAST GLACIAL MAXIMUM; ICE CORE; WEST ANTARCTICA; CARBON-DIOXIDE; SOUTHERN-OCEAN; NEW-ZEALAND; SEA-ICE; CIRCULATION; IMPACT; DUST</t>
  </si>
  <si>
    <t>Glacial-state greenhouse gas concentrations and Southern Hemisphere climate conditions persisted until similar to 17.7 ka, when a nearly synchronous acceleration in deglaciation was recorded in paleoclimate proxies in large parts of the Southern Hemisphere, with many changes ascribed to a sudden poleward shift in the Southern Hemisphere westerlies and subsequent climate impacts. We used high-resolution chemical measurements in the West Antarctic Ice Sheet Divide, Byrd, and other ice cores to document a unique, similar to 192-y series of halogen-rich volcanic eruptions exactly at the start of accelerated deglaciation, with tephra identifying the nearby Mount Takahe volcano as the source. Extensive fallout from these massive eruptions has been found &gt;2,800 km from Mount Takahe. Sulfur isotope anomalies and marked decreases in ice core bromine consistent with increased surface UV radiation indicate that the eruptions led to stratospheric ozone depletion. Rather than a highly improbable coincidence, circulation and climate changes extending from the Antarctic Peninsula to the subtropics-similar to those associated with modern stratospheric ozone depletion over Antarctica-plausibly link the Mount Takahe eruptions to the onset of accelerated Southern Hemisphere deglaciation similar to 17.7 ka.</t>
  </si>
  <si>
    <t>[McConnell, Joseph R.; Arienzo, Monica M.; Chellman, Nathan J.; Maselli, Olivia J.; Sigl, Michael; Taylor, Kendrick C.] Desert Res Inst, Div Hydrol Sci, Reno, NV 89512 USA; [Burke, Andrea] Univ St Andrews, Sch Earth &amp; Environm Sci, St Andrews KY16 9AL, Fife, Scotland; [Dunbar, Nelia W.; Iverson, Nels] New Mexico Inst Min &amp; Technol, Socorro, NM 87801 USA; [Koehler, Peter; Knorr, Gregor] Alfred Wegener Inst Helmholtz Zentrum Polar &amp; Mee, D-27512 Bremerhaven, Germany; [Thomas, Jennie L.] Pierre &amp; Marie Curie Univ, Sorbonne Univ, Univ Versailles St Quentin,Inst Pierre Simon Lapl, CNRS,Inst Natl Sci Univers,Lab Atmospheres Milieu, F-75252 Paris, France; [Adkins, Jess F.; Paris, Guillaume] CALTECH, Div Geol &amp; Planetary Sci, Pasadena, CA 91125 USA; [Baggenstos, Daniel; Severinghaus, Jeffrey P.] Univ Calif San Diego, Scripps Inst Oceanog, La Jolla, CA 92093 USA; [Burkhart, John F.] Univ Oslo, Dept Geosci, NO-0316 Oslo, Norway; [Brook, Edward J.; Buizert, Christo; Rhodes, Rachael H.] Oregon State Univ, Coll Earth Ocean &amp; Atmospher Sci, Corvallis, OR 97331 USA; [Cole-Dai, Jihong] South Dakota State Univ, Dept Chem &amp; Biochem, Brookings, SD 57007 USA; [Fudge, T. J.] Univ Washington, Dept Earth &amp; Space Sci, Seattle, WA 98195 USA; [Graf, Hans-F.] Univ Cambridge, Ctr Atmospher Sci, Cambridge CB2 3EN, England; [Grieman, Mackenzie M.; Saltzman, Eric S.] Univ Calif Irvine, Dept Earth Syst Sci, Irvine, CA 92617 USA; [McGwire, Kenneth C.] Desert Res Inst, Div Earth &amp; Ecosyst Sci, Reno, NV 89512 USA; [Mulvaney, Robert] British Antarctic Survey, Cambridge CB3 OET, England; [Rhodes, Rachael H.] Univ Cambridge, Dept Earth Sci, Cambridge CB2 3EQ, England; [Steffensen, Jorgen Peder] Univ Copenhagen, Ctr Ice &amp; Climate, DK-1017 Copenhagen, Denmark; [Winckler, Gisela] Columbia Univ, Lamont Doherty Earth Observ, Palisades, NY 10964 USA</t>
  </si>
  <si>
    <t>Nevada System of Higher Education (NSHE); Desert Research Institute NSHE; University of St Andrews; New Mexico Institute of Mining Technology; Helmholtz Association; Alfred Wegener Institute, Helmholtz Centre for Polar &amp; Marine Research; Universite Paris Saclay; Centre National de la Recherche Scientifique (CNRS); Universite Paris Cite; Sorbonne Universite; California Institute of Technology; University of California System; University of California San Diego; Scripps Institution of Oceanography; University of Oslo; Oregon State University; South Dakota State University; University of Washington; University of Washington Seattle; University of Cambridge; University of California System; University of California Irvine; Nevada System of Higher Education (NSHE); Desert Research Institute NSHE; UK Research &amp; Innovation (UKRI); Natural Environment Research Council (NERC); NERC British Antarctic Survey; University of Cambridge; University of Copenhagen; Columbia University</t>
  </si>
  <si>
    <t>McConnell, JR (corresponding author), Desert Res Inst, Div Hydrol Sci, Reno, NV 89512 USA.</t>
  </si>
  <si>
    <t>Joe.McConnell@dri.edu</t>
  </si>
  <si>
    <t>Adkins, Jess/GYI-8778-2022; Paris, Guillaume/JCO-4361-2023; Brook, Edward/AAB-7807-2021; Cole-Dai, Jihong/B-2510-2009; Burkhart, John/AAB-4744-2021; Köhler, Peter/F-7293-2010; Dunbar, Nelia W./HZL-8693-2023; Steffensen, Jorgen Peder/JFS-7831-2023; Graf, Hans/GQQ-2206-2022; Mulvaney, Robert/K-3929-2012; Paris, Guillaume/ABA-3266-2020; Baggenstos, Daniel/AAK-5751-2021; Taylor, Kendrick/A-3469-2016</t>
  </si>
  <si>
    <t>Cole-Dai, Jihong/0000-0003-0921-5916; Burkhart, John/0000-0002-5587-1693; Köhler, Peter/0000-0003-0904-8484; Dunbar, Nelia W./0000-0002-5181-937X; Steffensen, Jorgen Peder/0000-0002-5516-1093; Baggenstos, Daniel/0000-0001-9756-6884; Fudge, Tyler/0000-0002-6818-7479; Sigl, Michael/0000-0002-9028-9703; Paris, Guillaume/0000-0001-8368-1224; Burke, Andrea/0000-0002-3754-1498; Taylor, Kendrick/0000-0001-8535-1261; Iverson, Nels/0000-0002-7110-5040; Knorr, Gregor/0000-0002-8317-5046; Rhodes, Rachael/0000-0001-7511-1969</t>
  </si>
  <si>
    <t>US National Science Foundation [0538427, 0839093, 1142166, 1043518, 0538657, 1043421, 0538553, 0839066, 0944348, 0944191, 0440817, 0440819, 0230396]; Polar Regions and Coasts in a Changing Earth System-II; Helmholtz Climate Initiative; NERC [bas0100034] Funding Source: UKRI; Natural Environment Research Council [bas0100034] Funding Source: researchfish; Directorate For Geosciences; Division Of Polar Programs [0944191, 0440817] Funding Source: National Science Foundation; Directorate For Geosciences; Division Of Polar Programs [0440819, 0230396] Funding Source: National Science Foundation; Office of Polar Programs (OPP); Directorate For Geosciences [1142069, 1142115] Funding Source: National Science Foundation</t>
  </si>
  <si>
    <t>US National Science Foundation(National Science Foundation (NSF)); Polar Regions and Coasts in a Changing Earth System-II; Helmholtz Climate Initiative; NERC(UK Research &amp; Innovation (UKRI)Natural Environment Research Council (NERC)); Natural Environment Research Council(UK Research &amp; Innovation (UKRI)Natural Environment Research Council (NERC)); Directorate For Geosciences; Division Of Polar Programs(National Science Foundation (NSF)NSF - Directorate for Geosciences (GEO)); Directorate For Geosciences; Division Of Polar Programs(National Science Foundation (NSF)NSF - Directorate for Geosciences (GEO)); Office of Polar Programs (OPP); Directorate For Geosciences(National Science Foundation (NSF)NSF - Directorate for Geosciences (GEO))</t>
  </si>
  <si>
    <t>We acknowledge R. von Glasow for help with snowpack model simulations, and J. Stutz and R. Kreidberg for helpful discussions. The US National Science Foundation supported this work [Grants 0538427, 0839093, and 1142166 (to J.R.M.); 1043518 (to E.J.B.); 0538657 and 1043421 (to J.P. Severinghaus); 0538553 and 0839066 (to J.C.-D.); and 0944348, 0944191, 0440817, 0440819, and 0230396 (to K.C.T.)]. We thank the WAIS Divide Science Coordination Office and other support organizations. P.K. and G.K. were funded by Polar Regions and Coasts in a Changing Earth System-II, with additional support from the Helmholtz Climate Initiative.</t>
  </si>
  <si>
    <t>10.1073/pnas.1705595114</t>
  </si>
  <si>
    <t>Green Accepted, Green Published, Green Submitted</t>
  </si>
  <si>
    <t>WOS:000411157100044</t>
  </si>
  <si>
    <t>Acuña-Rodríguez, IS; Torres-Díaz, C; Hereme, R; Molina-Montenegro, MA</t>
  </si>
  <si>
    <t>Acuna-Rodriguez, Ian S.; Torres-Diaz, Cristian; Hereme, Rasme; Molina-Montenegro, Marco A.</t>
  </si>
  <si>
    <t>Asymmetric responses to simulated global warming by populations of Colobanthus quitensis along a latitudinal gradient</t>
  </si>
  <si>
    <t>PEERJ</t>
  </si>
  <si>
    <t>Antarctica; Climate change; Latitudinal gradient; Global warming</t>
  </si>
  <si>
    <t>ANTARCTIC VASCULAR PLANTS; CLIMATE-CHANGE; PHENOTYPIC PLASTICITY; ECOPHYSIOLOGICAL TRAITS; RANGE LIMITS; 2 ECOTYPES; SHIFTS; ENVIRONMENTS; REPRODUCTION; TEMPERATURE</t>
  </si>
  <si>
    <t>The increase in temperature as consequence of the recent global warming has been reported to generate new ice-free areas in the Antarctic continent, facilitating the colonization and spread of plant populations. Consequently, Antarctic vascular plants have been observed extending their southern distribution. But as the environmental conditions toward southern localities become progressively more departed from the species' physiological optimum, the ecophysiological responses and survival to the expected global warming could be reduced. However, if processes of local adaptation are the main cause of the observed southern expansion, those populations could appear constrained to respond positively to the expected global warming. Using individuals from the southern tip of South America, the South Shetland Islands and the Antarctic Peninsula, we assess with a long term experiment (three years) under controlled conditions if the responsiveness of Colobanthus quitensis populations to the expected global warming, is related with their different foliar traits and photoprotective mechanisms along the latitudinal gradient. In addition, we tested if the release of the stress condition by the global warming in these cold environments increases the ecophysiological performance. For this, we describe the latitudinal pattern of net photosynthetic capacity, biomass accumulation, and number of flowers under current and future temperatures respective to each site of origin after three growing seasons. Overall, was found a clinal trend was found in the foliar traits and photoprotective mechanisms in the evaluated C.quitensis populations. On the other hand, an asymmetric response to warming was observed for southern populations in all ecophysiological traits evaluated, suggesting that low temperature is limiting the performance of C.quitensis populations. Our results suggest that under a global warming scenario, plant populations that inhabiting cold zones at high latitudes could increase in their ecophysiological performance, enhancing the size of populations or their spread.</t>
  </si>
  <si>
    <t>[Acuna-Rodriguez, Ian S.; Hereme, Rasme; Molina-Montenegro, Marco A.] Univ Talca, Ctr Ecol Mol &amp; Aplicac Evolut Agroecosistemas CEM, Inst Ciencias Biol, Talca, Chile; [Torres-Diaz, Cristian] Univ Bio Bio, LGB, Dept Ciencias Basicas, Chillan, Chile; [Molina-Montenegro, Marco A.] Univ Catolica Norte, Fac Ciencias Mar, CEAZA, Coquimbo, Chile; [Molina-Montenegro, Marco A.] Univ Talca, Res Program Adaptat Agr Climate Change PIEI A2C2, Talca, Chile</t>
  </si>
  <si>
    <t>Universidad de Talca; Universidad del Bio-Bio; Universidad Catolica del Norte; Universidad de Talca</t>
  </si>
  <si>
    <t>Molina-Montenegro, MA (corresponding author), Univ Talca, Ctr Ecol Mol &amp; Aplicac Evolut Agroecosistemas CEM, Inst Ciencias Biol, Talca, Chile.;Molina-Montenegro, MA (corresponding author), Univ Catolica Norte, Fac Ciencias Mar, CEAZA, Coquimbo, Chile.;Molina-Montenegro, MA (corresponding author), Univ Talca, Res Program Adaptat Agr Climate Change PIEI A2C2, Talca, Chile.</t>
  </si>
  <si>
    <t>marco.molina@utalca.cl</t>
  </si>
  <si>
    <t>Torres Diaz, Cristian/0000-0002-5741-5288; Molina-Montenegro, Marco/0000-0001-6801-8942</t>
  </si>
  <si>
    <t>Chilean Antarctic Institute (INACH) [RT-11-13, PII 20150126]</t>
  </si>
  <si>
    <t>Chilean Antarctic Institute (INACH)</t>
  </si>
  <si>
    <t>The Chilean Antarctic Institute (INACH) RT-11-13 and PII 20150126 projects financed this study. The funders had no role in study design, data collection and analysis, decision to publish, or preparation of the manuscript.</t>
  </si>
  <si>
    <t>PEERJ INC</t>
  </si>
  <si>
    <t>341-345 OLD ST, THIRD FLR, LONDON, EC1V 9LL, ENGLAND</t>
  </si>
  <si>
    <t>2167-8359</t>
  </si>
  <si>
    <t>PeerJ</t>
  </si>
  <si>
    <t>SEP 18</t>
  </si>
  <si>
    <t>e3718</t>
  </si>
  <si>
    <t>10.7717/peerj.3718</t>
  </si>
  <si>
    <t>FH6JF</t>
  </si>
  <si>
    <t>WOS:000411281500002</t>
  </si>
  <si>
    <t>Seddik, H; Greve, R; Zwinger, T; Sugiyama, S</t>
  </si>
  <si>
    <t>Seddik, Hakime; Greve, Ralf; Zwinger, Thomas; Sugiyama, Shin</t>
  </si>
  <si>
    <t>Regional modeling of the Shirase drainage basin, East Antarctica: full Stokes vs. shallow ice dynamics</t>
  </si>
  <si>
    <t>FINITE-ELEMENT METHODS; FUTURE SEA-LEVEL; HIGHER-ORDER; SHEET MODEL; MASS-BALANCE; GREENLAND; SURFACE; FLOW; SENSITIVITIES; GLACIERS</t>
  </si>
  <si>
    <t>A hierarchy of approximations of the force balance for the flow of grounded ice exists, ranging from the most sophisticated full Stokes (FS) formulation to the most simplified shallow ice approximation (SIA). Both are implemented in the ice flow model Elmer/Ice, and we compare them by applying the model to the East Antarctic Shirase drainage basin. First, we apply the control inverse method to infer the distribution of basal friction with FS. We then compare FS and SIA by simulating the flow of the drainage basin under present-day conditions and for three scenarios 100 years into the future defined by the SeaRISE (Sea-level Response to Ice Sheet Evolution) project. FS reproduces the observed flow pattern of the drainage basin well, in particular the zone of fast flow near the grounding line, while SIA generally overpredicts the surface velocities. As for the transient scenarios, the ice volume change (relative to the constant-climate control run) of the surface climate experiment is nearly the same for FS and SIA, while for the basal sliding experiment (halved basal friction), the ice volume change is similar to 30% larger for SIA than for FS. This confirms findings of earlier studies that, in order to model ice sheet areas containing ice streams and outlet glaciers with high resolution and precision, careful consideration must be given to the choice of a suitable force balance.</t>
  </si>
  <si>
    <t>[Seddik, Hakime; Greve, Ralf; Sugiyama, Shin] Hokkaido Univ, Inst Low Temp Sci, Kita Ku, Kita 19,Nishi 8, Sapporo, Hokkaido 0600819, Japan; [Zwinger, Thomas] CSC IT Ctr Sci, POB 405, Espoo 02101, Finland</t>
  </si>
  <si>
    <t>Hokkaido University</t>
  </si>
  <si>
    <t>Seddik, H (corresponding author), Hokkaido Univ, Inst Low Temp Sci, Kita Ku, Kita 19,Nishi 8, Sapporo, Hokkaido 0600819, Japan.</t>
  </si>
  <si>
    <t>hakime@lowtem.hokudai.ac.jp</t>
  </si>
  <si>
    <t>Sugiyama, Shin/C-2511-2012; Zwinger, Thomas/H-5163-2018; Greve, Ralf/G-2336-2010</t>
  </si>
  <si>
    <t>Zwinger, Thomas/0000-0003-3360-4401; Greve, Ralf/0000-0002-1341-4777</t>
  </si>
  <si>
    <t>Japan Society for the Promotion of Science (JSPS) KAKENHI [22244058]; JSPS KAKENHI [25241005, 17H06323]; JSPS Postdoctoral Fellowship for Overseas Researchers (Pathway to University Positions in Japan) [PU15902, 15F15902]; Grants-in-Aid for Scientific Research [25241005, 15F15902] Funding Source: KAKEN</t>
  </si>
  <si>
    <t>Japan Society for the Promotion of Science (JSPS) KAKENHI(Ministry of Education, Culture, Sports, Science and Technology, Japan (MEXT)Japan Society for the Promotion of ScienceGrants-in-Aid for Scientific Research (KAKENHI)); JSPS KAKENHI(Ministry of Education, Culture, Sports, Science and Technology, Japan (MEXT)Japan Society for the Promotion of ScienceGrants-in-Aid for Scientific Research (KAKENHI)); JSPS Postdoctoral Fellowship for Overseas Researchers (Pathway to University Positions in Japan); Grants-in-Aid for Scientific Research(Ministry of Education, Culture, Sports, Science and Technology, Japan (MEXT)Japan Society for the Promotion of ScienceGrants-in-Aid for Scientific Research (KAKENHI))</t>
  </si>
  <si>
    <t>Hakime Seddik, Ralf Greve and Shin Sugiyama were supported by Japan Society for the Promotion of Science (JSPS) KAKENHI grant number 22244058. Hakime Seddik and Ralf Greve were supported by JSPS KAKENHI grant number 25241005. Further, Hakime Seddik was supported by a JSPS Postdoctoral Fellowship for Overseas Researchers (Pathway to University Positions in Japan) (no. PU15902, associated JSPS KAKENHI grant number 15F15902), and Ralf Greve was supported by JSPS KAKENHI grant number 17H06323.</t>
  </si>
  <si>
    <t>10.5194/tc-11-2213-2017</t>
  </si>
  <si>
    <t>FH2VT</t>
  </si>
  <si>
    <t>WOS:000411001000001</t>
  </si>
  <si>
    <t>Moffat-Griffin, T; Colwell, SR</t>
  </si>
  <si>
    <t>Moffat-Griffin, T.; Colwell, S. R.</t>
  </si>
  <si>
    <t>The characteristics of the lower stratospheric gravity wavefield above Halley (75°S, 26°W), Antarctica, from radiosonde observations</t>
  </si>
  <si>
    <t>MACQUARIE ISLAND; MOMENTUM FLUX; ATMOSPHERE; PACKETS; VORTEX; AIRS</t>
  </si>
  <si>
    <t>Daily radiosonde observations between 2003 and 2013 from Halley research station, Antarctica (75 degrees S, 26 degrees W), are used to determine climatologies of gravity wave properties in the lower stratosphere (between 15 km and 22 km altitude). Individual waves are extracted from the radiosonde profile using wavelet analysis and separated into upward and downward propagating waves. An increase in the percentage of downward propagating waves (similar to 30% of the waves) is seen during the winter months. For the upward and downward propagating waves, their horizontal and vertical wavelength, intrinsic frequency, energy density, pseudomomentum flux, and direction of propagation are determined. The upward propagating wavefield is found to be dominated by waves with short vertical wavelength (similar to 1 km) and low intrinsic frequency (omega similar to f). The downward propagating wavefield is composed of a wider distribution of vertical wavelength waves and has a larger proportion of higher-frequency waves present. The upward propagating waves show an increase in total energy density in autumn and spring; the larger increase occurs during spring (up to 1.7 J kg(-1) in September). The downward propagating waves increase in total energy density occurs during wintertime (up to 0.7 J kg(-1) in June). During winter the contributions of the upward and downward propagating waves to the total energy density and pseudomomentum flux are almost equal. This paper details the first study of individual gravity wave properties combined into upward and downward propagating wave climatologies in the lower stratosphere above Halley.</t>
  </si>
  <si>
    <t>[Moffat-Griffin, T.; Colwell, S. R.] British Antarctic Survey, Cambridge, England</t>
  </si>
  <si>
    <t>Moffat-Griffin, T (corresponding author), British Antarctic Survey, Cambridge, England.</t>
  </si>
  <si>
    <t>NERC [bas0100032] Funding Source: UKRI; Natural Environment Research Council [bas0100032] Funding Source: researchfish</t>
  </si>
  <si>
    <t>NERC(UK Research &amp; Innovation (UKRI)Natural Environment Research Council (NERC)); Natural Environment Research Council(UK Research &amp; Innovation (UKRI)Natural Environment Research Council (NERC))</t>
  </si>
  <si>
    <t>SEP 16</t>
  </si>
  <si>
    <t>10.1002/2017JD027079</t>
  </si>
  <si>
    <t>FN9UD</t>
  </si>
  <si>
    <t>WOS:000416387300003</t>
  </si>
  <si>
    <t>Hudson, TS; White, RS; Greenfield, T; Agústsdóttir, T; Brisbourne, A; Green, RG</t>
  </si>
  <si>
    <t>Hudson, T. S.; White, R. S.; Greenfield, T.; Agustsdottir, T.; Brisbourne, A.; Green, R. G.</t>
  </si>
  <si>
    <t>Deep crustal melt plumbing of Baroarbunga volcano, Iceland</t>
  </si>
  <si>
    <t>KILAUEA-VOLCANO; MAGMA TRANSPORT; SILL FORMATION; HAWAII; ERUPTIONS; PROPAGATION; TOMOGRAPHY; MECHANISMS; CALIFORNIA; PROFILE</t>
  </si>
  <si>
    <t>Understanding magmatic plumbing within the Earth's crust is important for understanding volcanic systems and improving eruption forecasting. We discuss magma plumbing under Baroarbunga volcano, Iceland, over a 4year period encompassing the largest Icelandic eruption in 230years. Microseismicity extends through the usually ductile region of the Earth's crust, from 7 to 22km depth in a subvertical column. Moment tensor solutions for an example earthquake exhibits opening tensile crack behavior. This is consistent with the deep (&gt;7km) seismicity being caused by the movement of melt in the normally aseismic crust. The seismically inferred melt path from the mantle source is offset laterally from the center of the Baroarbunga caldera by similar to 12km, rather than lying directly beneath it. It is likely that an aseismic melt feed also exists directly beneath the caldera and is aseismic due to elevated temperatures and pervasive partial melt under the caldera. Plain Language Summary Understanding where molten rock travels within the Earth's crust is important for understanding how volcanoes are fed, useful for improving eruption forecasting. We discuss the location of molten rock pathways under Bardarbunga volcano, Iceland, before, during and after the largest Icelandic eruption in 230 years. Earthquakes (triggered by molten rock moving through the Earth's crust) are found at 7-22 km depth in a sub-vertical column. These earthquakes are located at depths in the crust where earthquakes would not normally occur. The observed path of molten rock is not under the center of the main volcano caldera, but rather similar to 12 km to the south-east. It is likely that a route for molten rock up through the crust also exists directly beneath the volcano, but we do not observe this, likely due to the Earth's crust being too hot here.</t>
  </si>
  <si>
    <t>[Hudson, T. S.; White, R. S.; Greenfield, T.; Agustsdottir, T.; Green, R. G.] Univ Cambridge, Dept Earth Sci, Bullard Labs, Cambridge, England; [Hudson, T. S.; Brisbourne, A.] NERC, British Antarctic Survey, Cambridge, England; [Greenfield, T.] Univ Southampton, Sch Ocean &amp; Earth Sci, Southampton, Hants, England</t>
  </si>
  <si>
    <t>University of Cambridge; UK Research &amp; Innovation (UKRI); Natural Environment Research Council (NERC); NERC British Antarctic Survey; NERC National Oceanography Centre; University of Southampton</t>
  </si>
  <si>
    <t>Hudson, TS (corresponding author), Univ Cambridge, Dept Earth Sci, Bullard Labs, Cambridge, England.;Hudson, TS (corresponding author), NERC, British Antarctic Survey, Cambridge, England.</t>
  </si>
  <si>
    <t>tsh37@cam.ac.uk</t>
  </si>
  <si>
    <t>Hudson, Thomas/IQS-9833-2023; Facility, NERC Geophysical Equipment/G-5260-2010; Brisbourne, Alex/E-6198-2013</t>
  </si>
  <si>
    <t>Hudson, Thomas/0000-0003-2944-883X; Greenfield, Tim/0000-0002-4370-7298</t>
  </si>
  <si>
    <t>NERC; European Community's Seventh Framework Program grant [308377]; NERC [NE/H025006/1, bas0100034, NE/M017427/1, NE/F011407/1] Funding Source: UKRI; Natural Environment Research Council [NE/F011407/1, NE/M017427/1, bas0100034, 1095647, 1210874, 1653430, NE/H025006/1] Funding Source: researchfish</t>
  </si>
  <si>
    <t>NERC(UK Research &amp; Innovation (UKRI)Natural Environment Research Council (NERC)); European Community's Seventh Framework Program grant; NERC(UK Research &amp; Innovation (UKRI)Natural Environment Research Council (NERC)); Natural Environment Research Council(UK Research &amp; Innovation (UKRI)Natural Environment Research Council (NERC))</t>
  </si>
  <si>
    <t>Seismometers were borrowed from the Natural Environment Research Council (NERC) SEIS-UK (loans 968 and 1022) and the NERC British Antarctic Survey. Funding was by research grants from the NERC and the European Community's Seventh Framework Program grant 308377 (Project FUTUREVOLC), and a number of graduate studentships from the NERC. We thank Sveinbjorn Steinthorsson, Heidi Soosalu, Agust Por Gunnlaugsson, Magnus Tumi Gudmundsson, Finnur Palsson, the Icelandic Glaciological Society, and many others who have assisted with fieldwork in Iceland. We thank Jonathon Smith for contributions to the supporting information. Margaret Hartley kindly provided details of her geochemical analyses of Holuhraun lavas in advance of publication. The Icelandic Meteorological Office, Chris Bean (Dublin Institute for Advanced Studies) and the British Geological Survey kindly provided additional data from seismometers in northeast Iceland; data delivery from IMO seismic database 20151001/01. Hypocenter locations of deep events are listed in Table S2, along with phase information for each event (Table S3) and station locations (Table S4). Seismic waveform data are deposited in the SeisUK archive. We thank David Hill and an anonymous reviewer for contributions that helped improve the manuscript. Department of Earth Sciences, University of Cambridge, contribution ESC4000.</t>
  </si>
  <si>
    <t>10.1002/2017GL074749</t>
  </si>
  <si>
    <t>FI1OC</t>
  </si>
  <si>
    <t>WOS:000411702400013</t>
  </si>
  <si>
    <t>Nitsche, FO; Porter, D; Williams, G; Cougnon, EA; Fraser, AD; Correia, R; Guerrero, R</t>
  </si>
  <si>
    <t>Nitsche, F. O.; Porter, D.; Williams, G.; Cougnon, E. A.; Fraser, A. D.; Correia, R.; Guerrero, R.</t>
  </si>
  <si>
    <t>Bathymetric control of warm ocean water access along the East Antarctic Margin</t>
  </si>
  <si>
    <t>PINE ISLAND GLACIER; ICE-SHEET; AMUNDSEN SEA; WEST ANTARCTICA; TOTTEN GLACIER; MASS-LOSS; SHELF; ALTIMETRY; PACIFIC; RETREAT</t>
  </si>
  <si>
    <t>Observed thinning of the Totten Glacier in East Antarctica has cast doubt upon the stability of the East Antarctic Ice Sheet. Recent oceanographic observations at the front of the Totten Ice Shelf have confirmed the presence of modified Circumpolar Deep Water (mCDW), which likely promotes enhanced melting. Details of how this water accesses the shelf remain uncertain. Here we present new bathymetry and autumnal oceanographic data from the outer continental shelf, north of the Totten Glacier, that show up to 0.7 degrees C mCDW in a&gt;100km wide and &gt;500m deep depression within the shelf break. In other parts of East Antarctica, a shelf break bathymetry shallower than 400m prevents these warmer waters from entering the shelf environment. Our observations demonstrate that detailed knowledge of the bathymetry is critical to correctly model the across-shelf exchange of warm water to the various glaciers/ice shelves of Antarctica for future sea level prediction.</t>
  </si>
  <si>
    <t>[Nitsche, F. O.; Porter, D.] Columbia Univ, Lamont Doherty Earth Observ, Palisades, NY 10964 USA; [Williams, G.; Cougnon, E. A.] Univ Tasmania, Inst Marine &amp; Antarctic Studies, Hobart, Tas, Australia; [Williams, G.; Cougnon, E. A.; Fraser, A. D.] Univ Tasmania, Antarctic Climate &amp; Ecosyst Cooperat Res Ctr, Hobart, Tas, Australia; [Fraser, A. D.] Hokkaido Univ, Inst Low Temp Sci, Sapporo, Hokkaido, Japan; [Correia, R.] Univ Aveiro, Geosci Dept, Aveiro, Portugal; [Guerrero, R.] Antarctic Inst Nacl Invest &amp; Desarollo Pesquero, Mar Del Plata, Buenos Aires, Argentina</t>
  </si>
  <si>
    <t>Columbia University; University of Tasmania; Antarctic Climate &amp; Ecosystems Cooperative Research Centre (ACE CRC); University of Tasmania; Hokkaido University; Universidade de Aveiro</t>
  </si>
  <si>
    <t>Nitsche, FO (corresponding author), Columbia Univ, Lamont Doherty Earth Observ, Palisades, NY 10964 USA.</t>
  </si>
  <si>
    <t>fnitsche@ldeo.columbia.edu</t>
  </si>
  <si>
    <t>Nitsche, Frank O/A-9343-2009; Fraser, Alexander/AFO-7186-2022; Porter, David/AAV-3950-2020; Cougnon, Eva/C-4110-2014</t>
  </si>
  <si>
    <t>Nitsche, Frank O/0000-0002-4137-547X; Fraser, Alexander/0000-0003-1924-0015; Porter, David/0000-0002-9724-7303; Cougnon, Eva/0000-0002-8691-5935; Correia, Ricardo/0000-0003-3323-1940; Williams, Guy/0000-0002-3975-2977</t>
  </si>
  <si>
    <t>National Science Foundation [ANT1245879]; Australian Research Council; Antarctic Climate and Ecosystem Cooperative Research Centre; Japan Society for the Promotion of Science [25.3748]; Commonwealth Scientific and Industrial Research Organization (CSIRO); Institute for Marine and Antarctic Studies (University of Tasmania) through the Quantitative Marine Science PhD Program; ProPolar (Programa Polar Portugues); University of Aveiro, Portugal; Directorate For Geosciences; Office of Polar Programs (OPP) [1245879] Funding Source: National Science Foundation</t>
  </si>
  <si>
    <t>National Science Foundation(National Science Foundation (NSF)); Australian Research Council(Australian Research Council); Antarctic Climate and Ecosystem Cooperative Research Centre; Japan Society for the Promotion of Science(Ministry of Education, Culture, Sports, Science and Technology, Japan (MEXT)Japan Society for the Promotion of Science); Commonwealth Scientific and Industrial Research Organization (CSIRO)(Commonwealth Scientific &amp; Industrial Research Organisation (CSIRO)); Institute for Marine and Antarctic Studies (University of Tasmania) through the Quantitative Marine Science PhD Program; ProPolar (Programa Polar Portugues); University of Aveiro, Portugal; Directorate For Geosciences; Office of Polar Programs (OPP)(National Science Foundation (NSF)NSF - Directorate for Geosciences (GEO))</t>
  </si>
  <si>
    <t>We thank the captain and crew of RVIB NB Palmer and the USAP support staff of cruise NBP1503 for their support and help during data collection and K. Gavahan and D. Richardson for help with multibeam acquisition and editing. This cruise was funded by National Science Foundation grant ANT1245879. G.W. was supported by Australian Research Council and the Antarctic Climate and Ecosystem Cooperative Research Centre. A.D.F. was supported by the Japan Society for the Promotion of Science Grant-in-Aid for Scientific Research (KAKENHI) 25.3748. E.A.C. was supported by the Commonwealth Scientific and Industrial Research Organization (CSIRO) and the Institute for Marine and Antarctic Studies (University of Tasmania) through the Quantitative Marine Science PhD Program. R.C. received support from ProPolar (Programa Polar Portugues) and the University of Aveiro, Portugal. We thank two anonymous reviewers for their constructive comments, which improved this manuscript. The data are available from the MGDS, http://dx.doi.org/10.1594/IEDA/321955 and http://dx.doi.org/10.1594/IEDA/321962.</t>
  </si>
  <si>
    <t>L074433</t>
  </si>
  <si>
    <t>10.1002/2017GL074433</t>
  </si>
  <si>
    <t>WOS:000411702400031</t>
  </si>
  <si>
    <t>Stuecker, MF; Bitz, CM; Armour, KC</t>
  </si>
  <si>
    <t>Stuecker, Malte F.; Bitz, Cecilia M.; Armour, Kyle C.</t>
  </si>
  <si>
    <t>Conditions leading to the unprecedented low Antarctic sea ice extent during the 2016 austral spring season</t>
  </si>
  <si>
    <t>NINO-SOUTHERN-OSCILLATION; EL-NINO; CIRCUMPOLAR WAVE; SYSTEM MODEL; PART I; OCEAN; CLIMATE; VARIABILITY; CIRCULATION; TRENDS</t>
  </si>
  <si>
    <t>The 2016 austral spring was characterized by the lowest Southern Hemisphere (SH) sea ice extent seen in the satellite record (1979 to present) and coincided with anomalously warm surface waters surrounding most of Antarctica. We show that two distinct processes contributed to this event: First, the extreme El Nino event peaking in December-February 2015/2016 contributed to pronounced extratropical SH sea surface temperature and sea ice extent anomalies in the eastern Ross, Amundsen, and Bellingshausen Seas that persisted in part until the following 2016 austral spring. Second, internal unforced atmospheric variability of the Southern Annular Mode promoted the exceptional low sea ice extent in November-December 2016. These results suggest that a combination of tropically forced and internal SH atmospheric variability contributed to the unprecedented sea ice decline during the 2016 austral spring, on top of a background of slow changes expected from greenhouse gas and ozone forcing.</t>
  </si>
  <si>
    <t>[Stuecker, Malte F.; Bitz, Cecilia M.; Armour, Kyle C.] Univ Washington, Dept Atmospher Sci, Seattle, WA 98195 USA; [Stuecker, Malte F.] Univ Corp Atmospher Res, Cooperat Programs Adv Earth Syst Sci, Boulder, CO 80301 USA; [Armour, Kyle C.] Univ Washington, Sch Oceanog, Seattle, WA 98195 USA</t>
  </si>
  <si>
    <t>University of Washington; University of Washington Seattle; National Center Atmospheric Research (NCAR) - USA; University of Washington; University of Washington Seattle</t>
  </si>
  <si>
    <t>Stuecker, MF (corresponding author), Univ Washington, Dept Atmospher Sci, Seattle, WA 98195 USA.;Stuecker, MF (corresponding author), Univ Corp Atmospher Res, Cooperat Programs Adv Earth Syst Sci, Boulder, CO 80301 USA.</t>
  </si>
  <si>
    <t>stuecker@atmos.washington.edu</t>
  </si>
  <si>
    <t>Stuecker, Malte Fabian/H-6304-2011; Bitz, Cecilia M/S-8423-2016</t>
  </si>
  <si>
    <t>Stuecker, Malte Fabian/0000-0001-8355-0662; Bitz, Cecilia/0000-0002-9477-7499</t>
  </si>
  <si>
    <t>NOAA Climate and Global Change Postdoctoral Fellowship Program; National Science Foundation [PLR-1341497, PLR-1643431]; Directorate For Geosciences; Division Of Ocean Sciences [1523641] Funding Source: National Science Foundation; Directorate For Geosciences; Office of Polar Programs (OPP) [1341497] Funding Source: National Science Foundation</t>
  </si>
  <si>
    <t>NOAA Climate and Global Change Postdoctoral Fellowship Program(National Oceanic Atmospheric Admin (NOAA) - USA); National Science Foundation(National Science Foundation (NSF)); Directorate For Geosciences; Division Of Ocean Sciences(National Science Foundation (NSF)NSF - Directorate for Geosciences (GEO)); Directorate For Geosciences; Office of Polar Programs (OPP)(National Science Foundation (NSF)NSF - Directorate for Geosciences (GEO))</t>
  </si>
  <si>
    <t>This research was supported by the NOAA Climate and Global Change Postdoctoral Fellowship Program, administered by UCAR's Cooperative Programs for the Advancement of Earth System Sciences (CPAESS) and with funding from the National Science Foundation through grants PLR-1341497 and PLR-1643431. We thank two reviewers for their helpful comments. We acknowledge the World Climate Research Programme's Working Group on Coupled Modelling, which is responsible for CMIP, and we thank the climate modeling groups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The model experiment output can be obtained from the corresponding author. The model code to reproduce these experiments can be obtained from https://github.com/mom-ocean/MOM4p1and http://www.cesm.ucar.edu/models/cesm1.2/. The observational and reanalysis data used in this study can be obtained from https://www1.ncdc.noaa.gov/pub/data/cmb/ersst/v3b/netcdf/, http://jra.kishou.go.jp/JRA-55/, and https://nsidc.org/data.</t>
  </si>
  <si>
    <t>L074691</t>
  </si>
  <si>
    <t>10.1002/2017GL074691</t>
  </si>
  <si>
    <t>WOS:000411702400039</t>
  </si>
  <si>
    <t>Hosking, JS; Fogt, R; Thomas, ER; Moosavi, V; Phillips, T; Coggins, J; Reusch, D</t>
  </si>
  <si>
    <t>Hosking, J. Scott; Fogt, Ryan; Thomas, Elizabeth R.; Moosavi, Vahid; Phillips, Tony; Coggins, Jack; Reusch, David</t>
  </si>
  <si>
    <t>Accumulation in coastal West Antarctic ice core records and the role of cyclone activity</t>
  </si>
  <si>
    <t>20TH-CENTURY; BEHAVIOR; CLIMATE</t>
  </si>
  <si>
    <t>Cyclones are an important component of Antarctic climate variability, yet quantifying their impact on the polar environment is challenging. We assess how cyclones which pass through the Bellingshausen Sea affect accumulation over Ellsworth Land, West Antarctica, where we have two ice core records. We use self-organizing maps (SOMs), an unsupervised machine learning technique, to group cyclones into nine SOM nodes differing by their trajectories (1980-2015). The annual frequency of cyclones associated with the first SOM node (SOM1, which generally originate from lower latitudes over the South Pacific Ocean) is significantly (p &lt; 0.001) correlated with annual accumulation, with the highest seasonal correlations (p &lt; 0.001) found during autumn. While significant (p &lt; 0.01) increases in vertically integrated water vapor over the South Pacific Ocean coincide with this same group of cyclones, we find no indication that this has led to an increase in moisture advection into, nor accumulation over, Ellsworth Land over this short time period. Plain Language Summary Cyclones are an important component of Antarctic climate variability, yet quantifying their impact on the polar environment is challenging. We assess how cyclones which pass through the Bellingshausen Sea affect snowfall over Ellsworth Land, West Antarctica, where we have two ice core records. We use a novel machine learning technique to group cyclones differing by their pathways. The annual frequency of cyclones associated with cyclones which generally originate from lower latitudes over the South Pacific Ocean is significantly correlated with annual snowfall, with the highest seasonal correlations found during autumn. While significant increases in water vapor over the South Pacific Ocean coincide with this same group of cyclones, we find no indication that this has led to an increase in the transport of moisture into, nor accumulation over, Ellsworth Land over this short time period.</t>
  </si>
  <si>
    <t>[Hosking, J. Scott; Thomas, Elizabeth R.; Phillips, Tony] British Antarctic Survey, NERC, Cambridge, England; [Fogt, Ryan] Ohio Univ, Dept Geog, Athens, OH 45701 USA; [Moosavi, Vahid] ETH, Inst Technol Architecture, Dept Architecture, Comp Aided Architectural Design, Zurich, Switzerland; [Reusch, David] New Mexico Inst Min &amp; Technol, Dept Earth &amp; Environm Sci, Socorro, NM 87801 USA</t>
  </si>
  <si>
    <t>UK Research &amp; Innovation (UKRI); Natural Environment Research Council (NERC); NERC British Antarctic Survey; University System of Ohio; Ohio University; Swiss Federal Institutes of Technology Domain; ETH Zurich; New Mexico Institute of Mining Technology</t>
  </si>
  <si>
    <t>Hosking, JS (corresponding author), British Antarctic Survey, NERC, Cambridge, England.</t>
  </si>
  <si>
    <t>jask@bas.ac.uk</t>
  </si>
  <si>
    <t>Thomas, Elizabeth Ruth/ADF-3660-2022; Fogt, Ryan L/B-6989-2008; Hosking, Scott/D-3437-2013</t>
  </si>
  <si>
    <t>Thomas, Elizabeth Ruth/0000-0002-3010-6493; Fogt, Ryan L/0000-0002-5398-3990; Phillips, Tony/0000-0002-3058-9157; Reusch, David/0000-0002-7582-363X; Hosking, Scott/0000-0002-3646-3504</t>
  </si>
  <si>
    <t>NERC [NE/J020710/1, bas0100032] Funding Source: UKRI; Natural Environment Research Council [NE/J020710/1, bas0100032] Funding Source: researchfish</t>
  </si>
  <si>
    <t>GL074722</t>
  </si>
  <si>
    <t>10.1002/2017GL074722</t>
  </si>
  <si>
    <t>WOS:000411702400047</t>
  </si>
  <si>
    <t>Matsuda, TS; Nakamura, T; Ejiri, MK; Tsutsumi, M; Tomikawa, Y; Taylor, MJ; Zhao, YC; Pautet, PD; Murphy, DJ; Moffat-Griffin, T</t>
  </si>
  <si>
    <t>Matsuda, Takashi S.; Nakamura, Takuji; Ejiri, Mitsumu K.; Tsutsumi, Masaki; Tomikawa, Yoshihiro; Taylor, Michael J.; Zhao, Yucheng; Pautet, P. -Dominique; Murphy, Damian J.; Moffat-Griffin, Tracy</t>
  </si>
  <si>
    <t>Characteristics of mesospheric gravity waves over Antarctica observed by Antarctic Gravity Wave Instrument Network imagers using 3-D spectral analyses</t>
  </si>
  <si>
    <t>OH AIRGLOW; MIDDLE; ATMOSPHERE</t>
  </si>
  <si>
    <t>We have obtained horizontal phase velocity distributions of the gravity waves around 90 km from four Antarctic airglow imagers, which belong to an international airglow imager/instrument network known as ANGWIN (Antarctic Gravity Wave Instrument Network). Results from the airglow imagers at Syowa (69 degrees S, 40 degrees E), Halley (76 degrees S, 27 degrees W), Davis (69 degrees S, 78 degrees E), and McMurdo (78 degrees S, 167 degrees E) were compared, using a new statistical analysis method based on 3-D Fourier transform (Matsuda et al., 2014) for the observation period between 7 April and 21 May 2013. Significant day-to-day and site-to-site differences were found. The averaged phase velocity spectrum during the observation period showed preferential westward direction at Syowa, McMurdo, and Halley, but no preferential direction at Davis. Gravity wave energy estimated by I'/I was similar to 5 times larger at Davis and Syowa than at McMurdo and Halley. We also compared the phase velocity spectrum at Syowa and Davis with the background wind field and found that the directionality only over Syowa could be explained by critical level filtering of the waves. This suggests that the eastward propagating gravity waves over Davis could have been generated above the polar night jet. Comparison of nighttime variations of the phase velocity spectra with background wind measurements suggested that the effect of critical level filtering could not explain the temporal variation of gravity wave directionality well, and other reasons such as variation of wave sources should be taken into account. Directionality was determined to be dependent on the gravity wave periods.</t>
  </si>
  <si>
    <t>[Matsuda, Takashi S.; Nakamura, Takuji; Ejiri, Mitsumu K.; Tsutsumi, Masaki; Tomikawa, Yoshihiro] Grad Univ Adv Studies, Tachikawa, Tokyo, Japan; [Matsuda, Takashi S.; Nakamura, Takuji; Ejiri, Mitsumu K.; Tsutsumi, Masaki; Tomikawa, Yoshihiro] Natl Inst Polar Res, Tachikawa, Tokyo, Japan; [Taylor, Michael J.; Zhao, Yucheng; Pautet, P. -Dominique] Utah State Univ, Phys Dept, Logan, UT 84322 USA; [Murphy, Damian J.] Australian Antarctic Div, Kingston, Tas, Australia; [Moffat-Griffin, Tracy] British Antarctic Survey, Cambridge, England</t>
  </si>
  <si>
    <t>Graduate University for Advanced Studies - Japan; Research Organization of Information &amp; Systems (ROIS); National Institute of Polar Research (NIPR) - Japan; Utah System of Higher Education; Utah State University; Australian Antarctic Division; UK Research &amp; Innovation (UKRI); Natural Environment Research Council (NERC); NERC British Antarctic Survey</t>
  </si>
  <si>
    <t>Matsuda, TS (corresponding author), Grad Univ Adv Studies, Tachikawa, Tokyo, Japan.;Matsuda, TS (corresponding author), Natl Inst Polar Res, Tachikawa, Tokyo, Japan.</t>
  </si>
  <si>
    <t>matsuda.takashi@nipr.ac.jp</t>
  </si>
  <si>
    <t>Tomikawa, Yoshihiro/D-5304-2012; Wang, Jiacheng/ABE-5948-2020; Pautet, Pierre-Dominique/HRC-1681-2023</t>
  </si>
  <si>
    <t>Tomikawa, Yoshihiro/0000-0002-5652-3017; Wang, Jiacheng/0000-0003-4327-1508; Pautet, Pierre-Dominique/0000-0001-9452-7337; Murphy, Damian/0000-0003-1738-5560; Nakamura, Takuji/0000-0002-3876-2946</t>
  </si>
  <si>
    <t>JSPS KAKENHI [JP24340121, JP15H02137]; JSPS [JP16J10875]; National Institute of Polar Research [KP-2, KP-301]; Australian Antarctica Science (AAS) [4025]; Utah State University (USU) ANGWIN all-sky IR imagers at Halley; McMurdo station; Davis station; NSF [1043356, 1338666]; AAS [4025, 4065]; NERC [bas0100032] Funding Source: UKRI; Grants-in-Aid for Scientific Research [15H02137] Funding Source: KAKEN; Natural Environment Research Council [bas0100032] Funding Source: researchfish; Directorate For Geosciences; Office of Polar Programs (OPP) [1443730] Funding Source: National Science Foundation; Div Atmospheric &amp; Geospace Sciences; Directorate For Geosciences [1338666] Funding Source: National Science Foundation</t>
  </si>
  <si>
    <t>JSPS KAKENHI(Ministry of Education, Culture, Sports, Science and Technology, Japan (MEXT)Japan Society for the Promotion of ScienceGrants-in-Aid for Scientific Research (KAKENHI)); JSPS(Ministry of Education, Culture, Sports, Science and Technology, Japan (MEXT)Japan Society for the Promotion of Science); National Institute of Polar Research(National Institute of Polar Research (NIPR) - Japan); Australian Antarctica Science (AAS); Utah State University (USU) ANGWIN all-sky IR imagers at Halley; McMurdo station; Davis station; NSF(National Science Foundation (NSF)); AAS; NERC(UK Research &amp; Innovation (UKRI)Natural Environment Research Council (NERC)); Grants-in-Aid for Scientific Research(Ministry of Education, Culture, Sports, Science and Technology, Japan (MEXT)Japan Society for the Promotion of ScienceGrants-in-Aid for Scientific Research (KAKENHI)); Natural Environment Research Council(UK Research &amp; Innovation (UKRI)Natural Environment Research Council (NERC)); Directorate For Geosciences; Office of Polar Programs (OPP)(National Science Foundation (NSF)NSF - Directorate for Geosciences (GEO)); Div Atmospheric &amp; Geospace Sciences; Directorate For Geosciences(National Science Foundation (NSF)NSF - Directorate for Geosciences (GEO))</t>
  </si>
  <si>
    <t>This work was supported by JSPS KAKENHI grant numbers JP24340121 and JP15H02137 and by JSPS Grant-in-Aid for JSPS Research Fellow grant number JP16J10875, and also subsidized by National Institute of Polar Research through Project Researches KP-2 and KP-301. Observation at Syowa station was carried out by JARE (Japan Antarctic Research Expedition) under the prioritized project AJ1. Operation of the Davis MF radar was supported by Australian Antarctica Science (AAS) project 4025. The Utah State University (USU) ANGWIN all-sky IR imagers at Halley, McMurdo, and Davis stations were funded and operated under NSF grants 1043356 and 1338666. The Halley imager is operated by British Antarctic Survey under a letter of agreement with USU while the Davis OH imager was operated under AAS projects 4025 and 4065. The authors are grateful for the efforts of the Davis wintering engineer. The MERRA data were obtained from http://disc.sci.gsfc.nasa.gov/. All the other data used in this study are available upon request. The contact points: the imager data at Syowa (nakamura.takuji@nipr.ac.jp) and at Davis, McMurdo, and Halley (mike. taylor@usu.edu). MF radar data for Syowa are available upon request (tsutsumi@nipr.ac.jp). MF radar data for Davis are available upon request (damian.murphy@aad.gov.au) or from the Australian Antarctic Data Centre at data.aad.gov.au.</t>
  </si>
  <si>
    <t>10.1002/2016JD026217</t>
  </si>
  <si>
    <t>WOS:000416387300001</t>
  </si>
  <si>
    <t>Oliva, M; Ruiz-Fernández, J</t>
  </si>
  <si>
    <t>Oliva, Marc; Ruiz-Fernandez, Jesus</t>
  </si>
  <si>
    <t>Geomorphological processes and frozen ground conditions in Elephant Point (Livingston Island, South Shetland Islands, Antarctica)</t>
  </si>
  <si>
    <t>GEOMORPHOLOGY</t>
  </si>
  <si>
    <t>Article; Proceedings Paper</t>
  </si>
  <si>
    <t>4th European Conference on Permafrost (EUCOP) / International-Permafrost-Association Regional Conference</t>
  </si>
  <si>
    <t>JUN 18-21, 2014</t>
  </si>
  <si>
    <t>Evora, PORTUGAL</t>
  </si>
  <si>
    <t>Elephant Point; Maritime Antarctica; Geomorphology; Frozen ground; Permafrost</t>
  </si>
  <si>
    <t>KING GEORGE ISLAND; LAST GLACIAL MAXIMUM; BYERS PENINSULA; ACTIVE-LAYER; LIMNOPOLAR LAKE; ICE-SHEET; DIAGNOSTIC-CRITERIA; PROTALUS RAMPARTS; MARGUERITE BAY; CLIMATE</t>
  </si>
  <si>
    <t>Elephant Point is an ice-free area in the SW corner of Livingston Island (Maritime Antarctica). The retreat of Rotch Dome glacier during the Holocene has exposed a land area of 1.16 km(2). Up to 173% of this surface has become ice-free between 1956 and 2010. A detailed geomorphological mapping of this ice-free environment was conducted in late January 2014. A wide range of active periglacial landforms show that periglacial processes are widespread. From the glacier to the coast four different geomorphological areas are identified: proglacial environment, moraine complex, bedrock plateaus and marine terraces. In situ measurements of the thawed soil depth show evidence of the widespread frozen ground conditions in the area. Field observations of permafrost exposures suggest that these frost conditions may be related to a soil permafrost regime, almost down to sea level. The activity of penguin colonies and elephant seals has created minor geomorphological features in the raised marine terraces. Here, several archaeological sites related to early human colonization of Antarctica were also found in natural shelters. (C) 2016 Elsevier B.V. All rights reserved.</t>
  </si>
  <si>
    <t>[Oliva, Marc] Univ Lisbon, Ctr Geog Studies IGOT, Rua Branca Edmee Marques, P-1600276 Lisbon, Portugal; [Ruiz-Fernandez, Jesus] Univ Oviedo, Dept Geog, Teniente Alfonso Martinez S-N, Oviedo 33011, Spain</t>
  </si>
  <si>
    <t>Universidade de Lisboa; University of Oviedo</t>
  </si>
  <si>
    <t>Oliva, M (corresponding author), Univ Lisbon, Ctr Estudos Geog IGOT, Edificio FLUL,Alameda Univ, P-1600214 Lisbon, Portugal.</t>
  </si>
  <si>
    <t>oliva_marc@yahoo.com</t>
  </si>
  <si>
    <t>Oliva, Marc/K-5423-2014</t>
  </si>
  <si>
    <t>Oliva, Marc/0000-0001-6521-6388</t>
  </si>
  <si>
    <t>research project HOLOANTAR (Holocene environmental change in the Maritime Antarctic Interactions between permafrost and the lacustrine environment) - Portuguese Science Foundation; Portuguese Polar Programme (PROPOLAR) - Portuguese Science Foundation; AXA Research Fund</t>
  </si>
  <si>
    <t>research project HOLOANTAR (Holocene environmental change in the Maritime Antarctic Interactions between permafrost and the lacustrine environment) - Portuguese Science Foundation; Portuguese Polar Programme (PROPOLAR) - Portuguese Science Foundation; AXA Research Fund(AXA Research Fund)</t>
  </si>
  <si>
    <t>This work was supported by the research project HOLOANTAR (Holocene environmental change in the Maritime Antarctic Interactions between permafrost and the lacustrine environment) and the Portuguese Polar Programme (PROPOLAR), both funded by the Portuguese Science Foundation. Special thanks also to the invaluable support in the field of the Brazilian and Chilean Antarctic Programmes. The first author thanks the AXA Research Fund for funding his research activities. We are grateful to Prof Dr. Goncalo Viera (University of Lisbon) for his support during the preparation of the field work and valuable comments on the elaboration of this paper. We also acknowledge Mike Bentley (Durham University) for comments on an early draught of this paper.</t>
  </si>
  <si>
    <t>0169-555X</t>
  </si>
  <si>
    <t>1872-695X</t>
  </si>
  <si>
    <t>Geomorphology</t>
  </si>
  <si>
    <t>SEP 15</t>
  </si>
  <si>
    <t>10.1016/j.geomorph.2016.01.020</t>
  </si>
  <si>
    <t>GD5EE</t>
  </si>
  <si>
    <t>WOS:000430527000006</t>
  </si>
  <si>
    <t>Li, YH; Zhan, LY; Zhang, JX; Chen, LQ; Chen, JF; Zhuang, YP</t>
  </si>
  <si>
    <t>Li, Yuhong; Zhan, Liyang; Zhang, Jiexia; Chen, Liqi; Chen, Jianfang; Zhuang, Yanpei</t>
  </si>
  <si>
    <t>A significant methane source over the Chukchi Sea shelf and its sources</t>
  </si>
  <si>
    <t>CONTINENTAL SHELF RESEARCH</t>
  </si>
  <si>
    <t>Methane; Chukchi Sea self; Sea-to-air flux; Biogenic source; Box model; Sediment emission</t>
  </si>
  <si>
    <t>ARCTIC-OCEAN; SURFACE-WATER; NITROUS-OXIDE; TRANSPORT; ORIGIN; COLUMN; REASSESSMENT; HALOCLINE; SEDIMENT; HYDROGEN</t>
  </si>
  <si>
    <t>Dissolved methane (CH4) was measured at various depths in the western Arctic Ocean. The CH4 concentrations at the surface show an increasing trend northward toward stations at the shelf break and a decreasing trend toward.stations in the Canada Basin. The mean sea-to-air flux is estimated to be 10.08 mu mol/m(2)/d, indicates that the Chukchi Sea shelf (CSS) is an active site of CH4. Methane concentrations at the shelf stations increase from the surface to the bottom, and the maximum nutrient concentrations occur in the bottom layer. Strong correlations exist between CH4 and PO43-, SiO42-, or NO2-, suggesting that the production of CH4 is likely related to the degradation of organic matter in the sediment, supporting a biogenic source. At the slope and basin stations, the maximum values were observed in the subsurface of the upper halocline layer (UHL), and the concentrations decrease with increasing depth. The CH4 concentrations are elevated by similar to 7.9 nmol/L in the UHL compared with the homogeneous CH4 concentrations observed in the deep water. The elevated values in the UHL result primarily from northward spreading of CH4-rich water from the shelf. A mass balance model was used to calculate the CH4 budget in the CSS. The results show that effluxes of CH4 from the sediment-water interface and the in situ production of CH4 represent the major sources of CH4 over the CSS (95%). The main outputs for CH4 in the CSS are the sea-to-air flux and oxidation of CH4 in the water column, which account for 95% of the CH4 exports.</t>
  </si>
  <si>
    <t>[Li, Yuhong; Zhan, Liyang; Zhang, Jiexia; Chen, Liqi] State Ocean Adm, Inst Oceanog 3, Key Lab Global Change &amp; Marine Atmospher Chem, Xiamen, Peoples R China; [Chen, Jianfang; Zhuang, Yanpei] State Ocean Adm, Inst Oceanog 2, Lab Marine Ecosyst &amp; Biogeochem, Hangzhou, Zhejiang, Peoples R China</t>
  </si>
  <si>
    <t>Third Institute of Oceanography, Ministry of Natural Resources</t>
  </si>
  <si>
    <t>Zhan, LY (corresponding author), State Ocean Adm, Inst Oceanog 3, Key Lab Global Change &amp; Marine Atmospher Chem, Xiamen, Peoples R China.</t>
  </si>
  <si>
    <t>zhanliyang@tio.org.cn</t>
  </si>
  <si>
    <t>National Natural Science Foundation of China [41706218, 41230529, 41506225, 40906102]; Scientific Research Foundation of the Third Institute of Oceanography [2016004]; Chinese International Cooperation Projects [IC201114, IC201201, IC201308]; Chinese Projects for Investigations and Assessments of the Arctic and Antarctic (grants CHINARE) [01-4-02, 02-1, 03-04-02, 2016-03-04, 2016-04-03]</t>
  </si>
  <si>
    <t>National Natural Science Foundation of China(National Natural Science Foundation of China (NSFC)); Scientific Research Foundation of the Third Institute of Oceanography; Chinese International Cooperation Projects; Chinese Projects for Investigations and Assessments of the Arctic and Antarctic (grants CHINARE)</t>
  </si>
  <si>
    <t>This work was supported by the Scientific Research Foundation of the Third Institute of Oceanography (Grant 2016004), the National Natural Science Foundation of China (Grants 41706218, 41230529, 41506225, and 40906102), the Chinese Projects for Investigations and Assessments of the Arctic and Antarctic (grants CHINARE2012-2015 for 01-4-02, 02-1, 03-04-02, 2016-03-04, and 2016-04-03), and the Chinese International Cooperation Projects (IC201114, IC201201, and IC201308). The seawater salinity, temperature and nutrient data were obtained from http://www.Chinare.org.cn/mdex/.</t>
  </si>
  <si>
    <t>0278-4343</t>
  </si>
  <si>
    <t>1873-6955</t>
  </si>
  <si>
    <t>CONT SHELF RES</t>
  </si>
  <si>
    <t>Cont. Shelf Res.</t>
  </si>
  <si>
    <t>10.1016/j.csr.2017.08.019</t>
  </si>
  <si>
    <t>FL0CA</t>
  </si>
  <si>
    <t>WOS:000413877700013</t>
  </si>
  <si>
    <t>Narcisi, B; Petit, JR; Langone, A</t>
  </si>
  <si>
    <t>Narcisi, Biancamaria; Petit, Jean Robert; Langone, Antonio</t>
  </si>
  <si>
    <t>Last glacial tephra layers in the Talos Dome ice core (peripheral East Antarctic Plateau), with implications for chronostratigraphic correlations and regional volcanic history (vol 165, pg 111, 2017)</t>
  </si>
  <si>
    <t>Correction</t>
  </si>
  <si>
    <t>[Narcisi, Biancamaria] ENEA, CR Casaccia, Rome, Italy; [Petit, Jean Robert] Univ Grenoble Alpes, CNRS, IRD, IGE, F-38000 Grenoble, France; [Langone, Antonio] UOS Pavia, IGG CNR, Pavia, Italy</t>
  </si>
  <si>
    <t>Italian National Agency New Technical Energy &amp; Sustainable Economics Development; Centre National de la Recherche Scientifique (CNRS); Institut de Recherche pour le Developpement (IRD); Communaute Universite Grenoble Alpes; Universite Grenoble Alpes (UGA); Consiglio Nazionale delle Ricerche (CNR); Istituto di Geoscienze e Georisorse (IGG-CNR)</t>
  </si>
  <si>
    <t>Narcisi, B (corresponding author), ENEA, CR Casaccia, Rome, Italy.</t>
  </si>
  <si>
    <t>biancamaria.narcisi@enea.it</t>
  </si>
  <si>
    <t>Langone, Antonio/HLQ-1346-2023</t>
  </si>
  <si>
    <t>Langone, Antonio/0000-0002-7346-2922</t>
  </si>
  <si>
    <t>10.1016/j.quascirev.2017.07.021</t>
  </si>
  <si>
    <t>FI2ND</t>
  </si>
  <si>
    <t>WOS:000411774700012</t>
  </si>
  <si>
    <t>Tanifuji, G; Cenci, U; Moog, D; Dean, S; Nakayama, T; David, V; Fiala, I; Curtis, BA; Sibbald, SJ; Onodera, NT; Colp, M; Flegontov, P; Johnson-MacKinnon, J; McPhee, M; Inagaki, Y; Hashimoto, T; Kelly, S; Gull, K; Lukes, J; Archibald, JM</t>
  </si>
  <si>
    <t>Tanifuji, Goro; Cenci, Ugo; Moog, Daniel; Dean, Samuel; Nakayama, Takuro; David, Vojtech; Fiala, Ivan; Curtis, Bruce A.; Sibbald, Shannon J.; Onodera, Naoko T.; Colp, Morgan; Flegontov, Pavel; Johnson-MacKinnon, Jessica; McPhee, Michael; Inagaki, Yuji; Hashimoto, Tetsuo; Kelly, Steven; Gull, Keith; Lukes, Julius; Archibald, John M.</t>
  </si>
  <si>
    <t>Genome sequencing reveals metabolic and cellular interdependence in an amoeba-kinetoplastid symbiosis</t>
  </si>
  <si>
    <t>TRYPANOSOMA-BRUCEI REVEALS; HIDDEN MARKOV MODEL; NEOPARAMOEBA-PEMAQUIDENSIS; GENE PREDICTION; GILL DISEASE; HOST CONTROL; EVOLUTION; ALIGNMENT; IDENTIFICATION; PROTEOMICS</t>
  </si>
  <si>
    <t>Endosymbiotic relationships between eukaryotic and prokaryotic cells are common in nature. Endosymbioses between two eukaryotes are also known; cyanobacterium-derived plastids have spread horizontally when one eukaryote assimilated another. A unique instance of a non-photosynthetic, eukaryotic endosymbiont involves members of the genus Paramoeba, amoebozoans that infect marine animals such as farmed fish and sea urchins. Paramoeba species harbor endosymbionts belonging to the Kinetoplastea, a diverse group of flagellate protists including some that cause devastating diseases. To elucidate the nature of this eukaryote-eukaryote association, we sequenced the genomes and transcriptomes of Paramoeba pemaquidensis and its endosymbiont Perkinsela sp. The endosymbiont nuclear genome is similar to 9.5 Mbp in size, the smallest of a kinetoplastid thus far discovered. Genomic analyses show that Perkinsela sp. has lost the ability to make a flagellum but retains hallmark features of kinetoplastid biology, including polycistronic transcription, trans-splicing, and a glycosome-like organelle. Mosaic biochemical pathways suggest extensive 'cross-talk' between the two organisms, and electron microscopy shows that the endosymbiont ingests amoeba cytoplasm, a novel form of endosymbiont-host communication. Our data reveal the cell biological and biochemical basis of the obligate relationship between Perkinsela sp. and its amoeba host, and provide a foundation for understanding pathogenicity determinants in economically important Paramoeba.</t>
  </si>
  <si>
    <t>[Tanifuji, Goro; Cenci, Ugo; Moog, Daniel; David, Vojtech; Curtis, Bruce A.; Sibbald, Shannon J.; Onodera, Naoko T.; Colp, Morgan; Johnson-MacKinnon, Jessica; McPhee, Michael; Archibald, John M.] Dalhousie Univ, Dept Biochem &amp; Mol Biol, Halifax, NS, Canada; [Tanifuji, Goro; Cenci, Ugo; Moog, Daniel; David, Vojtech; Curtis, Bruce A.; Sibbald, Shannon J.; Onodera, Naoko T.; Colp, Morgan; Johnson-MacKinnon, Jessica; McPhee, Michael; Archibald, John M.] Dalhousie Univ, Ctr Comparat Genom &amp; Evolutionary Bioinformat, Halifax, NS, Canada; [Dean, Samuel; Gull, Keith] Univ Oxford, Sir William Dunn Sch Pathol, Oxford, England; [Nakayama, Takuro; Inagaki, Yuji] Univ Tsukuba, Ctr Computat Sci, Tsukuba, Ibaraki, Japan; [David, Vojtech; Fiala, Ivan; Flegontov, Pavel; Lukes, Julius] Czech Acad Sci, Inst Parasitol, Biol Ctr, Ceske Budejovice, Czech Republic; [Flegontov, Pavel] Univ Ostrava, Life Sci Res Ctr, Fac Sci, Ostrava, Czech Republic; [Inagaki, Yuji; Hashimoto, Tetsuo] Univ Tsukuba, Grad Sch Life &amp; Environm Sci, Tsukuba, Ibaraki, Japan; [Kelly, Steven] Univ Oxford, Dept Plant Sci, Oxford, England; [Lukes, Julius] Univ South Bohemia, Fac Sci, Ceske Budejovice, Czech Republic; [Lukes, Julius; Archibald, John M.] Canadian Inst Adv Res, Program Integrated Microbial Biodivers, Toronto, ON, Canada; [Tanifuji, Goro] Natl Museum Nat &amp; Sci, Dept Zool, Tsukuba, Ibaraki, Japan; [Moog, Daniel] Philipps Univ Marburg, Cell Biol Lab, Marburg, Germany; [Nakayama, Takuro] Tohoku Univ, Grad Sch Life Sci, Tohoku, Japan; [Johnson-MacKinnon, Jessica] Univ Tasmania, Inst Marine &amp; Antarctic Sci, Launceston, Tas, Australia; [Onodera, Naoko T.] Natl Inst Adv Ind Sci &amp; Technol, Tsukuba, Ibaraki, Japan</t>
  </si>
  <si>
    <t>Dalhousie University; Dalhousie University; University of Oxford; University of Tsukuba; Czech Academy of Sciences; Biology Centre of the Czech Academy of Sciences; University of Ostrava; University of Tsukuba; University of Oxford; University of South Bohemia Ceske Budejovice; Canadian Institute for Advanced Research (CIFAR); National Museum of Nature and Science; Philipps University Marburg; Tohoku University; University of Tasmania; National Institute of Advanced Industrial Science &amp; Technology (AIST)</t>
  </si>
  <si>
    <t>Archibald, JM (corresponding author), Dalhousie Univ, Dept Biochem &amp; Mol Biol, Halifax, NS, Canada.;Archibald, JM (corresponding author), Dalhousie Univ, Ctr Comparat Genom &amp; Evolutionary Bioinformat, Halifax, NS, Canada.;Archibald, JM (corresponding author), Canadian Inst Adv Res, Program Integrated Microbial Biodivers, Toronto, ON, Canada.</t>
  </si>
  <si>
    <t>john.archibald@dal.ca</t>
  </si>
  <si>
    <t>NAKAYAMA, Takuro/AAT-9444-2020; Tanifuji, Goro/O-9172-2015; Cenci, Ugo/ABE-9697-2021; Fiala, Ivan/G-7962-2014; Flegontov, Pavel/G-9748-2014; cenci, ugo/M-2908-2019; Flegontov, Pavel/U-6664-2017; Kelly, Steven/JOZ-2050-2023; Lukes, Julius/H-6760-2012; Johnson-Mackinnon, Jessica/L-1385-2016</t>
  </si>
  <si>
    <t>NAKAYAMA, Takuro/0000-0001-5135-0156; Fiala, Ivan/0000-0003-1536-9778; cenci, ugo/0000-0001-9725-9833; Flegontov, Pavel/0000-0001-9759-4981; Kelly, Steven/0000-0001-8583-5362; Lukes, Julius/0000-0002-0578-6618; Inagaki, Yuji/0000-0003-0101-8483; Johnson-Mackinnon, Jessica/0000-0003-1296-8783; gull, keith/0000-0001-6954-9569; Dean, Samuel/0000-0002-4792-2198</t>
  </si>
  <si>
    <t>Canadian Institutes of Health Research [MOP-115141]; Czech Grant Agency [14-23986S]; ERC CZ [LL1601]; Tula Foundation (via Dalhousie's Centre for Comparative Genomics and Evolutionary Bioinformatics); Wellcome Trust [092201/Z/10/Z, WT066839MA, 104627/Z/14/Z]; Institution Development Program of the University of Ostrava; Wellcome Trust [092201/Z/10/Z] Funding Source: Wellcome Trust; Grants-in-Aid for Scientific Research [16H04826] Funding Source: KAKEN</t>
  </si>
  <si>
    <t>Canadian Institutes of Health Research(Canadian Institutes of Health Research (CIHR)); Czech Grant Agency(Grant Agency of the Czech Republic); ERC CZ(European Research Council (ERC)); Tula Foundation (via Dalhousie's Centre for Comparative Genomics and Evolutionary Bioinformatics); Wellcome Trust(Wellcome Trust); Institution Development Program of the University of Ostrava; Wellcome Trust(Wellcome Trust); Grants-in-Aid for Scientific Research(Ministry of Education, Culture, Sports, Science and Technology, Japan (MEXT)Japan Society for the Promotion of ScienceGrants-in-Aid for Scientific Research (KAKENHI))</t>
  </si>
  <si>
    <t>This work was supported by an operating grant awarded to J.M. Archibald from the Canadian Institutes of Health Research (MOP-115141) and the Czech Grant Agency (14-23986S) and ERC CZ (LL1601) to J. Lukes. G. Tanifuji and B.A. Curtis were supported by the Tula Foundation (via Dalhousie's Centre for Comparative Genomics and Evolutionary Bioinformatics). S. Dean and K. Gull were supported by the Wellcome Trust (092201/Z/10/Z, WT066839MA and 104627/Z/14/Z) and P. Flegontov was supported by the Institution Development Program of the University of Ostrava. J.M. Archibald and J. Lukes are members of the Canadian Institute for Advanced Research, Program in Integrated Microbial Biodiversity. We are grateful to two anonymous reviewers and an Editorial Board Member for helpful comments on an earlier version of this paper. We thank Kanehisa Laboratories for permission to present KEGG metabolic pathway maps. We also thank M. Dlutek, E. Kim and J. Vanecek for technical assistance, and Andrew Jackson and Matthew Berriman for permission to analyze the Bodo saltans genome prior to publication.</t>
  </si>
  <si>
    <t>10.1038/s41598-017-11866-x</t>
  </si>
  <si>
    <t>FH0VT</t>
  </si>
  <si>
    <t>WOS:000410859400020</t>
  </si>
  <si>
    <t>Leduc-Leballeur, M; Picard, G; Macelloni, G; Arnaud, L; Brogioni, M; Mialon, A; Kerr, YH</t>
  </si>
  <si>
    <t>Leduc-Leballeur, M.; Picard, G.; Macelloni, G.; Arnaud, L.; Brogioni, M.; Mialon, A.; Kerr, Y. H.</t>
  </si>
  <si>
    <t>Influence of snow surface properties on L-band brightness temperature at Dome C, Antarctica</t>
  </si>
  <si>
    <t>REMOTE SENSING OF ENVIRONMENT</t>
  </si>
  <si>
    <t>SMOS; Cryosphere; Microwave; Snow emission modeling</t>
  </si>
  <si>
    <t>MICROWAVE EMISSION; SOIL-MOISTURE; VARIABILITY; RADIOMETER; PERFORMANCE; FIELD; FIRN; SMOS; AREA</t>
  </si>
  <si>
    <t>L-band radiometer measurements collected over the Dome similar to C area from 2010 to 2015 indicated that the brightness temperature (T-B) was relatively stable at vertical (V) polarization (standard deviation lower than 1 K at annual scale), while it was slightly more variable at horizontal (H) polarization. During the 2014-2015 austral summer, an exceptional situation was recorded by both the DOMEX ground radiometer and the European Space Agency (ESA)'s Soil Moisture and Ocean Salinity (SMOS) satellite. From November 2014 to March 2015, T-B H showed a progressive and significant increase until 20 March 2015 when it sharply decreased by about 5 K (at 52.5 incidence angle) within a few days. In parallel to the increase in T-B H, glaciological and meteorological in situ measurements showed a wind speed that was lower than usual and a low-density snow layer being progressively set up on the surface. This was consistent with the exceptional hoar event observed, as well as with snow accumulation on the surface. On the other hand, the decrease in T-B H was related to the passing over Dome C of a storm that removed or compacted the layer of light snow on the surface. The WALOMIS (Wave Approach for LOw-frequency Microwave emission in Snow) snow-emission model was used with in situ measurements of the snowpack as inputs for evaluating the effect of changes observed on the snow surface in T-B H. The simulations indicated that the surface snow density variations were sufficient for predicting the increasing and decreasing trends of the T-B H. However, the thickness variations of the superficial layer were essential so as to obtain a better agreement with the SMOS observations. This result confirmed that the L-band T-B H was affected by the snow properties of the top centimeters of the snowpack, in spite of the large penetration depth (hundreds of meters). Both the surface snow density and the thickness of the superficial layer were relevant, due to coherent interference effects.</t>
  </si>
  <si>
    <t>[Leduc-Leballeur, M.; Macelloni, G.; Brogioni, M.] CNR, IFAC, I-50019 Sesto Fiorentino, Italy; [Leduc-Leballeur, M.; Picard, G.; Arnaud, L.] Univ Grenoble Alpes, CNRS, IRD, Grenoble INP,IGE,Inst Engn, F-38000 Grenoble, France; [Mialon, A.; Kerr, Y. H.] Univ Toulouse, UPS, IRD, CESBIO,CNES,CNRS, F-31401 Toulouse 09, France</t>
  </si>
  <si>
    <t>Consiglio Nazionale delle Ricerche (CNR); Istituto di Fisica Applicata Nello Carrara (IFAC-CNR); Communaute Universite Grenoble Alpes; Universite Grenoble Alpes (UGA); Centre National de la Recherche Scientifique (CNRS); Institut National Polytechnique de Grenoble; Institut de Recherche pour le Developpement (IRD); Universite de Toulouse; Universite Toulouse III - Paul Sabatier; Centre National de la Recherche Scientifique (CNRS); Institut de Recherche pour le Developpement (IRD)</t>
  </si>
  <si>
    <t>Leduc-Leballeur, M (corresponding author), CNR, IFAC, I-50019 Sesto Fiorentino, Italy.;Leduc-Leballeur, M (corresponding author), Univ Grenoble Alpes, CNRS, IRD, Grenoble INP,IGE,Inst Engn, F-38000 Grenoble, France.</t>
  </si>
  <si>
    <t>m.leduc@ifac.cnr.it</t>
  </si>
  <si>
    <t>Kerr, Yann/Z-2432-2019; Macelloni, Giovanni/B-7518-2015; Picard, Ghislain/D-4246-2013; Leduc-Leballeur, Marion/AAK-9880-2021; Brogioni, Marco/Q-6583-2019; mialon, arnaud/ABA-3062-2020</t>
  </si>
  <si>
    <t>Picard, Ghislain/0000-0003-1475-5853; Leduc-Leballeur, Marion/0000-0001-7579-7024; Brogioni, Marco/0000-0001-6232-6020; mialon, arnaud/0000-0001-7970-0701; arnaud, laurent/0000-0002-4432-4205; MACELLONI, GIOVANNI/0000-0002-9738-7939</t>
  </si>
  <si>
    <t>ESA through CryoSMOS project; French Space Agency (CNES) through the SMOS TOSCA project; French Polar Institute (IPEV); National Antarctic Research Program (PNRA)</t>
  </si>
  <si>
    <t>This study benefited from financial support from ESA through CryoSMOS project and from the French Space Agency (CNES) through the SMOS TOSCA project. The authors acknowledge the French Polar Institute (IPEV)and the National Antarctic Research Program (PNRA) for financial and logistical support at Concordia station in Antarctica through the NIVO, MAISARS and MAPME programs, as well as H. Freville for the intensive measurements period at Dome similar to C. The SMOS product was obtained from CATDS, operated for the CNES by IFREMER (Brest, France). The UW-Madison AWS Program provided in situ measurements data set.</t>
  </si>
  <si>
    <t>ELSEVIER SCIENCE INC</t>
  </si>
  <si>
    <t>STE 800, 230 PARK AVE, NEW YORK, NY 10169 USA</t>
  </si>
  <si>
    <t>0034-4257</t>
  </si>
  <si>
    <t>1879-0704</t>
  </si>
  <si>
    <t>REMOTE SENS ENVIRON</t>
  </si>
  <si>
    <t>Remote Sens. Environ.</t>
  </si>
  <si>
    <t>10.1016/j.rse.2017.07.035</t>
  </si>
  <si>
    <t>Environmental Sciences; Remote Sensing; Imaging Science &amp; Photographic Technology</t>
  </si>
  <si>
    <t>Environmental Sciences &amp; Ecology; Remote Sensing; Imaging Science &amp; Photographic Technology</t>
  </si>
  <si>
    <t>FG6GB</t>
  </si>
  <si>
    <t>WOS:000410469100032</t>
  </si>
  <si>
    <t>Toner, JD; Catling, DC; Sletten, RS</t>
  </si>
  <si>
    <t>Toner, J. D.; Catling, D. C.; Sletten, R. S.</t>
  </si>
  <si>
    <t>The geochemistry of Don Juan Pond: Evidence for a deep groundwater flow system in Wright Valley, Antarctica</t>
  </si>
  <si>
    <t>Don Juan Pond; Antarctic Dry Valleys; calcium chloride; groundwater; geochemical modeling; Mars</t>
  </si>
  <si>
    <t>MCMURDO DRY VALLEYS; RECURRING SLOPE LINEAE; CHEMICAL-EQUILIBRIUM; MINERAL SOLUBILITIES; BEHAVIOR; WATERS; BRINE; LIFE; WARM</t>
  </si>
  <si>
    <t>Don Juan Pond (DJP), Antarctica, is one of the most unusual surface waters on Earth because of its CaCl2-rich composition. To investigate the evolution of pond waters during closed-basin evaporation and to understand the source of brines responsible for the chemistry of DJP, we apply a newly developed low-temperature aqueous model in the Na-K-Ca-Mg-Cl system to DJP. By modeling the closed-basin evaporation of DJP and comparing ionic ratios between DJP surface water, deep groundwater, shallow groundwater, and other surface chemistries in Wright Valley, we find that DJP is best explained by upwelling deep groundwater, as opposed to recent hypotheses proposing shallow groundwater sources. The early closed-basin evolution of brines in our model accurately predicts observed chemistries in DJP; however, late-stage closed-basin evaporation produces Mg-K-rich brines and salts that do not match the CaCl2-rich brine in DJP. Based on groundwater inflow rates to DJP, we estimate that even the most concentrated brines in DJP have undergone closed-basin evaporation for less than a year. To explain the observed lack of Mg2+ and K+ accumulation in DJP over time, and the surprisingly young age for the brines, we deduce that DJP is a localized upwelling from a regional groundwater flow-through system in which evaporated DJP brines are recycled back into the subsurface over yearly timescales. The existence of a regional groundwater flow system beneath DJP has implications for water and solute budgets in cold desert ecosystems, and may provide clues for the formation of groundwater and aqueous flows on Mars. (C) 2017 Elsevier B.V. All rights reserved.</t>
  </si>
  <si>
    <t>[Toner, J. D.; Catling, D. C.; Sletten, R. S.] Univ Washington, Dept Earth &amp; Space Sci, Box 351310, Seattle, WA 98195 USA</t>
  </si>
  <si>
    <t>University of Washington; University of Washington Seattle</t>
  </si>
  <si>
    <t>Toner, JD (corresponding author), Univ Washington, Dept Earth &amp; Space Sci, Box 351310, Seattle, WA 98195 USA.</t>
  </si>
  <si>
    <t>toner2@uw.edu</t>
  </si>
  <si>
    <t>Catling, David C/D-2082-2009</t>
  </si>
  <si>
    <t>Catling, David/0000-0001-5646-120X</t>
  </si>
  <si>
    <t>NASA Habitable Worlds grant [NNX15AP19G]; NASA [799694, NNX15AP19G] Funding Source: Federal RePORTER</t>
  </si>
  <si>
    <t>NASA Habitable Worlds grant; NASA(National Aeronautics &amp; Space Administration (NASA))</t>
  </si>
  <si>
    <t>We thank Dr. Keros Cartwright for his helpful comments on this manuscript, as well as three anonymous reviewers. This work was supported by NASA Habitable Worlds grant (NNX15AP19G) to DCC and JDT.</t>
  </si>
  <si>
    <t>10.1016/j.epsl.2017.06.039</t>
  </si>
  <si>
    <t>FF6TT</t>
  </si>
  <si>
    <t>WOS:000409150600021</t>
  </si>
  <si>
    <t>Heitmann, EO; Ji, SC; Nie, JS; Breecker, DO</t>
  </si>
  <si>
    <t>Heitmann, Emma O.; Ji, Shunchuan; Nie, Junsheng; Breecker, Daniel O.</t>
  </si>
  <si>
    <t>Orbitally-paced variations of water availability in the SE Asian Monsoon region following the Miocene Climate Transition</t>
  </si>
  <si>
    <t>Asian Monsoon; Middle Miocene; Chinese Loess Plateau; orbital cycles; paleosol; atmospheric CO2</t>
  </si>
  <si>
    <t>PEDOGENIC CARBONATE; TIBETAN PLATEAU; CHINESE LOESS; ISOTOPIC COMPOSITION; EVOLUTION; BASIN; PRECIPITATION; TIMESCALE; OBLIQUITY</t>
  </si>
  <si>
    <t>Middle Miocene Earth had several boundary conditions similar to those predicted for future Earth including similar atmospheric pCO(2) and substantial Antarctic ice cover but no northern hemisphere ice sheets. We describe a 12 m outcrop of the terrestrial Yanwan Section in the Tianshui Basin, Gansu, China, following the Miocene Climate Transition (13.9-13.7 Ma). It consists of similar to 25 cm thick CaCO3-cemented horizons that overprint siltstones every similar to 1 m. We suggest that stacked soils developed in siltstones under a seasonal climate with a fluctuating water table, evidenced by roots, clay films, mottling, presence of CaCO3 nodules, and stacked carbonate nodule delta C-13 and delta O-18 profiles that mimic modern soils. We suggest that the CaCO3-cemented horizons are capillary-fringe carbonates that formed in an arid climate with a steady water table and high potential evapotranspiration rates (PET), evidenced by sharp upper and basal contacts, micrite, sparite, and root-pore cements. The CaCO3 of the cemented horizons and the carbonate nodules have similar mean delta O-18 and delta C-13 values but the cements have significantly smaller variance in delta C-13 and delta O-18 values and a different delta O-18 versus delta C-13 slope, supporting the conclusion that these carbonates are from different populations. The magneto-stratigraphic age model indicates obliquity pacing of the arid conditions required to form the CaCO3-cemented horizons suggesting an orbital control on water availability. We suggest two possible drivers for the obliquity pacing of arid conditions: 1) variability in the cross-equatorial pressure gradient that controls summer monsoon (ASM) strength and is influenced by obliquity-paced variations of Antarctic ice volume and 2) variability in Western Pacific Ocean-East Asian continent pressure gradient controlled by the 25-45 N meridional insolation gradient. We also suggest that variations in aridity were influenced by variations in PET and sensible heating of the regional land surface which are both influenced by precession-controlled 35 degrees N summer insolation. We then use orbital configurations to predict lithology. Coincidence of obliquity minima (strong ASM) and 35 N summer insolation maxima (strong ASM) drives strong ASM and high PET, resulting in soil formation in an environment with relatively large seasonal changes in water availability. Coincidence of obliquity maxima (weak ASM) and 35 N summer insolation maxima (strong ASM) moderates the ASM, results in high PET, and thus drives overprinting of soils by capillary fringe carbonates above a deepened and relatively stable water table. Coincidence of obliquity and insolation minima also moderates the ASM but results in low PET and thus a high water table, which explains the previously documented occurrence of aquatic plants in this section. This context allows us to assign an orbital configuration to atmospheric pCO(2) determined from the paleosols. Our best estimate of pCO(2) during the times of intermediate ice volume is 475 + 650/-230 ppmV (median value with error reported as 84th-16th percentile values). Southern hemisphere control of ASM variability during the Middle Miocene may have resulted in larger orbital scale water availability variations compared with the Pleistocene. (C) 2017 Elsevier B.V. All rights reserved.</t>
  </si>
  <si>
    <t>[Heitmann, Emma O.; Breecker, Daniel O.] Univ Texas Austin, Jackson Sch Geosci, Dept Geol Sci, 2305 Speedway Stop C1160, Austin, TX 78712 USA; [Ji, Shunchuan; Nie, Junsheng] Lanzhou Univ, Key Lab Western Chinas Environm Syst, Minist Educ, Coll Earth &amp; Environm Sci, Lanzhou, Gansu, Peoples R China</t>
  </si>
  <si>
    <t>University of Texas System; University of Texas Austin; Lanzhou University</t>
  </si>
  <si>
    <t>Heitmann, EO (corresponding author), Univ Texas Austin, Jackson Sch Geosci, Dept Geol Sci, 2305 Speedway Stop C1160, Austin, TX 78712 USA.</t>
  </si>
  <si>
    <t>emmaheitmann@utexas.edu; shunchuanji@sina.com; jnie@lzu.edu.cn; breecker@jsg.utexas.edu</t>
  </si>
  <si>
    <t>Nie, Junsheng/E-5047-2010; Breecker, Dan O/B-4929-2011</t>
  </si>
  <si>
    <t>Nie, Junsheng/0000-0002-1700-7116; Breecker, Dan/0000-0003-0200-223X</t>
  </si>
  <si>
    <t>Jackson School of Geosciences; Undergraduate Research Fellowship at UT Austin; Jackson Scholars program at UT Austin, Lanzhou University; Second Mr. and Mrs. Charles E. Yager Professorship; NSF PIRE [1545859]; Office Of The Director; Office Of Internatl Science &amp;Engineering [1545859] Funding Source: National Science Foundation</t>
  </si>
  <si>
    <t>Jackson School of Geosciences; Undergraduate Research Fellowship at UT Austin; Jackson Scholars program at UT Austin, Lanzhou University; Second Mr. and Mrs. Charles E. Yager Professorship; NSF PIRE(National Science Foundation (NSF)NSF - Office of the Director (OD)); Office Of The Director; Office Of Internatl Science &amp;Engineering(National Science Foundation (NSF)NSF - Office of the Director (OD))</t>
  </si>
  <si>
    <t>Funding for this work was provided by The Jackson School of Geosciences, The Undergraduate Research Fellowship at UT Austin, the Jackson Scholars program at UT Austin, Lanzhou University, The Second Mr. and Mrs. Charles E. Yager Professorship and NSF PIRE 1545859. We also thank M. Cloos and J. Barnes with the Undergraduate Honors Research Program at the Jackson School of Geosciences, T. Larson for help in attaining and calibrating isotope data, and K. Milliken, W. Kim, D. Mohrig, and K. Thirumalai for discussions.</t>
  </si>
  <si>
    <t>10.1016/j.epsl.2017.06.006</t>
  </si>
  <si>
    <t>WOS:000409150600029</t>
  </si>
  <si>
    <t>Kruijer, TS; Kleine, T; Borg, LE; Brennecka, GA; Irving, AJ; Bischoff, A; Agee, CB</t>
  </si>
  <si>
    <t>Kruijer, Thomas S.; Kleine, Thorsten; Borg, Lars E.; Brennecka, Gregory A.; Irving, Anthony J.; Bischoff, Addi; Agee, Carl B.</t>
  </si>
  <si>
    <t>The early differentiation of Mars inferred from Hf-W chronometry</t>
  </si>
  <si>
    <t>martian meteorites; Hf-W chronometry; Sm-Nd chronometry; planetary differentiation; magma ocean; crust formation</t>
  </si>
  <si>
    <t>NORTHWEST AFRICA 7034; CORE FORMATION; ISOTOPIC COMPOSITION; MARTIAN METEORITES; SOLAR-SYSTEM; MAGMA OCEAN; FRACTIONAL CRYSTALLIZATION; MANTLE DIFFERENTIATION; TERRESTRIAL PLANETS; SNC METEORITES</t>
  </si>
  <si>
    <t>Mars probably accreted within the first 10 million years of Solar System formation and likely underwent magma ocean crystallization and crust formation soon thereafter. To assess the nature and timescales of these large-scale mantle differentiation processes we applied the short-lived Hf-182-W-182 and (146)sm-Nd-142 chronometers to a comprehensive suite of martian meteorites, including several shergottites, augite basalt NWA 8159, orthopyroxenite ALH 84001 and polymict breccia NWA 7034. Compared to previous studies the W-182 data are significantly more precise and have been obtained for a more diverse suite of martian meteorites, ranging from samples from highly depleted to highly enriched mantle and crustal sources. Our results show that martian meteorites exhibit widespread W-182/W-184 variations that are broadly correlated with Nd-142/Nd-144, implying that silicate differentiation (and not core formation) is the main cause of the observed W-182/W-184 differences. The combined W-182-Nd-142 systematics are best explained by magma ocean crystallization on Mars within similar to 20-25 million years after Solar System formation, followed by crust formation similar to 15 million years later. These ages are indistinguishable from the I-Pu-Xe age for the formation of Mars' atmosphere, indicating that the major differentiation of Mars into mantle, crust, and atmosphere occurred between 20 and 40 million years after Solar System formation and, hence, earlier than previously inferred based on Sm-Nd chronometry alone. (C) 2017 Elsevier B.V. All rights reserved.</t>
  </si>
  <si>
    <t>[Kruijer, Thomas S.; Kleine, Thorsten; Brennecka, Gregory A.; Bischoff, Addi] Univ Munster, Inst Planetol, Wilhelm Klemm Str 10, D-48149 Munster, Germany; [Kruijer, Thomas S.; Borg, Lars E.] Lawrence Livermore Natl Lab, Nucl &amp; Chem Sci Div, 7000 East Ave, Livermore, CA 94550 USA; [Irving, Anthony J.] Univ Washington, Dept Earth &amp; Space Sci, Seattle, WA 98195 USA; [Agee, Carl B.] Univ New Mexico, Inst Meteorit, Albuquerque, NM 87131 USA</t>
  </si>
  <si>
    <t>University of Munster; United States Department of Energy (DOE); Lawrence Livermore National Laboratory; University of Washington; University of Washington Seattle; University of New Mexico</t>
  </si>
  <si>
    <t>Kruijer, TS (corresponding author), Univ Munster, Inst Planetol, Wilhelm Klemm Str 10, D-48149 Munster, Germany.;Kruijer, TS (corresponding author), Lawrence Livermore Natl Lab, Nucl &amp; Chem Sci Div, 7000 East Ave, Livermore, CA 94550 USA.</t>
  </si>
  <si>
    <t>kruijer1@llnl.gov</t>
  </si>
  <si>
    <t>Kleine, Thorsten/S-2792-2017</t>
  </si>
  <si>
    <t>Kleine, Thorsten/0000-0003-4657-5961; Brennecka, Gregory/0000-0002-0852-5595; Kruijer, Thomas/0000-0003-0974-4324</t>
  </si>
  <si>
    <t>US DOE by Lawrence Livermore National Laboratory [DE-AC52-07NA27344]; Deutsche Forschungsgemeinschaft [SFB-TRR 170]</t>
  </si>
  <si>
    <t>US DOE by Lawrence Livermore National Laboratory(United States Department of Energy (DOE)); Deutsche Forschungsgemeinschaft(German Research Foundation (DFG))</t>
  </si>
  <si>
    <t>NASA and the Meteorite Working Group are gratefully acknowledged for providing several Antarctic meteorite samples for this study, and the UNM Meteorite Museum for providing samples of NWA 7034 and NWA 8159. We thank Richard Walker, Tim Elliott, and Alex Halliday for their constructive and very helpful reviews, and Derek Vance for his editorial efforts. Celeste Brennecka is acknowledged for comments on the manuscript. This study was performed under the auspices of the US DOE by Lawrence Livermore National Laboratory under Contract DE-AC52-07NA27344 with release number LLNL-JRNL-72834. This work was funded by the Deutsche Forschungsgemeinschaft (SFB-TRR 170, subproject C3-1). This is TRR 170 publication no. 24.</t>
  </si>
  <si>
    <t>10.1016/j.epsl.2017.06.047</t>
  </si>
  <si>
    <t>hybrid, Green Submitted</t>
  </si>
  <si>
    <t>WOS:000409150600035</t>
  </si>
  <si>
    <t>Roberts, J; McCave, IN; McClymont, EL; Kender, S; Hillenbrand, CD; Matano, R; Hodell, DA; Peck, VL</t>
  </si>
  <si>
    <t>Roberts, J.; McCave, I. N.; McClymont, E. L.; Kender, S.; Hillenbrand, C. -D.; Matano, R.; Hodell, D. A.; Peck, V. L.</t>
  </si>
  <si>
    <t>Deglacial changes in flow and frontal structure through the Drake Passage</t>
  </si>
  <si>
    <t>cold water route; sortable silt; deglacial; alkenones; sub-Antarctic front</t>
  </si>
  <si>
    <t>ANTARCTIC CIRCUMPOLAR CURRENT; SEA-SURFACE TEMPERATURE; SOUTH-ATLANTIC; OCEANIC CIRCULATION; LAST DEGLACIATION; U-37(K) INDEX; SORTABLE SILT; ICE CORE; CLIMATE; ALKENONE</t>
  </si>
  <si>
    <t>The oceanic gateways of the Drake Passage and the Agulhas Current are critical locations for the inflow of intermediate-depth water masses to the Atlantic, which contribute to the shallow return flow that balances the export of deep water from the North Atlantic. The thermohaline properties of northward flowing intermediate water are ultimately determined by the inflow of water through oceanic gateways. Here, we focus on the less well-studied Cold Water Route through the Drake Passage. We present millennially-resolved bottom current flow speed and sea surface temperature records downstream of the Drake Passage spanning the last 25,000 yr. We find that prior to 15 ka, bottom current flow speeds at sites in the Drake Passage region were dissimilar and there was a marked anti-phasing between sea surface temperatures at sites upstream and downstream of the Drake Passage. After 14 ka, we observe a remarkable convergence of flow speeds coupled with a sea surface temperature phase change at sites upstream and downstream of Drake Passage. We interpret this convergence as evidence for a significant southward shift of the sub-Antarctic Front from a position north of Drake Passage. This southward shift increased the through-flow of water from the Pacific, likely reducing the density of Atlantic Intermediate Water. The timing of the southward shift in the sub-Antarctic Front is synchronous with a major re-invigoration of Atlantic Meridional Overturning Circulation, with which, we argue, it may be linked. (C) 2017 Elsevier B.V. All rights reserved.</t>
  </si>
  <si>
    <t>[Roberts, J.; McCave, I. N.; Hodell, D. A.] Univ Cambridge, Dept Earth Sci, Godwin Lab Palaeoclimate Res, Downing St, Cambridge CB2 3EQ, England; [Roberts, J.; Hillenbrand, C. -D.; Peck, V. L.] British Antarctic Survey, Madingley Rd, Cambridge CB3 0ET, England; [McClymont, E. L.] Univ Durham, Dept Geog, South Rd, Durham DH1 3LE, England; [Kender, S.] Univ Exeter, Camborne Sch Mines, Penryn Campus, Penryn TR10 9FE, Cornwall, England; [Kender, S.] British Geol Survey, Nicker Hill, Nottingham NG12 5GG, England; [Matano, R.] Oregon State Univ, Coll Ocean &amp; Atmospher Sci, Corvallis, OR 97331 USA</t>
  </si>
  <si>
    <t>University of Cambridge; UK Research &amp; Innovation (UKRI); Natural Environment Research Council (NERC); NERC British Antarctic Survey; Durham University; University of Exeter; UK Research &amp; Innovation (UKRI); Natural Environment Research Council (NERC); NERC British Geological Survey; Oregon State University</t>
  </si>
  <si>
    <t>Roberts, J (corresponding author), Helmholtz Zentrum Polar &amp; Meeresforsch, Alfred Wegener Inst, Alten Hafen 26, D-27568 Bremerhaven, Germany.</t>
  </si>
  <si>
    <t>jenny.roberts@awi.de</t>
  </si>
  <si>
    <t>McClymont, Erin L/K-2153-2012; McClymont, Erin/AAX-3567-2020; McCave, I. Nick/O-3992-2018; McClymont, Erin/AAX-3657-2020; Kender, Sev/B-9409-2016</t>
  </si>
  <si>
    <t>McClymont, Erin L/0000-0003-1562-8768; McClymont, Erin/0000-0003-1562-8768; McCave, I. Nick/0000-0002-4702-5489; McClymont, Erin/0000-0003-1562-8768; Hodell, David/0000-0001-8537-1588; Kender, Sev/0000-0003-4216-3214; Roberts, Jenny/0000-0002-1098-0829</t>
  </si>
  <si>
    <t>British Geological Survey/British Antarctic Survey (Natural Environment Research Council); University of Cambridge; Philip Leverhulme Prize; Natural Environment Research Council [bgs05017, bas0100030, 1273186] Funding Source: researchfish; NERC [bgs05017, bas0100030] Funding Source: UKRI</t>
  </si>
  <si>
    <t>British Geological Survey/British Antarctic Survey (Natural Environment Research Council); University of Cambridge(University of Cambridge); Philip Leverhulme Prize(Leverhulme Trust); Natural Environment Research Council(UK Research &amp; Innovation (UKRI)Natural Environment Research Council (NERC)); NERC(UK Research &amp; Innovation (UKRI)Natural Environment Research Council (NERC))</t>
  </si>
  <si>
    <t>We are grateful to S.J. Crowhurst, M. West and A. Hayton for providing technical assistance, and to M. Meredith for discussion. J.R. was funded jointly by the British Geological Survey/British Antarctic Survey (Natural Environment Research Council) and the University of Cambridge. E.L.M. acknowledges funding from the Philip Leverhulme Prize. We thank the captain and crew of the RRS James Clark Ross for facilitating the collection of the marine sediment cores used in this study. The data reported in this paper are archived at www.pangaea.de.</t>
  </si>
  <si>
    <t>10.1016/j.epsl.2017.07.004</t>
  </si>
  <si>
    <t>WOS:000409150600040</t>
  </si>
  <si>
    <t>Kubota, Y; Suzuki, N; Kimoto, K; Uchida, M; Itaki, T; Ikehara, K; Kim, RA; Lee, KE</t>
  </si>
  <si>
    <t>Kubota, Yoshimi; Suzuki, Nozomi; Kimoto, Katsunori; Uchida, Masao; Itaki, Takuya; Ikehara, Ken; Kim, Ryoung Ah; Lee, Kyung Eun</t>
  </si>
  <si>
    <t>Variation in subsurface water temperature and its link to the Kuroshio Current in the Okinawa Trough during the last 38.5 kyr</t>
  </si>
  <si>
    <t>QUATERNARY INTERNATIONAL</t>
  </si>
  <si>
    <t>East China Sea; Okinawa Trough; Kuroshio; MIS 3; Vertical temperature gradient</t>
  </si>
  <si>
    <t>EAST CHINA SEA; PACIFIC TROPICAL WATER; NORTH PACIFIC; PLANKTONIC-FORAMINIFERA; LATE QUATERNARY; LATE PLEISTOCENE; HEINRICH EVENTS; OXYGEN-ISOTOPE; CURRENT SYSTEM; CLIMATE-CHANGE</t>
  </si>
  <si>
    <t>An 820.4-cm long piston core (YK12-15 PC-01) was obtained from site OT-1B (28 degrees 07.150N, 127 degrees 11.97 ' E, 1050 m water depth), located in the middle of the Okinawa Trough in the southern East China Sea (ECS). For core YK12-15 PC-01, oxygen and carbon isotopes (delta O-18 and delta C-13) of planktic foraminifera Globiger-inoides ruber sensu stricto (250-355 mm size fraction) and Globorotalia inflata (&gt; 250 mu m size fraction) together with total organic carbon (TOC), nitrogen content (TN), and d13C of organic matter were analyzed for the last 38.5 thousand years (kyr). The delta O-18 records of G. ruber (delta O-18(ruber)) and G. inflata (delta O-18(ruber)) were used to estimate the temperature/salinity of the surface and subsurface waters, respectively. In addition, we estimated the vertical temperature gradient between the surface and the subsurface based on the difference in delta O-18 between G. ruber and G. inflata (Delta delta O-18(ruber-inflata)). The delta O-18(inflata) and Delta delta O-18(ruber-inflata) indicate millennial-scale variations in association with the oscillations in Antarctic temperatures during the Marine Isotope Stage (MIS) 3. These results suggest that variations in subsurface temperature and vertical temperature gradient in the upper water column in the ECS were closely related to the Atlantic bipolar seesaw during MIS 3. The subsurface temperature in the ECS was higher at the beginning of Greenland stadials when the Antarctic temperatures showed the lowest values. The warming of the subsurface is likely attributed to the stronger Kuroshio transport. High peaks in the TOC and TN records coincide with the low peaks in delta O-18(inflata) (high temperature), suggesting higher primary productivity, which is in good agreement with the interpretation of the intensified Kuroshio. However, the subsurface warming was not recognized during Herinch events, indicating different temperature responses in the upper water column from other stadials. (C) 2017 Elsevier Ltd and INQUA. All rights reserved.</t>
  </si>
  <si>
    <t>[Kubota, Yoshimi; Suzuki, Nozomi] Natl Museum Nat &amp; Sci, 4-1-1 Amakubo, Tsukuba, Ibaraki 3050005, Japan; [Kimoto, Katsunori] Japan Agcy Marine Earth Sci &amp; Technol, Res Inst Global Change, 2-15 Natsushima Cho, Yokosuka, Kanagawa 2370061, Japan; [Uchida, Masao] Natl Inst Environm Studies, 16-2 Onogawa, Tsukuba, Ibaraki 3058506, Japan; [Itaki, Takuya; Ikehara, Ken] Natl Inst Adv Ind Sci &amp; Technol, Geol Survey Japan, 1-1-1 Higashi, Tsukuba, Ibaraki 3058567, Japan; [Kim, Ryoung Ah; Lee, Kyung Eun] Korea Maritime &amp; Ocean Univ, 727 Taejong Ro, Busan 49112, South Korea</t>
  </si>
  <si>
    <t>National Museum of Nature and Science; Japan Agency for Marine-Earth Science &amp; Technology (JAMSTEC); National Institute for Environmental Studies - Japan; National Institute of Advanced Industrial Science &amp; Technology (AIST); Korea Maritime &amp; Ocean University</t>
  </si>
  <si>
    <t>Kubota, Y (corresponding author), Natl Museum Nat &amp; Sci, 4-1-1 Amakubo, Tsukuba, Ibaraki 3050005, Japan.</t>
  </si>
  <si>
    <t>yoshimi@kahaku.go.jp</t>
  </si>
  <si>
    <t>Uchida, Masao/C-3673-2013; TERRA, NIES/AAW-3488-2020; Ikehara, Ken/N-2830-2018</t>
  </si>
  <si>
    <t>Ikehara, Ken/0000-0003-3906-4303; Itaki, Takuya/0000-0001-5232-0055; Lee, Kyung Eun/0000-0002-1548-9991; Kubota, Yoshimi/0000-0003-2793-6776</t>
  </si>
  <si>
    <t>Sasakawa Scientific Research Grant [27-733]; Japan Society for the Promotion of Science (JSPS) KAKENHI [23221022]; Japan Agency for Marine-Earth Science and Technology (JAMSTEC) in FY; National Museum and Nature and Science; Grants-in-Aid for Scientific Research [15H02143, 17H02959] Funding Source: KAKEN</t>
  </si>
  <si>
    <t>Sasakawa Scientific Research Grant; Japan Society for the Promotion of Science (JSPS) KAKENHI(Ministry of Education, Culture, Sports, Science and Technology, Japan (MEXT)Japan Society for the Promotion of ScienceGrants-in-Aid for Scientific Research (KAKENHI)); Japan Agency for Marine-Earth Science and Technology (JAMSTEC) in FY; National Museum and Nature and Science; Grants-in-Aid for Scientific Research(Ministry of Education, Culture, Sports, Science and Technology, Japan (MEXT)Japan Society for the Promotion of ScienceGrants-in-Aid for Scientific Research (KAKENHI))</t>
  </si>
  <si>
    <t>We are grateful to the crew of cruise YK12-15 for their coring assistance. This study was supported by the Sasakawa Scientific Research Grant (27-733) awarded to Y. Kubota, a Japan Society for the Promotion of Science (JSPS) KAKENHI grant (grant number 23221022) awarded to R. Tada, and by a grant from the Japan Agency for Marine-Earth Science and Technology (JAMSTEC) in FY 2012 and the projects of National Museum and Nature and Science, Rebuilding of Micropaleontological Reference Center-collections and Geological, biological, and anthropological histories in relation to the Kuroshio Current.</t>
  </si>
  <si>
    <t>1040-6182</t>
  </si>
  <si>
    <t>1873-4553</t>
  </si>
  <si>
    <t>QUATERN INT</t>
  </si>
  <si>
    <t>Quat. Int.</t>
  </si>
  <si>
    <t>10.1016/j.quaint.2017.06.021</t>
  </si>
  <si>
    <t>FF9QT</t>
  </si>
  <si>
    <t>WOS:000409352600001</t>
  </si>
  <si>
    <t>Poggere, GC; Melo, VD; Curi, N; Schaefer, CEGR; Francelino, MR</t>
  </si>
  <si>
    <t>Poggere, Giovana Clarice; Melo, Vander de Freitas; Curi, Nilton; Schaefer, Carlos Ernesto G. R.; Francelino, Marcio Rocha</t>
  </si>
  <si>
    <t>Adsorption and desorption of lead by low-crystallinity colloids of Antarctic soils</t>
  </si>
  <si>
    <t>APPLIED CLAY SCIENCE</t>
  </si>
  <si>
    <t>Outer-sphere adsorption; Inner-sphere adsorption; Short-range order phases; Environmental pollution; Antarctic soils</t>
  </si>
  <si>
    <t>HEAVY-METAL CONTAMINATION; SOUTH-SHETLAND ISLANDS; KING GEORGE ISLAND; ORGANIC-MATTER; SURFACE-CHARGE; CLAY-MINERALS; POTASSIUM RELEASE; PB(II) SORPTION; VOLCANIC SOILS; TRACE-METALS</t>
  </si>
  <si>
    <t>Studies on the adsorption-desorption of pollutants by soil colloids in the Antarctic are extremely important because they are related to the vulnerability of this environment. The objective of this work was to study the Pb adsorption/desorption behavior in the clay fraction without removal of organic matter of soils developed in different environments in the Keller and Barton Peninsulas, Maritime Antarctica. The quantification of short-range order phases (SROP) in the clay + organic matter (C + OM) fraction was carried out by sequential extractions with sodium pyrophosphate (PYR), ammonium oxalate (AO) and NaOH. The maximum adsorption capacity of Pb (PbMAC) in colloidal fraction was determined. Samples saturated with Pb were submitted to eight successive extractions with 0.1 mol L-1 citric acid. Kinetics desorption data were adjusted to diffusion parabolic equations (Mt/Mo = a + kt(1/2)). Values of PbMAC were positively related to SROP, mainly those extracted by PYR. Pb desorption by the C + OM fraction occurred in two stages. The first was related to Pb adsorbed to silanol-group (outer-sphere) and the second one to Pb specific adsorption in ferrol- and aluminol-groups (inner-sphere). The low recovery of adsorbed Pb indicates the predominance of inner-sphere adsorption. Soils of Antarctica are rich in SROP and have high filtering capacity for cationic pollutants, such as Pb, which is fundamental to define preservation strategies of this fragile environment.</t>
  </si>
  <si>
    <t>[Poggere, Giovana Clarice; Curi, Nilton] Univ Fed Lavras, Dept Soil Sci, BR-37200000 Lavras, MG, Brazil; [Melo, Vander de Freitas] Univ Fed Parana, Dept Soil Sci, Rua Funciondrios 1540, BR-80035050 Curitiba, Parana, Brazil; [Schaefer, Carlos Ernesto G. R.; Francelino, Marcio Rocha] Univ Fed Vicosa, Dept Soil Sci, Rua PH Rolfs, BR-36570000 Vicosa, MG, Brazil</t>
  </si>
  <si>
    <t>Universidade Federal de Lavras; Universidade Federal do Parana; Universidade Federal de Vicosa</t>
  </si>
  <si>
    <t>Poggere, GC (corresponding author), Univ Fed Lavras, Dept Soil Sci, BR-37200000 Lavras, MG, Brazil.</t>
  </si>
  <si>
    <t>gpoggere@posgrad.ufla.br</t>
  </si>
  <si>
    <t>Francelino, Marcio Rocha/AAS-4224-2020; Schaefer, Carlos Ernesto/AAY-4977-2020; Melo, Vander/I-4135-2014</t>
  </si>
  <si>
    <t>Francelino, Marcio Rocha/0000-0001-8837-1372; Poggere, Giovana Clarice/0000-0003-2434-9875; Melo, Vander/0000-0003-0761-1536</t>
  </si>
  <si>
    <t>National Council for Scientific and Technological Development (CNPq - MCT/CNPq) [23/2009]; CAPES Foundation (Brazilian Ministry of Education) [CAPES - 23038.008715/2012-21 Auxpe 2618-2012]; FAPEMIG (Research Support Foundation of Minas Gerais) [PPM 00132-14]</t>
  </si>
  <si>
    <t>National Council for Scientific and Technological Development (CNPq - MCT/CNPq)(Conselho Nacional de Desenvolvimento Cientifico e Tecnologico (CNPQ)Fundacao de Apoio a Pesquisa do Distrito Federal (FAPDF)); CAPES Foundation (Brazilian Ministry of Education)(Coordenacao de Aperfeicoamento de Pessoal de Nivel Superior (CAPES)); FAPEMIG (Research Support Foundation of Minas Gerais)(Fundacao de Amparo a Pesquisa do Estado de Minas Gerais (FAPEMIG))</t>
  </si>
  <si>
    <t>The authors are grateful to the National Council for Scientific and Technological Development (CNPq - MCT/CNPq - No 23/2009), the CAPES Foundation (Brazilian Ministry of Education) (CAPES - 23038.008715/2012-21 Auxpe 2618-2012), and to FAPEMIG (PPM 00132-14) (Research Support Foundation of Minas Gerais).</t>
  </si>
  <si>
    <t>0169-1317</t>
  </si>
  <si>
    <t>1872-9053</t>
  </si>
  <si>
    <t>APPL CLAY SCI</t>
  </si>
  <si>
    <t>Appl. Clay Sci.</t>
  </si>
  <si>
    <t>10.1016/j.clay.2017.06.020</t>
  </si>
  <si>
    <t>Chemistry, Physical; Materials Science, Multidisciplinary; Mineralogy</t>
  </si>
  <si>
    <t>Chemistry; Materials Science; Mineralogy</t>
  </si>
  <si>
    <t>FD6RG</t>
  </si>
  <si>
    <t>WOS:000407655000047</t>
  </si>
  <si>
    <t>Schmid, T; López-Martínez, J; Guillaso, S; Serrano, E; D'Hondt, O; Koch, M; Nieto, A; O'Neill, T; Mink, S; Durán, JJ; Maestro, A</t>
  </si>
  <si>
    <t>Schmid, T.; Lopez-Martinez, J.; Guillaso, S.; Serrano, E.; D'Hondt, O.; Koch, M.; Nieto, A.; O'Neill, T.; Mink, S.; Duran, J. J.; Maestro, A.</t>
  </si>
  <si>
    <t>Geomorphological mapping of ice-free areas using polarimetric RADARSAT-2 data on Fildes Peninsula and Ardley Island, Antarctica</t>
  </si>
  <si>
    <t>Periglacial; RADARSAT-2; Polarimetry; Geomorphology; Ice-free areas; South Shetland Islands</t>
  </si>
  <si>
    <t>SOUTH-SHETLAND ISLANDS; KING GEORGE ISLAND; MARITIME ANTARCTICA; CRYOSOLS; CLASSIFICATION; PERMAFROST; LANDFORMS; SOILS; DEGLACIATION; VEGETATION</t>
  </si>
  <si>
    <t>Satellite-borne Synthetic Aperture Radar (SAR) has been used for characterizing and mapping in two relevant ice-free areas in the South Shetland Islands. The objective has been to identify and characterize land surface covers that mainly include periglacial and glacial landforms, using fully polarimetric SAR C band RADARSAT-2 data, on Fildes Peninsula that forms part of King George Island. and Ardley Island. Polarimetric parameters obtained from the SAR data, a selection of field based training and validation sites and a supervised classification approach, using the support vector machine were chosen to determine the spatial distribution of the different landforms. Eight periglacial and glacial landforms were characterized according to their scattering mechanisms using a set of 48 polarimetric parameters. The mapping of the most representative surface covers included colluvial deposits, stone fields and pavements, patterned ground, glacial till and rock outcrops, lakes and glacier ice. The overall accuracy of the results was estimated at 81%, a significant value when mapping areas that are within isolated regions where access is limited. Periglacial surface covers such as stone fields and pavements occupy 25% and patterned ground over 20% of the ice-free areas. These are results that form the basis for an extensive monitoring of the ice-free areas throughout the northern Antarctic Peninsula region. (C) 2016 Elsevier B.V. All rights reserved.</t>
  </si>
  <si>
    <t>[Schmid, T.] CIEMAT, Avda Complutense 40, E-28040 Madrid, Spain; [Lopez-Martinez, J.; Nieto, A.; Mink, S.; Maestro, A.] Univ Autonoma Madrid, Fac Ciencias, Dept Geol &amp; Geoquim, E-28049 Madrid, Spain; [Guillaso, S.] UGA, CNRS, GIPSA Lab, F-38000 Grenoble, France; [Guillaso, S.; D'Hondt, O.] Tech Univ Berlin, Comp Vis &amp; Remote Sensing Grp, Marchstr 23, D-10587 Berlin, Germany; [Serrano, E.] Univ Valladolid, Dept Geog, Paseo Prado de la Magdalena S-N, E-47011 Valladolid, Spain; [Koch, M.] Boston Univ, Ctr Remote Sensing, Boston, MA 02215 USA; [O'Neill, T.] Waikato Univ, Sch Sci, Hamilton, New Zealand; [Mink, S.; Maestro, A.] Inst Geol &amp; Minero Espana, Rios Rosas 23, Madrid 28003, Spain</t>
  </si>
  <si>
    <t>Centro de Investigaciones Energeticas, Medioambientales Tecnologicas; Autonomous University of Madrid; Communaute Universite Grenoble Alpes; Institut National Polytechnique de Grenoble; Universite Grenoble Alpes (UGA); Centre National de la Recherche Scientifique (CNRS); Technical University of Berlin; Universidad de Valladolid; Boston University; University of Waikato</t>
  </si>
  <si>
    <t>Schmid, T (corresponding author), CIEMAT, Avda Complutense 40, E-28040 Madrid, Spain.</t>
  </si>
  <si>
    <t>thomas.schmid@ciemat.es; jeronimo.lopez@uam.es; stephane.guillaso@tu-berlin.de; serranoe@fyl.uva.es; olivier.dhondt@tu-berlin.de; mkoch@bu.edu; toneill@waikato.ac.nz; s.mink@igme.es; jj.duran@igme.es; a.maestro@igme.es</t>
  </si>
  <si>
    <t>Maestro, Adolfo/ABG-7268-2021; O'Neill, Tanya/AAD-3240-2020; Lopez-Martinez, Jeronimo/C-5744-2011; SERRANO, ENRIQUE/AAH-7986-2020; Schmid, Thomas/L-3397-2014; Duran, Juan/GRZ-0839-2022; Maestro Gonzalez, Adolfo/K-2434-2014; O'Neill, Tanya/I-3045-2017; Koch, Magaly/B-3467-2017</t>
  </si>
  <si>
    <t>Lopez-Martinez, Jeronimo/0000-0002-1750-8287; SERRANO, ENRIQUE/0000-0001-9760-3876; Schmid, Thomas/0000-0002-2849-4730; Guillaso, Stephane/0000-0001-9805-9390; Maestro Gonzalez, Adolfo/0000-0002-7474-725X; O'Neill, Tanya/0000-0001-8181-4249; Koch, Magaly/0000-0002-6186-1619</t>
  </si>
  <si>
    <t>Spanish RD National Plan [CTM2014-57119-R, CTM2011-26372]; Canadian Space Agency [SOAR-1376, SOAR-5169]; MDA [SOAR-1376, SOAR-5169]; Chilean Antarctic Programme</t>
  </si>
  <si>
    <t>Spanish RD National Plan(Spanish Government); Canadian Space Agency(Canadian Space Agency); MDA(Muscular Dystrophy Association); Chilean Antarctic Programme</t>
  </si>
  <si>
    <t>This work is supported by the Projects CTM2014-57119-R and CTM2011-26372 of the Spanish R&amp;D National Plan. The authors would like to gratefully thank and acknowledge the support of Canadian Space Agency and MDA for providing the satellite data by means of the Science and Operational Applications Research Program (SOAR) projects SOAR-1376 and SOAR-5169. Furthermore, the authors thank the Spanish logistic personnel and the support provided by the Chilean Antarctic Programme. The contribution of two anonymous referees, that has contributed to improve the manuscript, is also acknowledged.</t>
  </si>
  <si>
    <t>10.1016/j.geomorph.2016.09.031</t>
  </si>
  <si>
    <t>WOS:000430527000012</t>
  </si>
  <si>
    <t>Munari, C; Infantini, V; Scoponi, M; Rastelli, E; Corinaldesi, C; Mistri, M</t>
  </si>
  <si>
    <t>Munari, Cristina; Infantini, Vanessa; Scoponi, Marco; Rastelli, Eugenio; Corinaldesi, Cinzia; Mistri, Michele</t>
  </si>
  <si>
    <t>Microplastics in the sediments of Terra Nova Bay (Ross Sea, Antarctica)</t>
  </si>
  <si>
    <t>MARINE POLLUTION BULLETIN</t>
  </si>
  <si>
    <t>Microplastics; Polymer composition; Antarctica; Ross Sea; FT-IR spectroscopy</t>
  </si>
  <si>
    <t>ACCUMULATION</t>
  </si>
  <si>
    <t>This is the first survey to investigate the occurrence and extent of plastic contamination in sediments collected in Terra Nova Bay (Ross Sea, Antarctica). Plastic debris extracted from 31 samples of sediments were counted, weighted and identified by Fourier-transform infrared spectroscopy (FT-IR). All sediment samples contained plastics: a total of 1661 items of debris (3.14 g) were recorded from the 31 samples of sediment. Plastic particles in the samples ranged from 0.3 to 22 mm in length. Fibres were the most frequent type of small plastics debris detected. In terms of abundance, microplastics (&lt; 5 mm) accounted for 78.4% of debris. 9 polymer types were found: the most common material (94.13% by weight) was styrene-butadiene-styrene copolymer (SBS), widely used in pneumatic tires, etc. A decreasing concentration of plastic debris at increasing distances from the Mario Zucchelli Base was evidenced.</t>
  </si>
  <si>
    <t>[Munari, Cristina; Infantini, Vanessa; Mistri, Michele] Univ Ferrara, Dept Chem &amp; Pharmaceut Sci, Via Fossato Mortara 17, I-44121 Ferrara, Italy; [Scoponi, Marco] Univ Ferrara, Dept Chem &amp; Pharmaceut Sci, ISOF CNR, Via Fossato Mortara 17, I-44121 Ferrara, Italy; [Scoponi, Marco] Adv Polymer Mat, Via G Saragat 9, I-44122 Ferrara, Italy; [Rastelli, Eugenio] Univ Politecn Marche, Dept Life &amp; Environm Sci DISVA, Via Brecce Manche, I-60131 Ancona, Italy; [Corinaldesi, Cinzia] Univ Politecn Marche, Dept Mat Environm Sci &amp; Urban Planning SIMAU, Via Brecce Bianche, I-60131 Ancona, Italy</t>
  </si>
  <si>
    <t>University of Ferrara; University of Ferrara; Consiglio Nazionale delle Ricerche (CNR); Istituto per la Sintesi Organica e la Fotoreattivita (ISOF-CNR); Marche Polytechnic University; Marche Polytechnic University</t>
  </si>
  <si>
    <t>Mistri, M (corresponding author), Univ Ferrara, Dept Chem &amp; Pharmaceut Sci, Via Fossato Mortara 17, I-44121 Ferrara, Italy.</t>
  </si>
  <si>
    <t>msm@unife.it</t>
  </si>
  <si>
    <t>scoponi, marco/L-5912-2018</t>
  </si>
  <si>
    <t>Italian Antarctic Research Program (PNRA, 30th Antarctic Expedition) [PdR2013/AZ1.21]</t>
  </si>
  <si>
    <t>Italian Antarctic Research Program (PNRA, 30th Antarctic Expedition)</t>
  </si>
  <si>
    <t>This research was supported by the Italian Antarctic Research Program (PNRA, 30th Antarctic Expedition), within the framework of Project PdR2013/AZ1.21. The crew of the MS Malippo is acknowledged for work at sea. Two anonymous reviewers are acknowledged for constructive criticism.</t>
  </si>
  <si>
    <t>0025-326X</t>
  </si>
  <si>
    <t>1879-3363</t>
  </si>
  <si>
    <t>MAR POLLUT BULL</t>
  </si>
  <si>
    <t>Mar. Pollut. Bull.</t>
  </si>
  <si>
    <t>1-2</t>
  </si>
  <si>
    <t>10.1016/j.marpolbul.2017.06.039</t>
  </si>
  <si>
    <t>Environmental Sciences; Marine &amp; Freshwater Biology</t>
  </si>
  <si>
    <t>Environmental Sciences &amp; Ecology; Marine &amp; Freshwater Biology</t>
  </si>
  <si>
    <t>FE2WC</t>
  </si>
  <si>
    <t>WOS:000408076900029</t>
  </si>
  <si>
    <t>Soler, R; Espelta, JM; Lencinas, MV; Peri, PL; Pastur, GM</t>
  </si>
  <si>
    <t>Soler, Rosina; Maria Espelta, Josep; Lencinas, Maria V.; Peri, Pablo L.; Martinez Pastur, Guillermo</t>
  </si>
  <si>
    <t>Masting has different effects on seed predation by insects and birds in antarctic beech forests with no influence of forest management</t>
  </si>
  <si>
    <t>FOREST ECOLOGY AND MANAGEMENT</t>
  </si>
  <si>
    <t>Bird predation; Insect predation; Masting; Nothofagus; Predator satiation; Seed production</t>
  </si>
  <si>
    <t>VARIABLE RETENTION; NOTHOFAGUS-ANTARCTICA; SILVOPASTORAL SYSTEMS; EVOLUTIONARY ECOLOGY; WIND POLLINATION; PULSED RESOURCES; ACORN PREDATION; POPULATION; DYNAMICS; CLIMATE</t>
  </si>
  <si>
    <t>Mast seeding is characteristic of many long-lived tree species and widely proposed as a mechanism to reduce seed predation. However, whether the efficiency of this reproductive response may vary depending on type of seed predator (e.g., invertebrates vs. vertebrates) or depending on local characteristics, remains seldom explored. We evaluated for 8 yrs the patterns of seed production in antarctic beech (Nothofagus antarctica) forests related to management and its influence on insect and bird pre dispersal seed predation. Along the study, mature seed production was highly variable across years (the population-level coefficient of variation, CVp: 0.98-1.14) and spatially synchronized (Pearson correlation coefficient: 0.83-0.86). Forest type (primary unmanaged, secondary-growth and managed stands) did not influence the amount of seed production nor masting patterns. Mean yearly seed predation by insects was higher than by birds, and their relationship with seeding patterns differed: i.e., while the proportion of seeds predated by insects increased during non-mast years maximum bird predation occurred in mast years. Therefore, predation by insects and birds showed a strong negative relationship. Our results suggest that effectiveness of masting to escape seed predators may be highly depend on the type of predator. We address whether this effect may be due to differences in life history traits among the seed predators involved (i.e., degree of host specificity, dispersal ability or the duration of the life-cycle) and whether an imperfect control of avian seed predation may partially be advantageous for the dynamics of the masting species to enhance seed dispersal. (C) 2017 Elsevier B.V. All rights reserved.</t>
  </si>
  <si>
    <t>[Soler, Rosina; Lencinas, Maria V.; Martinez Pastur, Guillermo] Consejo Nacl Invest Cient &amp; Tecn, CADIC, Austral Ctr Sci Res, Houssay 200, RA-9410 Ushuaia, Tierra Del Fueg, Argentina; [Maria Espelta, Josep] CREAF, Cerdanyola Del Valles 08193, Catalonia, Spain; [Peri, Pablo L.] Consejo Nacl Invest Cient &amp; Tecn, Rivadavia 1917, RA-1033 Buenos Aires, Buenos Aires, Argentina; [Peri, Pablo L.] INTA EEA Santa Cruz, Mahatma Ghandi 1322, RA-9400 Rio Gallegos, Santa Cruz, Argentina; [Peri, Pablo L.] Natl Univ Austral Patagonia UNPA, Lisandro Torre 1070, RA-9400 Rio Gallegos, Santa Cruz, Argentina</t>
  </si>
  <si>
    <t>Consejo Nacional de Investigaciones Cientificas y Tecnicas (CONICET); Centro de Investigacion Ecologica y Aplicaciones Forestales (CREAF-CERCA); Consejo Nacional de Investigaciones Cientificas y Tecnicas (CONICET); Instituto Nacional de Tecnologia Agropecuaria (INTA)</t>
  </si>
  <si>
    <t>Soler, R (corresponding author), Consejo Nacl Invest Cient &amp; Tecn, CADIC, Austral Ctr Sci Res, Houssay 200, RA-9410 Ushuaia, Tierra Del Fueg, Argentina.</t>
  </si>
  <si>
    <t>rosinas@cadic-conicet.gob.ar</t>
  </si>
  <si>
    <t>Peri, Pablo Luis/ACF-3770-2022; Lencinas, Maria Vanessa/K-6208-2019; Espelta, Josep M/I-3891-2016; Martínez Pastur, Guillermo J./H-8188-2014</t>
  </si>
  <si>
    <t>Lencinas, Maria Vanessa/0000-0002-2123-3976; Martínez Pastur, Guillermo J./0000-0003-2614-5403; Soler, Rosina/0000-0002-5799-1672</t>
  </si>
  <si>
    <t>0378-1127</t>
  </si>
  <si>
    <t>1872-7042</t>
  </si>
  <si>
    <t>FOREST ECOL MANAG</t>
  </si>
  <si>
    <t>For. Ecol. Manage.</t>
  </si>
  <si>
    <t>10.1016/j.foreco.2017.06.014</t>
  </si>
  <si>
    <t>Forestry</t>
  </si>
  <si>
    <t>FC3IK</t>
  </si>
  <si>
    <t>WOS:000406732100019</t>
  </si>
  <si>
    <t>Clay, TA; Phillips, RA; Manica, A; Jackson, HA; Brooke, MD</t>
  </si>
  <si>
    <t>Clay, Thomas A.; Phillips, Richard A.; Manica, Andrea; Jackson, Hazel A.; Brooke, M. de L.</t>
  </si>
  <si>
    <t>Escaping the oligotrophic gyre? The year-round movements, foraging behaviour and habitat preferences of Murphy's petrels</t>
  </si>
  <si>
    <t>Subtropical gyre; Gadfly petrel; Pelagic ecosystem; Trans-equatorial migration; Sexual segregation; Seabird; Activity patterns; Biologging</t>
  </si>
  <si>
    <t>AT-SEA DISTRIBUTION; ZONE CHLOROPHYLL FRONT; SEABIRD COMMUNITY; SOUTH-PACIFIC; PRODUCTIVITY GRADIENT; SEXUAL SEGREGATION; ACTIVITY PATTERNS; PELAGIC SEABIRD; MIGRATION; ALBATROSSES</t>
  </si>
  <si>
    <t>The South Pacific Gyre is the world's largest expanse of oligotrophic ocean and supports communities of endemic gadfly petrels Pterodroma spp., yet little is known about their foraging ecology in this nutrient-poor environment. We tracked Murphy's petrels Pterodroma ultima with geolocators from Henderson Island, Pitcairn Islands, for 2 consecutive years (2011 to 2013). During pre-laying exodus, petrels travelled south and southwest of the colony, with males travelling further than females to more productive waters. During incubation, birds foraged at the southern and eastern edges of the Gyre, with some travelling over 4800 km from the colony, the greatest recorded foraging range of any breeding seabird. During non-breeding, the petrels migrated to the Subarctic Gyre in the North Pacific to forage in cool, mesotrophic waters. Habitat models revealed that these birds do not have clear preferences for oceanographic (such as fronts or eddies) or topographic (seamounts) features, generally favouring deep and unproductive waters. Analyses of activity patterns indicated Murphy's petrels are amongst the most active of all seabirds, particularly during incubation when they spent ca. 95% of their time at sea in flight. The birds did not appear to forage during darkness, but flight activity peaked at dawn, particularly during non-breeding, suggesting they feed on mesopelagic prey that are diel vertical migrants. At-sea protection for such a wide-ranging species would require management at huge spatial scales, and hence in the short term, the principal focus for conservation should be on eliminating the immediate threat from invasive mammals at breeding sites.</t>
  </si>
  <si>
    <t>[Clay, Thomas A.; Manica, Andrea; Brooke, M. de L.] Univ Cambridge, Dept Zool, Downing St, Cambridge CB2 3EJ, England; [Clay, Thomas A.; Phillips, Richard A.] NERC, British Antarct Survey, Madingley Rd, Cambridge CB3 0ET, England; [Jackson, Hazel A.] Univ Kent, Durrell Inst Conservat &amp; Ecol, Sch Anthropol &amp; Conservat, Marlowe Bldg, Canterbury CT2 7NR, Kent, England</t>
  </si>
  <si>
    <t>University of Cambridge; UK Research &amp; Innovation (UKRI); Natural Environment Research Council (NERC); NERC British Antarctic Survey; University of Kent</t>
  </si>
  <si>
    <t>Clay, TA (corresponding author), Univ Cambridge, Dept Zool, Downing St, Cambridge CB2 3EJ, England.;Clay, TA (corresponding author), NERC, British Antarct Survey, Madingley Rd, Cambridge CB3 0ET, England.</t>
  </si>
  <si>
    <t>thomas.a.clay@hotmail.co.uk</t>
  </si>
  <si>
    <t>Clay, Tommy/W-4867-2019; Manica, Andrea/B-5497-2008; Manica, Andrea/N-9013-2019; Jackson, Hazel/E-6257-2015</t>
  </si>
  <si>
    <t>Clay, Tommy/0000-0002-0644-6105; Manica, Andrea/0000-0003-1895-450X; Jackson, Hazel/0000-0001-9573-2025</t>
  </si>
  <si>
    <t>Natural Environment Research Council (NERC) [NE/J021083/1]; NERC; NERC [bas0100035, NE/J021083/1] Funding Source: UKRI; Natural Environment Research Council [bas0100035, 1288342] Funding Source: researchfish</t>
  </si>
  <si>
    <t>Natural Environment Research Council (NERC)(UK Research &amp; Innovation (UKRI)Natural Environment Research Council (NERC)); NERC(UK Research &amp; Innovation (UKRI)Natural Environment Research Council (NERC)); NERC(UK Research &amp; Innovation (UKRI)Natural Environment Research Council (NERC)); Natural Environment Research Council(UK Research &amp; Innovation (UKRI)Natural Environment Research Council (NERC))</t>
  </si>
  <si>
    <t>We are grateful to the Royal Society for the Protection of Birds (RSPB) and members of the Henderson Island Rat Eradication Project for logistical field support, to the Sir Peter Scott Commemorative Expedition to the Pitcairn Islands for geolocator purchase, and to Tom Churchyard and Tara Proud for retrieving loggers. We also thank Ana Bertoldi Carneiro for useful discussions, Jamie Oliver for help with the production of one of the figures, and 3 anonymous reviewers whose comments improved the manuscript. T.A.C. was supported by a studentship funded as part of the Natural Environment Research Council (NERC) Standard Grant NE/J021083/1. This study represents a contribution to the Ecosystems component of the British Antarctic Survey Polar Science for Planet Earth Programme, funded by NERC.</t>
  </si>
  <si>
    <t>SEP 14</t>
  </si>
  <si>
    <t>10.3354/meps12244</t>
  </si>
  <si>
    <t>FR5EX</t>
  </si>
  <si>
    <t>Green Accepted, Bronze, Green Submitted</t>
  </si>
  <si>
    <t>WOS:000419090800010</t>
  </si>
  <si>
    <t>Michael, PE; Thomson, R; Barbraud, C; Delord, K; De Grissac, S; Hobday, AJ; Strutton, PG; Tuck, GN; Weimerskirch, H; Wilcox, C</t>
  </si>
  <si>
    <t>Michael, P. E.; Thomson, R.; Barbraud, C.; Delord, K.; De Grissac, S.; Hobday, A. J.; Strutton, P. G.; Tuck, G. N.; Weimerskirch, H.; Wilcox, C.</t>
  </si>
  <si>
    <t>Illegal fishing bycatch overshadows climate as a driver of albatross population decline</t>
  </si>
  <si>
    <t>Demographics; Integrated population model; Illegal, unreported, and unregulated (IUU) fishing; Black-browed albatross; Thalassarche melanophris; Kerguelen Island</t>
  </si>
  <si>
    <t>BLACK-BROWED ALBATROSS; SOUTHERN-OCEAN; BREEDING PERFORMANCE; LONGLINE FISHERIES; SEABIRD MORTALITY; STOCK ASSESSMENT; FLEET DYNAMICS; INDIAN-OCEAN; TOP-PREDATOR; KERGUELEN</t>
  </si>
  <si>
    <t>Effective management of albatross populations requires understanding the impacts of environmental factors on albatross demographics. An integrated modelling approach incorporating multiple data sources can further the understanding of albatross demographics by incorporating error from all components of modeling, and help distinguish between variability related to one factor (e.g. environment) from that of another factor (e.g. density dependence). We applied such an integrated, spatially-explicit population model to quantify the impact of environmental conditions (sea surface temperature, SST), fisheries, and density dependence on a black-browed albatross Thalassarche melanophris population breeding on Kerguelen Island, southern Indian Ocean for the period 1950 to 2011. The model was structured by sex, age-class, and breeding stage, with a 5 degrees x 5 degrees spatial scale and monthly temporal scale. All parameters were estimated within a maximum likelihood framework. This includes estimation of seabird bycatch rates of each of 5 fishing super-fleets, grouped by gear type and reported bycatch rates: (1) Japanese pelagic longline, (2) other pelagic longline, (3) legal demersal longline, (4) trawl, and (5) illegal, unreported, and unregulated (IUU) demersal longline. A decline in the Kerguelen black-browed albatross population occurred between the mid-1990s through the mid-2000s. Our analysis attributes the majority of modelled bycatch to the IUU demersal longline super-fleet operating near Kerguelen Island for this period. Including SST during the incubation period indicated that warm SST favors high breeding success. These results indicate that effective management requires an integrated understanding of the impacts of the environment as well as illegal and legal fishing activities on vulnerable populations.</t>
  </si>
  <si>
    <t>[Michael, P. E.; Strutton, P. G.] Univ Tasmania, Inst Marine &amp; Antarctic Studies, Hobart, Tas 7004, Australia; [Thomson, R.; Hobday, A. J.; Tuck, G. N.; Wilcox, C.] CSIRO, Oceans &amp; Atmosphere, Hobart, Tas 7001, Australia; [Barbraud, C.; Delord, K.; De Grissac, S.; Weimerskirch, H.] Univ La Rochella, Ctr Etud Biol Chize, CNRS UMR 7372, F-79360 Villiers En Bois, France; [Strutton, P. G.] Univ Tasmania, Australian Res Council, Ctr Excellence Climate Syst Sci, Hobart, Tas 7004, Australia</t>
  </si>
  <si>
    <t>University of Tasmania; Commonwealth Scientific &amp; Industrial Research Organisation (CSIRO); Centre National de la Recherche Scientifique (CNRS); CNRS - Institute of Ecology &amp; Environment (INEE); University of Tasmania</t>
  </si>
  <si>
    <t>Michael, PE (corresponding author), Univ Tasmania, Inst Marine &amp; Antarctic Studies, Hobart, Tas 7004, Australia.</t>
  </si>
  <si>
    <t>pamela.e.michael@gmail.com</t>
  </si>
  <si>
    <t>Wilcox, Chris/A-3585-2010; Barbraud, Christophe/A-5870-2012; Weimerskirch, Henri/K-7306-2019; Hobday, Alistair/A-1460-2012; de Grissac, Sophie/Q-6666-2017; Weimerskirch, Henri/F-5562-2013; Tuck, Geoff/E-2356-2012; Strutton, Peter/C-4466-2011</t>
  </si>
  <si>
    <t>Barbraud, Christophe/0000-0003-0146-212X; Weimerskirch, Henri/0000-0002-0457-586X; Michael, Pamela/0000-0003-4420-864X; Tuck, Geoff/0000-0002-3640-6147; Strutton, Peter/0000-0002-2395-9471</t>
  </si>
  <si>
    <t>Institut Polaire Francais Paul Emile Victor [109]; Terres Australes et Antarctiques Francaises; Zone Atelier de Recherches sur l'Environnement Antarctique et Subantarctique (CNRS-INEE); National Science Foundation [1246407]</t>
  </si>
  <si>
    <t>Institut Polaire Francais Paul Emile Victor; Terres Australes et Antarctiques Francaises; Zone Atelier de Recherches sur l'Environnement Antarctique et Subantarctique (CNRS-INEE); National Science Foundation(National Science Foundation (NSF))</t>
  </si>
  <si>
    <t>We are particularly grateful to all the field workers involved in the monitoring program over the past 40 yr on the black-browed albatross at Canon des Sourcils Noirs, Kerguelen Island. The present work was supported financially and logistically by the Institut Polaire Francais Paul Emile Victor (program 109), Terres Australes et Antarctiques Francaises, Zone Atelier de Recherches sur l'Environnement Antarctique et Subantarctique (CNRS-INEE), and has been approved by the ethics committee of IPEV and by the Comite de l'Environnement Polaire. The project was partly supported by a grant to Stephanie Jenouvrier from the National Science Foundation no. 1246407. We thank D. Besson for the data management. We thank all of the organizations and individuals whom enabled or provided access to fisheries data. In particular, we thank the Service des Peches des Terres Australes et Antarctiques Francaises and the controleurs de peche for collecting the trawl effort data in the Kerguelen EEZ, and Guy Duhamel (resp.), N. Gasco, A. Martin, P. Pruvost and C. Chazeau for the management of the Pecheker database. Similarly, we thank David Ramm, Keith Reid (CCAMLR), Neville Smith, Craig Loveridge (New Zealand Ministry of Fisheries), the Australian Fisheries Management Authority (AFMA), Rob Leslie, Tracey Fairweather, Craig Smith, Saasa Pheeha (Marine and Coastal Management, South Africa), Peter Williams and Colin Millar (The Pacific Community, SPC). Additionally, we are grateful to Miguel Herrera and Gerard Domingue (Indian Ocean Tuna Commission, IOTC) for providing guidance on the use of their data. We are also grateful to the reviewers of this paper, who provided many helpful suggestions, greatly improving the manuscript.</t>
  </si>
  <si>
    <t>10.3354/meps12248</t>
  </si>
  <si>
    <t>WOS:000419090800013</t>
  </si>
  <si>
    <t>Horswill, C; Trathan, PN; Ratcliffe, N</t>
  </si>
  <si>
    <t>Horswill, Cat; Trathan, Philip N.; Ratcliffe, Norman</t>
  </si>
  <si>
    <t>Linking extreme interannual changes in prey availability to foraging behaviour and breeding investment in a marine predator, the macaroni penguin</t>
  </si>
  <si>
    <t>BREATH-HOLD DIVERS; ROCKHOPPER PENGUINS; EUDYPTES-CHRYSOLOPHUS; PROVISIONING BEHAVIOR; SOUTH GEORGIA; VARIABILITY; PERFORMANCE; CHRYSOCOME; SURVIVAL; CLIMATE</t>
  </si>
  <si>
    <t>Understanding the mechanisms that link prey availability to predator behaviour and population change is central to projecting how a species may respond to future environmental pressures. We documented the behavioural responses and breeding investment of macaroni penguins Eudyptes chrysolophus across five breeding seasons where local prey density changed by five-fold; from very low to highly abundant. When prey availability was low, foraging trips were significantly longer and extended overnight. Birds also foraged farther from the colony, potentially in order to reach more distant foraging grounds and allow for increased search times. These extended foraging trips were also linked to a marked decrease in fledgling weights, most likely associated with reduced rates of provisioning. Furthermore, by comparing our results with previous work on this population, it appears that lowered first-year survival rates associated, at least partially, with fledging masses were also evident for this cohort. This study integrates a unique set of prey density, predator behaviour and predator breeding investment data to highlight a possible behavioural mechanism linking perturbations in prey availability to population demography.</t>
  </si>
  <si>
    <t>[Horswill, Cat; Trathan, Philip N.; Ratcliffe, Norman] NERC, British Antarctic Survey, Cambridge, England; [Horswill, Cat] Univ Glasgow, Inst Biodivers Anim Hlth &amp; Comparat Med, Glasgow, Lanark, Scotland</t>
  </si>
  <si>
    <t>UK Research &amp; Innovation (UKRI); Natural Environment Research Council (NERC); NERC British Antarctic Survey; University of Glasgow</t>
  </si>
  <si>
    <t>Horswill, C (corresponding author), NERC, British Antarctic Survey, Cambridge, England.;Horswill, C (corresponding author), Univ Glasgow, Inst Biodivers Anim Hlth &amp; Comparat Med, Glasgow, Lanark, Scotland.</t>
  </si>
  <si>
    <t>Horswill, Cat/0000-0002-1795-0753</t>
  </si>
  <si>
    <t>National Environmental Research Council [NE/152797/X]; NERC PhD studentship grant [NE/I52797/X]; NERC [bas0100035] Funding Source: UKRI; Natural Environment Research Council [bas0100035] Funding Source: researchfish</t>
  </si>
  <si>
    <t>National Environmental Research Council(UK Research &amp; Innovation (UKRI)Natural Environment Research Council (NERC)); NERC PhD studentship grant; NERC(UK Research &amp; Innovation (UKRI)Natural Environment Research Council (NERC)); Natural Environment Research Council(UK Research &amp; Innovation (UKRI)Natural Environment Research Council (NERC))</t>
  </si>
  <si>
    <t>This work was supported by National Environmental Research Council, http://www.nerc.ac.uk/, Grant No. NE/152797/X. The funders had no role in study design, data collection and analysis, decision to publish, or preparation of the manuscript.; We thank the research assistants at Bird Island, South Georgia (2001-2005). We also thank Sophie Fielding for many discussions regarding krill density and distribution around South Georgia, Brendan F. Godley, Tom Hart and Jon A. Green for reading various earlier versions of this manuscript, Jason Matthiopoulos, Esther L. Jones and Debbie J. F. Russell for technical advice on early model development and coding, as well as Helen Peat and Jenny Thomas for data management. This paper is a contribution to the Ecosystems programme of the British Antarctic Survey. This analysis was funded by a NERC PhD studentship grant number NE/I52797/X.</t>
  </si>
  <si>
    <t>e0184114</t>
  </si>
  <si>
    <t>10.1371/journal.pone.0184114</t>
  </si>
  <si>
    <t>FH0VR</t>
  </si>
  <si>
    <t>WOS:000410859200032</t>
  </si>
  <si>
    <t>Grosbois, G; Mariash, H; Schneider, T; Rautio, M</t>
  </si>
  <si>
    <t>Grosbois, Guillaume; Mariash, Heather; Schneider, Tobias; Rautio, Milla</t>
  </si>
  <si>
    <t>Under-ice availability of phytoplankton lipids is key to freshwater zooplankton winter survival</t>
  </si>
  <si>
    <t>FATTY-ACID-COMPOSITION; ANTARCTIC SEA-ICE; STABLE-ISOTOPES; HERBIVOROUS ZOOPLANKTON; ALLOCHTHONOUS CARBON; ORGANIC-CARBON; EGG-PRODUCTION; TERRESTRIAL; LAKES; BACTERIA</t>
  </si>
  <si>
    <t>Shortening winter ice-cover duration in lakes highlights an urgent need for research focused on under-ice ecosystem dynamics and their contributions to whole-ecosystem processes. Low temperature, reduced light and consequent changes in autotrophic and heterotrophic resources alter the diet for long-lived consumers, with consequences on their metabolism in winter. We show in a survival experiment that the copepod Leptodiaptomus minutus in a boreal lake does not survive five months under the ice without food. We then report seasonal changes in phytoplankton, terrestrial and bacterial fatty acid (FA) biomarkers in seston and in four zooplankton species for an entire year. Phytoplankton FA were highly available in seston (2.6 mu g L-1) throughout the first month under the ice. Copepods accumulated them in high quantities (44.8 mu g mg dry weight(-1)), building lipid reserves that comprised up to 76% of body mass. Terrestrial and bacterial FA were accumulated only in low quantities (&lt;2.5 mu g mg dry weight(-1)). The results highlight the importance of algal FA reserve accumulation for winter survival as a key ecological process in the annual life cycle of the freshwater plankton community with likely consequences to the overall annual production of aquatic FA for higher trophic levels and ultimately for human consumption.</t>
  </si>
  <si>
    <t>[Grosbois, Guillaume; Mariash, Heather; Schneider, Tobias; Rautio, Milla] Univ Quebec Chicoutimi, Dept Fundamental Sci, Saguenay, PQ, Canada; [Grosbois, Guillaume; Mariash, Heather; Schneider, Tobias; Rautio, Milla] Univ Quebec Chicoutimi, Grp Interuniv Res Limnol &amp; Aquat Environm GRIL, Saguenay, PQ, Canada; [Mariash, Heather] Environm &amp; Climate Change Canada, Natl Wildlife Res Ctr, Ottawa, ON, Canada</t>
  </si>
  <si>
    <t>University of Quebec; University of Quebec Chicoutimi; University of Quebec; University of Quebec Chicoutimi; Environment &amp; Climate Change Canada; Canadian Wildlife Service; National Wildlife Research Centre - Canada</t>
  </si>
  <si>
    <t>Grosbois, G (corresponding author), Univ Quebec Chicoutimi, Dept Fundamental Sci, Saguenay, PQ, Canada.;Grosbois, G (corresponding author), Univ Quebec Chicoutimi, Grp Interuniv Res Limnol &amp; Aquat Environm GRIL, Saguenay, PQ, Canada.</t>
  </si>
  <si>
    <t>grosbois.gui@gmail.com</t>
  </si>
  <si>
    <t>Grosbois, Guillaume/M-8097-2019</t>
  </si>
  <si>
    <t>Grosbois, Guillaume/0000-0002-1306-8528; Mariash, Heather/0000-0003-2822-5917</t>
  </si>
  <si>
    <t>Natural Sciences and Engineering Research Council of Canada; Canada Research Chairs Program; Canada Foundation for Innovation; Fonds de Recherche de Quebec-Nature et Technologies</t>
  </si>
  <si>
    <t>Natural Sciences and Engineering Research Council of Canada(Natural Sciences and Engineering Research Council of Canada (NSERC)CGIAR); Canada Research Chairs Program(Canada Research Chairs); Canada Foundation for Innovation(Canada Foundation for InnovationCGIARSpanish Government); Fonds de Recherche de Quebec-Nature et Technologies</t>
  </si>
  <si>
    <t>We thank P. Carrier-Corbeil, Sonya Levesque, G. Larocque for field and lab assistance and M. Arts for helpful advice. Funding was provided by Natural Sciences and Engineering Research Council of Canada, the Canada Research Chairs Program, Canada Foundation for Innovation and the Fonds de Recherche de Quebec-Nature et Technologies. We are grateful to the Simoncouche biological station and its technician P. Nadeau for logistical help.</t>
  </si>
  <si>
    <t>10.1038/s41598-017-10956-0</t>
  </si>
  <si>
    <t>FG9DM</t>
  </si>
  <si>
    <t>WOS:000410739000041</t>
  </si>
  <si>
    <t>Garabato, ACN; MacGilchrist, GA; Brown, PJ; Evans, DG; Meijers, AJS; Zika, JD</t>
  </si>
  <si>
    <t>Garabato, Alberto C. Naveira; MacGilchrist, Graeme A.; Brown, Peter J.; Evans, D. Gwyn; Meijers, Andrew J. S.; Zika, Jan D.</t>
  </si>
  <si>
    <t>High-latitude ocean ventilation and its role in Earth's climate transitions</t>
  </si>
  <si>
    <t>PHILOSOPHICAL TRANSACTIONS OF THE ROYAL SOCIETY A-MATHEMATICAL PHYSICAL AND ENGINEERING SCIENCES</t>
  </si>
  <si>
    <t>ocean ventilation; Southern Ocean; Arctic Ocean; climate transitions</t>
  </si>
  <si>
    <t>MERIDIONAL OVERTURNING CIRCULATION; WEDDELL GYRE; SEA-ICE; MECHANISMS; PACIFIC; CLOSURE; HEAT; CO2</t>
  </si>
  <si>
    <t>The processes regulating ocean ventilation at high latitudes are re-examined based on a range of observations spanning all scales of ocean circulation, from the centimetre scales of turbulence to the basin scales of gyres. It is argued that high-latitude ocean ventilation is controlled by mechanisms that differ in fundamental ways from those that set the overturning circulation. This is contrary to the assumption of broad equivalence between the two that is commonly adopted in interpreting the role of the high-latitude oceans in Earth's climate transitions. Illustrations of how recognizing this distinction may change our view of the ocean's role in the climate system are offered. This article is part of the themed issue 'Ocean ventilation and deoxygenation in a warming world'.</t>
  </si>
  <si>
    <t>[Garabato, Alberto C. Naveira; Evans, D. Gwyn] Univ Southampton, Natl Oceanog Ctr, Ocean &amp; Earth Sci, Southampton, Hants, England; [MacGilchrist, Graeme A.] Univ Oxford, Dept Earth Sci, Oxford, England; [Brown, Peter J.] Natl Oceanog Ctr, Southampton, Hants, England; [Meijers, Andrew J. S.] British Antarctic Survey, Cambridge, England; [Zika, Jan D.] Univ New South Wales, Sch Math &amp; Stat, Sydney, NSW, Australia</t>
  </si>
  <si>
    <t>University of Southampton; NERC National Oceanography Centre; University of Oxford; NERC National Oceanography Centre; UK Research &amp; Innovation (UKRI); Natural Environment Research Council (NERC); NERC British Antarctic Survey; University of New South Wales Sydney</t>
  </si>
  <si>
    <t>Garabato, ACN (corresponding author), Univ Southampton, Natl Oceanog Ctr, Ocean &amp; Earth Sci, Southampton, Hants, England.</t>
  </si>
  <si>
    <t>acng@noc.soton.ac.uk</t>
  </si>
  <si>
    <t>Garabato, Alberto Naveira/AAQ-1114-2020; Brown, Peter/AAN-4372-2020</t>
  </si>
  <si>
    <t>Garabato, Alberto Naveira/0000-0001-6071-605X; Brown, Peter/0000-0002-1152-1114; MacGilchrist, Graeme/0000-0003-1409-8937; Zika, Jan/0000-0003-3462-3559; Evans, Dafydd Gwyn/0000-0002-6328-4093</t>
  </si>
  <si>
    <t>Royal Society; Wolfson Foundation; NERC Independent Research Fellowship; NERC [NE/E013538/1, NE/E013368/1, bas0100033, NE/E006000/1, NE/E005667/1, NE/E006663/1, NE/E005985/1, NE/E01366X/1, NE/E013341/1, NE/N018095/1, NE/E007058/1, noc010009, NE/I028939/1] Funding Source: UKRI</t>
  </si>
  <si>
    <t>Royal Society(Royal Society); Wolfson Foundation; NERC Independent Research Fellowship(UK Research &amp; Innovation (UKRI)Natural Environment Research Council (NERC)); NERC(UK Research &amp; Innovation (UKRI)Natural Environment Research Council (NERC))</t>
  </si>
  <si>
    <t>A.C.N.G. acknowledges the support of the Royal Society and the Wolfson Foundation. J.D.Z. acknowledges the support of a NERC Independent Research Fellowship.</t>
  </si>
  <si>
    <t>1364-503X</t>
  </si>
  <si>
    <t>1471-2962</t>
  </si>
  <si>
    <t>PHILOS T R SOC A</t>
  </si>
  <si>
    <t>Philos. Trans. R. Soc. A-Math. Phys. Eng. Sci.</t>
  </si>
  <si>
    <t>SEP 13</t>
  </si>
  <si>
    <t>10.1098/rsta.2016.0324</t>
  </si>
  <si>
    <t>FI7KC</t>
  </si>
  <si>
    <t>WOS:000412174600006</t>
  </si>
  <si>
    <t>Malpress, V; Bestley, S; Corney, S; Welsford, D; Labrousse, S; Sumner, M; Hindell, M</t>
  </si>
  <si>
    <t>Malpress, Veda; Bestley, Sophie; Corney, Stuart; Welsford, Dirk; Labrousse, Sara; Sumner, Michael; Hindell, Mark</t>
  </si>
  <si>
    <t>Bio-physical characterisation of polynyas as a key foraging habitat for juvenile male southern elephant seals (Mirounga leonina) in Prydz Bay, East Antarctica</t>
  </si>
  <si>
    <t>PHYTOPLANKTON DYNAMICS; ICE FORMATION; CIRCULATION; WATER; BEHAVIOR; OCEANOGRAPHY; TEMPERATURE; PREDATOR; SHELF; RATES</t>
  </si>
  <si>
    <t>Antarctic coastal polynyas are persistent open water areas in the sea ice zone, and regions of high biological productivity thought to be important foraging habitat for marine predators. This study quantified southern elephant seal(Mirounga leonina) habitat use within and around the polynyas of the Prydz Bay region (63 degrees E E - 88 E degrees E) in East Antarctica, and examined the bio-physical characteristics structuring polynyas as foraging habitat. Output from a climatological regional ocean model was used to provide context for in situ temperature-salinity vertical profiles collected by tagged elephant seals and to characterise the physical properties structuring polynyas. Biological properties were explored using remotely-sensed surface chlorophyll (Chl-a) and, qualitatively, historical fish assemblage data. Spatially gridded residence time of seals was examined in relation to habitat characteristics using generalized additive mixed models. The results showed clear polynya usage during early autumn and increasingly concentrated usage during early winter. Bathymetry, Chl-a, surface net heat flux (representing polynya location), and bottom temperature were identified as significant bio-physical predictors of the spatio-temporal habitat usage. The findings from this study confirm that the most important marine habitats for juvenile male southern elephant seals within Prydz Bay region are polynyas. A hypothesis exists regarding the seasonal evolution of primary productivity, coupling from surface to subsurface productivity and supporting elevated rates of secondary production in the upper water column during summer-autumn. An advancement to this hypothesis is proposed here, whereby this bio-physical coupling is likely to extend throughout the water column as it becomes fully convected during autumn-winter, to also promote pelagic-benthic linkages important for benthic foraging within polynyas.</t>
  </si>
  <si>
    <t>[Malpress, Veda; Bestley, Sophie; Labrousse, Sara; Hindell, Mark] Univ Tasmania, Inst Marine &amp; Antarctic Studies, Hobart, Tas, Australia; [Malpress, Veda; Bestley, Sophie; Corney, Stuart; Sumner, Michael; Hindell, Mark] Univ Tasmania, Antarctic Climate &amp; Ecosyst Cooperat Res Ctr, Hobart, Tas, Australia; [Bestley, Sophie; Welsford, Dirk; Sumner, Michael] Australian Antarctic Div, Dept Environm, Kingston, Tas, Australia; [Labrousse, Sara] UPMC Univ, Sorbonne Univ, Paris 06, LOCEAN IPSL,UMR CNRS IRD MNHN 7159, Paris, France</t>
  </si>
  <si>
    <t>University of Tasmania; University of Tasmania; Antarctic Climate &amp; Ecosystems Cooperative Research Centre (ACE CRC); Australian Antarctic Division; Museum National d'Histoire Naturelle (MNHN); Sorbonne Universite</t>
  </si>
  <si>
    <t>Malpress, V (corresponding author), Univ Tasmania, Inst Marine &amp; Antarctic Studies, Hobart, Tas, Australia.;Malpress, V (corresponding author), Univ Tasmania, Antarctic Climate &amp; Ecosyst Cooperat Res Ctr, Hobart, Tas, Australia.</t>
  </si>
  <si>
    <t>vedam@utas.edu.au</t>
  </si>
  <si>
    <t>Bestley, Sophie/AAN-2483-2021; Hindell, Mark A/K-1131-2013; Sumner, Michael D/J-3478-2013</t>
  </si>
  <si>
    <t>Bestley, Sophie/0000-0001-9342-669X; Sumner, Michael/0000-0002-2471-7511; Hindell, Mark/0000-0002-7823-7185; Welsford, Dirk/0000-0001-5379-5052; Labrousse, Sara/0000-0002-8099-3254</t>
  </si>
  <si>
    <t>Australian Government's Co-operative Research Centre's Program through Antarctic Climate and Ecosystems Cooperative Research Centre; Australia Research Council [FS110200057]; Australian Research Council [FS110200057] Funding Source: Australian Research Council</t>
  </si>
  <si>
    <t>Australian Government's Co-operative Research Centre's Program through Antarctic Climate and Ecosystems Cooperative Research Centre(Australian GovernmentDepartment of Industry, Innovation and ScienceCooperative Research Centres (CRC) Programme); Australia Research Council(Australian Research Council); Australian Research Council(Australian Research Council)</t>
  </si>
  <si>
    <t>This work was supported by the Australian Government's Co-operative Research Centre's Program through the Antarctic Climate and Ecosystems Cooperative Research Centre. S. Bestley was supported by an Australia Research Council Super Science Fellowship FS110200057. The funders had no role in study design, data collection and analysis, decision to publish, or preparation of the manuscript.</t>
  </si>
  <si>
    <t>e0184536</t>
  </si>
  <si>
    <t>10.1371/journal.pone.0184536</t>
  </si>
  <si>
    <t>FG8GZ</t>
  </si>
  <si>
    <t>Green Published, gold, Green Submitted, Green Accepted</t>
  </si>
  <si>
    <t>WOS:000410669200046</t>
  </si>
  <si>
    <t>Iverson, NA; Lieb-Lappen, R; Dunbar, NW; Obbard, R; Kim, E; Golden, E</t>
  </si>
  <si>
    <t>Iverson, Nels A.; Lieb-Lappen, Ross; Dunbar, Nelia W.; Obbard, Rachel; Kim, Ellen; Golden, Ellyn</t>
  </si>
  <si>
    <t>The first physical evidence of subglacial volcanism under the West Antarctic Ice Sheet</t>
  </si>
  <si>
    <t>CORE WD2014 CHRONOLOGY; MARIE BYRD LAND; TEPHRA LAYERS; ERUPTION; ICELAND; BENEATH; TEPHROCHRONOLOGY; DYNAMICS; INSIGHTS; SURFACE</t>
  </si>
  <si>
    <t>The West Antarctic ice sheet (WAIS) is highly vulnerable to collapsing because of increased ocean and surface temperatures. New evidence from ice core tephra shows that subglacial volcanism can breach the surface of the ice sheet and may pose a great threat to WAIS stability. Micro-CT analyses on englacial ice core tephra along with detailed shard morphology characterization and geochemical analysis suggest that two tephra layers were derived from subglacial to emergent volcanism that erupted through the WAIS. These tephra were erupted though the center of the ice sheet, deposited near WAIS Divide and preserved in the WDC06A ice core. The sources of these tephra layers were likely to be nearby subglacial volcanoes, Mt. Resnik, Mt. Thiel, and/or Mt. Casertz. A widespread increase in ice loss from WAIS could trigger positive feedback by decreasing ice mass and increasing decompression melting under the WAIS, increasing volcanism. Both tephra were erupted during the last glacial period and a widespread increase in subglacial volcanism in the future could have a considerable effect on the stability of the WAIS and resulting sea level rise.</t>
  </si>
  <si>
    <t>[Iverson, Nels A.] New Mexico Inst Min &amp; Technol, Dept Earth &amp; Environm Sci, Socorro, NM 87801 USA; [Lieb-Lappen, Ross] Vermont Tech Coll, Randolph, VT USA; [Dunbar, Nelia W.] New Mexico Inst Min &amp; Technol, New Mexico Bur Geol &amp; Mineral Resources, Socorro, NM USA; [Obbard, Rachel; Kim, Ellen; Golden, Ellyn] Dartmouth Coll, Thayer Sch Engn, Hanover, NH 03755 USA</t>
  </si>
  <si>
    <t>New Mexico Institute of Mining Technology; New Mexico Institute of Mining Technology; Dartmouth College</t>
  </si>
  <si>
    <t>Iverson, NA (corresponding author), New Mexico Inst Min &amp; Technol, Dept Earth &amp; Environm Sci, Socorro, NM 87801 USA.</t>
  </si>
  <si>
    <t>nels.iverson@student.nmt.edu</t>
  </si>
  <si>
    <t>Lieblappen, Ross/R-1081-2019; Dunbar, Nelia W./HZL-8693-2023</t>
  </si>
  <si>
    <t>Lieblappen, Ross/0000-0002-5840-7538; Dunbar, Nelia W./0000-0002-5181-937X; Obbard, Rachel/0000-0003-2532-5648; Iverson, Nels/0000-0002-7110-5040</t>
  </si>
  <si>
    <t>NSF Division of Polar Programs [PLR-1142115, 1142069, ANT-1142035]; NSF [0230396, 0440817, 0944348, 0944266]; National Science Foundation Division of Polar Programs; Directorate For Geosciences; Office of Polar Programs (OPP) [1142035] Funding Source: National Science Foundation; Office of Polar Programs (OPP); Directorate For Geosciences [1142069] Funding Source: National Science Foundation</t>
  </si>
  <si>
    <t>NSF Division of Polar Programs(National Science Foundation (NSF)NSF - Directorate for Geosciences (GEO)); NSF(National Science Foundation (NSF)); National Science Foundation Division of Polar Programs(National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</si>
  <si>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Funding for this project was provided by the NSF Division of Polar Programs through Grants PLR-1142115, 1142069 to New Mexico Tech and ANT-1142035 to Dartmouth College. The authors greatly appreciate the support of the WAIS Divide Science Coordination Office at the Desert Research Institute, Reno, NE, USA and University of New Hampshire, USA, for the collection and distribution of the WAIS Divide ice core and related tasks (NSF Grants 0230396, 0440817, 0944348; and 0944266). Thanks to Kendrick Taylor for leading the field effort that collected the ice core. The National Science Foundation Division of Polar Programs also funded the Ice Drilling Program Office (IDPO) and Ice Drilling Design and Operations (IDDO) group for coring activities; the National Ice Core Laboratory for curation of the ice core and assistance in sampling; the Antarctic Support Contractor for logistics support in Antarctica; and the 109th New York Air National Guard for airlift in Antarctica. Bill McIntosh's guidance and comments helped immensely on early drafts of the manuscript. Thanks to John Smellie and an anonymous reviewer for their thoughtful comments that greatly improved the manuscript.</t>
  </si>
  <si>
    <t>10.1038/s41598-017-11515-3</t>
  </si>
  <si>
    <t>FG8GF</t>
  </si>
  <si>
    <t>WOS:000410666900015</t>
  </si>
  <si>
    <t>Turney, CSM; Jones, RT; Phipps, SJ; Thomas, Z; Hogg, A; Kershaw, AP; Fogwill, CJ; Palmer, J; Ramsey, CB; Adolphi, F; Muscheler, R; Hughen, KA; Staff, RA; Grosvenor, M; Golledge, NR; Rasmussen, SO; Hutchinson, DK; Haberle, S; Lorrey, A; Boswijk, G; Cooper, A</t>
  </si>
  <si>
    <t>Turney, Chris S. M.; Jones, Richard T.; Phipps, Steven J.; Thomas, Zoe; Hogg, Alan; Kershaw, A. Peter; Fogwill, Christopher J.; Palmer, Jonathan; Ramsey, Christopher Bronk; Adolphi, Florian; Muscheler, Raimund; Hughen, Konrad A.; Staff, Richard A.; Grosvenor, Mark; Golledge, Nicholas R.; Rasmussen, Sune Olander; Hutchinson, David K.; Haberle, Simon; Lorrey, Andrew; Boswijk, Gretel; Cooper, Alan</t>
  </si>
  <si>
    <t>Rapid global ocean-atmosphere response to Southern Ocean freshening during the last glacial</t>
  </si>
  <si>
    <t>CORE WD2014 CHRONOLOGY; GREENLAND ICE-CORE; TIPPING POINTS; CLIMATE VARIABILITY; LATE PLEISTOCENE; WARMING EVENTS; LYNCHS CRATER; SLOWING-DOWN; ATLANTIC; CARBON</t>
  </si>
  <si>
    <t>Contrasting Greenland and Antarctic temperatures during the last glacial period (115,000 to 11,650 years ago) are thought to have been driven by imbalances in the rates of formation of North Atlantic and Antarctic Deep Water (the 'bipolar seesaw'). Here we exploit a bidecadally resolved C-14 data set obtained from New Zealand kauri (Agathis australis) to undertake high-precision alignment of key climate data sets spanning iceberg-rafted debris event Heinrich 3 and Greenland Interstadial (GI) 5.1 in the North Atlantic (similar to 30,400 to 28,400 years ago). We observe no divergence between the kauri and Atlantic marine sediment C-14 data sets, implying limited changes in deep water formation. However, a Southern Ocean (Atlantic-sector) iceberg rafted debris event appears to have occurred synchronously with GI-5.1 warming and decreased precipitation over the western equatorial Pacific and Atlantic. An ensemble of transient meltwater simulations shows that Antarctic-sourced salinity anomalies can generate climate changes that are propagated globally via an atmospheric Rossby wave train.</t>
  </si>
  <si>
    <t>[Turney, Chris S. M.; Thomas, Zoe; Fogwill, Christopher J.; Palmer, Jonathan] Univ New South Wales, Sch Biol Earth &amp; Environm Sci, Palaeontol Geobiol &amp; Earth Arch Res Ctr, Sydney, NSW 2052, Australia; [Turney, Chris S. M.; Phipps, Steven J.; Thomas, Zoe; Fogwill, Christopher J.; Palmer, Jonathan] Univ New South Wales, Sch Biol Earth &amp; Environm Sci, Climate Change Res Ctr, Sydney, NSW 2052, Australia; [Turney, Chris S. M.; Thomas, Zoe; Palmer, Jonathan] Univ New South Wales, Sch Biol Earth &amp; Environm Sci, ARC Ctr Excellence Australian Biodivers &amp; Heritag, Sydney, NSW 2052, Australia; [Jones, Richard T.; Grosvenor, Mark] Univ Exeter, Dept Geog, Exeter EX4 4RJ, Devon, England; [Phipps, Steven J.] Univ Tasmania, Inst Marine &amp; Antarctic Studies, Private Bag 129, Hobart, Tas 7001, Australia; [Hogg, Alan] Univ Waikato, Waikato Radiocarbon Lab, Private Bag 3105, Hamilton 3216, New Zealand; [Kershaw, A. Peter] Monash Univ, Sch Earth Atmosphere &amp; Environm, Clayton, Vic 3800, Australia; [Ramsey, Christopher Bronk; Staff, Richard A.] Univ Oxford, Res Lab Archaeol &amp; Hist Art, Dyson Perrins Bldg,South Parks Rd, Oxford OX1 3QY, England; [Adolphi, Florian; Muscheler, Raimund] Lund Univ, Dept Geol Quaternary Sci, S-22362 Lund, Sweden; [Adolphi, Florian] Univ Bern, Climate &amp; Environm Phys, CH-3012 Bern, Switzerland; [Hughen, Konrad A.] Woods Hole Oceanog Inst, Woods Hole, MA 02543 USA; [Staff, Richard A.] Univ Glasgow, SUERC, Rankine Ave, E Kilbride G75 0QF, Lanark, Scotland; [Golledge, Nicholas R.] Victoria Univ Wellington, Antarctic Res Ctr, Wellington 6140, New Zealand; [Golledge, Nicholas R.] GNS Sci, Lower Hutt 5011, New Zealand; [Rasmussen, Sune Olander] Univ Copenhagen, Niels Bohr Inst, Ctr Ice &amp; Climate, Juliane Maries Vej 30, DK-2100 Copenhagen, Denmark; [Hutchinson, David K.] Stockholm Univ, Bolin Ctr Climate Res, S-10691 Stockholm, Sweden; [Hutchinson, David K.] Stockholm Univ, Dept Geol Sci, S-10691 Stockholm, Sweden; [Haberle, Simon] Australian Natl Univ, Coll Asia &amp; Pacific, Dept Archaeol, Canberra, ACT 2601, Australia; [Haberle, Simon] Australian Natl Univ, Coll Asia &amp; Pacific, ARC Ctr Excellence Australian Biodivers &amp; Heritag, Canberra, ACT 2601, Australia; [Lorrey, Andrew] Natl Inst Water &amp; Atmospher Res Ltd, Auckland 1010, New Zealand; [Boswijk, Gretel] Univ Auckland, Sch Environm, Private Bag 92019, Auckland 1142, New Zealand; [Cooper, Alan] Univ Adelaide, Sch Biol Sci, Australian Ctr Ancient DNA, Adelaide, SA 5005, Australia; [Cooper, Alan] Univ Adelaide, Sch Biol Sci, ARC Ctr Excellence Australian Biodivers &amp; Heritag, Adelaide, SA 5005, Australia</t>
  </si>
  <si>
    <t>University of New South Wales Sydney; University of New South Wales Sydney; University of New South Wales Sydney; University of Exeter; University of Tasmania; University of Waikato; Monash University; University of Oxford; Lund University; University of Bern; Woods Hole Oceanographic Institution; Scottish Universities Research &amp; Reactor Center; University of Glasgow; Victoria University Wellington; GNS Science - New Zealand; University of Copenhagen; Niels Bohr Institute; Stockholm University; Stockholm University; Australian National University; Australian National University; National Institute of Water &amp; Atmospheric Research (NIWA) - New Zealand; University of Auckland; University of Adelaide; University of Adelaide</t>
  </si>
  <si>
    <t>Turney, CSM (corresponding author), Univ New South Wales, Sch Biol Earth &amp; Environm Sci, Palaeontol Geobiol &amp; Earth Arch Res Ctr, Sydney, NSW 2052, Australia.;Turney, CSM (corresponding author), Univ New South Wales, Sch Biol Earth &amp; Environm Sci, Climate Change Res Ctr, Sydney, NSW 2052, Australia.;Turney, CSM (corresponding author), Univ New South Wales, Sch Biol Earth &amp; Environm Sci, ARC Ctr Excellence Australian Biodivers &amp; Heritag, Sydney, NSW 2052, Australia.</t>
  </si>
  <si>
    <t>c.turney@unsw.edu.au</t>
  </si>
  <si>
    <t>Cooper, Alan/E-8171-2012; Hogg, Alan G/M-8427-2014; Fogwill, Chris/AAW-3502-2021; Fogwill, Christopher/HPF-1150-2023; Ramsey, Christopher Bronk/AAQ-2227-2021; Palmer, Jonathan/J-7834-2012; Hutchinson, David/F-4564-2016; Rasmussen, Sune/B-5560-2008; Rasmussen, Sune Olander/AAA-3190-2021; Haberle, Simon/U-4118-2019; CABAH, ARC/T-6419-2019; Turney, Chris/P-8701-2018; Phipps, Steven/B-3135-2008; Thomas, Zoe/D-1656-2016</t>
  </si>
  <si>
    <t>Fogwill, Chris/0000-0002-6471-1106; Ramsey, Christopher Bronk/0000-0002-8641-9309; Palmer, Jonathan/0000-0002-6665-4483; Hutchinson, David/0000-0001-9385-4782; Rasmussen, Sune Olander/0000-0002-4177-3611; Grosvenor, Mark/0000-0003-0462-0461; Golledge, Nicholas/0000-0001-7676-8970; Cooper, Alan/0000-0002-7738-7851; Staff, Richard/0000-0002-8634-014X; Haberle, Simon/0000-0001-5802-6535; Turney, Chris/0000-0001-6733-0993; Phipps, Steven/0000-0001-5657-8782; Kershaw, Peter/0000-0002-9478-0567; Muscheler, Raimund/0000-0003-2772-3631; Thomas, Zoe/0000-0002-2323-4366; Adolphi, Florian/0000-0003-0014-8753</t>
  </si>
  <si>
    <t>Australian Research Council [FL100100195, DP170104665, SR140300001]; Natural Environment Research Council [NE/H009922/1, NE/H007865/1]; NERC [NE/H009922/1, NE/H007865/1] Funding Source: UKRI; Natural Environment Research Council [NE/H007865/1, NE/H009922/1] Funding Source: researchfish; Villum Fonden [00016572] Funding Source: researchfish</t>
  </si>
  <si>
    <t>Australian Research Council(Australian Research Council);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 Villum Fonden(Villum Fonden)</t>
  </si>
  <si>
    <t>This work was funded by the Australian Research Council (FL100100195, DP170104665 and SR140300001) and the Natural Environment Research Council (NE/H009922/1 and NE/H007865/1). We thank Dr Charlotte Cook and Dr Sarah Kelloway for helping to process the Lynch's Crater samples, and Dr Christo Buizert for calculating the WD2014sync chronology.</t>
  </si>
  <si>
    <t>SEP 12</t>
  </si>
  <si>
    <t>10.1038/s41467-017-00577-6</t>
  </si>
  <si>
    <t>FG6BI</t>
  </si>
  <si>
    <t>WOS:000410452800002</t>
  </si>
  <si>
    <t>Ibáñez, JM; Díaz-Moreno, A; Prudencio, J; Zandomeneghi, D; Wilcock, W; Barclay, A; Almendros, J; Benítez, C; García-Yeguas, A; Alguacil, G</t>
  </si>
  <si>
    <t>Ibanez, Jesus M.; Diaz-Moreno, Alejandro; Prudencio, Janire; Zandomeneghi, Daria; Wilcock, William; Barclay, Andrew; Almendros, Javier; Benitez, Carmen; Garcia-Yeguas, Araceli; Alguacil, Gerardo</t>
  </si>
  <si>
    <t>Data Descriptor: Database of multi-parametric geophysical data from the TOMO-DEC experiment on Deception Island, Antarctica</t>
  </si>
  <si>
    <t>SCIENTIFIC DATA</t>
  </si>
  <si>
    <t>Article; Data Paper</t>
  </si>
  <si>
    <t>SOUTH SHETLAND ISLANDS; P-PHASE PICKING; VOLCANIC ACTIVITY; SEISMIC SERIES; EVOLUTION; SIGNALS</t>
  </si>
  <si>
    <t>Deception Island volcano (Antarctica) is one of the most closely monitored and studied volcanoes on the region. In January 2005, a multi-parametric international experiment was conducted that encompassed both Deception Island and its surrounding waters. We performed this experiment from aboard the Spanish oceanographic vessel 'Hesperides', and from five land-based locations on Deception Island (the Spanish scientific Antarctic base 'Gabriel de Castilla' and four temporary camps). This experiment allowed us to record active seismic signals using a large network of seismic stations that were deployed both on land and on the seafloor. In addition, other geophysical data were acquired, including bathymetric high precision multi-beam data, and gravimetric and magnetic profiles. To date, the seismic and bathymetric data have been analysed but the magnetic and gravimetric data have not. We provide P-wave arrival-time picks and seismic tomography results in velocity and attenuation. In this manuscript, we describe the main characteristics of the experiment, the instruments, the data, and the repositories from which data and information can be obtained. [GRAPHICS] .</t>
  </si>
  <si>
    <t>[Ibanez, Jesus M.; Diaz-Moreno, Alejandro; Prudencio, Janire; Almendros, Javier; Garcia-Yeguas, Araceli; Alguacil, Gerardo] Univ Granada, Inst Andaluz Geofis, E-18071 Granada, Spain; [Diaz-Moreno, Alejandro] Univ Liverpool, Sch Environm Sci, Liverpool L69 3GP, Merseyside, England; [Prudencio, Janire] Univ Calif Berkeley, Dept Earth &amp; Planetary Sci, Berkeley, CA 94720 USA; [Zandomeneghi, Daria] Forth Management LLP, Alpside Solut, 16 High St, Dalbeattie Dumfries Ga DG5 4AA, Scotland; [Wilcock, William] Univ Washington, Sch Oceanog, Box 357940, Seattle, WA 98195 USA; [Barclay, Andrew] Columbia Univ, Lamont Doherty Earth Observ, Palisades, NY 10964 USA; [Benitez, Carmen] Univ Granada, Dept Signal Theory Telemat &amp; Commun, E-18071 Granada, Spain; [Garcia-Yeguas, Araceli] Univ Cadiz, Dept Appl Phys, Cadiz 11519, Spain</t>
  </si>
  <si>
    <t>University of Granada; University of Liverpool; University of California System; University of California Berkeley; University of Washington; University of Washington Seattle; Columbia University; University of Granada; Universidad de Cadiz</t>
  </si>
  <si>
    <t>Ibáñez, JM (corresponding author), Univ Granada, Inst Andaluz Geofis, E-18071 Granada, Spain.</t>
  </si>
  <si>
    <t>jibanez@ugr.es</t>
  </si>
  <si>
    <t>Almendros, Javier/M-2468-2014; IBANEZ, JESUS M/G-9910-2019; Del Carmen Benitez Ortuzar, Mª/C-2424-2012; Prudencio, Janire/J-2785-2015; Diaz Moreno, Alejandro/L-5594-2014</t>
  </si>
  <si>
    <t>Almendros, Javier/0000-0001-5936-6160; IBANEZ, JESUS M/0000-0002-9846-8781; Alguacil De La Blanca, Angel Gerardo/0000-0002-0055-7365; Prudencio, Janire/0000-0003-1755-3771; Diaz Moreno, Alejandro/0000-0003-3288-3728; Wilcock, William/0000-0001-7224-7246</t>
  </si>
  <si>
    <t>MINECO/FEDER [TEC2015-68752-R]; KNOWAVES; Spanish Education and Research Ministry [REN 2001-3833, CGL2005-05789-C02-02/ANT, POL2006-08663, CGL2008-01660]; U.S. National Science Foundation [ANT-0230094, NSF-1521855]; European project MED-SUV - European Union's Seventh Framework Program [308665]; European project EPOS; European Union [676564]</t>
  </si>
  <si>
    <t>MINECO/FEDER(Spanish Government); KNOWAVES; Spanish Education and Research Ministry; U.S. National Science Foundation(National Science Foundation (NSF)); European project MED-SUV - European Union's Seventh Framework Program; European project EPOS; European Union(European Union (EU))</t>
  </si>
  <si>
    <t>We are grateful to the officers and crew of the Spanish vessels 'R/V Hesperides' and 'R/V Las Palmas', the personnel of the Marine Technology Unit (UTM), the military personnel of the 'Gabriel de Castilla' Spanish base, and the members of the TOMODEC Working Group. This manuscript has been partially funded by the following research projects: the Spanish project TEC2015-68752-R (MINECO/FEDER); KNOWAVES; the Spanish Education and Research Ministry grants REN 2001-3833, CGL2005-05789-C02-02/ANT, POL2006-08663, and CGL2008-01660; the U.S. National Science Foundation grant ANT-0230094; the European project MED-SUV funded by the European Union's Seventh Framework Program for research, technological development and demonstration under grant agreement No 308665; the European project EPOS; the European Union's Horizon 2020 research and innovation programme under grant agreement No 676564; and the U.S. National Science Foundation grant NSF-1521855 Hazard SEES project. Ocean bottom seismometers were provided by the U.S National Oceanographic Instrument Pool. This publication reflects only the authors' views. The European Commission is not responsible for any use that may be made of the information it contains.</t>
  </si>
  <si>
    <t>2052-4463</t>
  </si>
  <si>
    <t>SCI DATA</t>
  </si>
  <si>
    <t>Sci. Data</t>
  </si>
  <si>
    <t>10.1038/sdata.2017.128</t>
  </si>
  <si>
    <t>FG5XD</t>
  </si>
  <si>
    <t>WOS:000410425100003</t>
  </si>
  <si>
    <t>Münch, T; Kipfstuhl, S; Freitag, J; Meyer, H; Laepple, T</t>
  </si>
  <si>
    <t>Muench, Thomas; Kipfstuhl, Sepp; Freitag, Johannes; Meyer, Hanno; Laepple, Thomas</t>
  </si>
  <si>
    <t>Constraints on post-depositional isotope modifications in East Antarctic firn from analysing temporal changes of isotope profiles</t>
  </si>
  <si>
    <t>DRONNING-MAUD-LAND; NEAR-SURFACE SNOW; ICE-CORE RECORDS; KOHNEN STATION; STABLE-ISOTOPES; WATER ISOTOPES; CLIMATE; DIFFUSION; DEUTERIUM; PRECIPITATION</t>
  </si>
  <si>
    <t>The isotopic composition of water in ice sheets is extensively used to infer past climate changes. In low-accumulation regions their interpretation is, however, challenged by poorly constrained effects that may influence the initial isotope signal during and after deposition of the snow. This is reflected in snow-pit isotope data from Kohnen Station, Antarctica, which exhibit a seasonal cycle but also strong interannual variations that contradict local temperature observations. These inconsistencies persist even after averaging many profiles and are thus not explained by local stratigraphic noise. Previous studies have suggested that post-depositional processes may significantly influence the isotopic composition of East Antarctic firn. Here, we investigate the importance of post-depositional processes within the open-porous firn (greater than or similar to 10 cm depth) at Kohnen Station by separating spatial from temporal variability. To this end, we analyse 22 isotope profiles obtained from two snow trenches and examine the temporal isotope modifications by comparing the new data with published trench data extracted 2 years earlier. The initial isotope profiles undergo changes over time due to downward advection, firn diffusion and densification in magnitudes consistent with independent estimates. Beyond that, we find further modifications of the original isotope record to be unlikely or small in magnitude (&lt;&lt; 1 parts per thousand RMSD). These results show that the discrepancy between local temperatures and isotopes most likely originates from spatially coherent processes prior to or during deposition, such as precipitation intermittency or systematic isotope modifications acting on drifting or loose surface snow.</t>
  </si>
  <si>
    <t>[Muench, Thomas; Meyer, Hanno; Laepple, Thomas] Alfred Wegener Inst, Helmholtz Ctr Polar &amp; Marine Res, Telegrafenberg A43, D-14473 Potsdam, Germany; [Muench, Thomas] Univ Potsdam, Inst Phys &amp; Astron, Karl Liebknecht Str 24-25, D-14476 Potsdam, Germany; [Kipfstuhl, Sepp; Freitag, Johannes] Alfred Wegener Inst, Helmholtz Ctr Polar &amp; Marine Res, Alten Hafen 26, D-27568 Bremerhaven, Germany</t>
  </si>
  <si>
    <t>Helmholtz Association; Alfred Wegener Institute, Helmholtz Centre for Polar &amp; Marine Research; University of Potsdam; Helmholtz Association; Alfred Wegener Institute, Helmholtz Centre for Polar &amp; Marine Research</t>
  </si>
  <si>
    <t>Münch, T (corresponding author), Alfred Wegener Inst, Helmholtz Ctr Polar &amp; Marine Res, Telegrafenberg A43, D-14473 Potsdam, Germany.;Münch, T (corresponding author), Univ Potsdam, Inst Phys &amp; Astron, Karl Liebknecht Str 24-25, D-14476 Potsdam, Germany.</t>
  </si>
  <si>
    <t>thomas.muench@awi.de</t>
  </si>
  <si>
    <t>Meyer, Hanno/AAQ-4260-2021; Münch, Thomas/AAC-9281-2019; Laepple, Thomas/M-8783-2015</t>
  </si>
  <si>
    <t>Meyer, Hanno/0000-0003-4129-4706; Münch, Thomas/0000-0002-5492-7544; Freitag, Johannes/0000-0003-2654-9440; Laepple, Thomas/0000-0001-8108-7520</t>
  </si>
  <si>
    <t>Initiative and Networking Fund of the Helmholtz Association [VG-NH900]</t>
  </si>
  <si>
    <t>Initiative and Networking Fund of the Helmholtz Association</t>
  </si>
  <si>
    <t>We would like to thank all scientists, technicians and the logistic support who worked at Kohnen Station in the 2014/2015 austral summer, especially Holger Schubert and Tobias Binder, for assistance in creating the trench data set. Thanks are also due to Christoph Manthey of the isotope laboratory in Potsdam for assistance in measuring the isotope data. We are grateful to Gerit Birnbaum and Carleen Tijm-Reijmer for providing the AWS9 data. This work significantly benefited from discussions with Mathieu Casado and from proofreading and many valuable comments by Andrew Dolman. All plots and numerical calculations were carried out using the software R: A Language and Environment for Statistical Computing. We acknowledge the support of this work by the Initiative and Networking Fund of the Helmholtz Association Grant VG-NH900. We thank Joel Savarino for the kind handling of the manuscript and two anonymous reviewers for their constructive comments that helped to improve a first version.</t>
  </si>
  <si>
    <t>10.5194/tc-11-2175-2017</t>
  </si>
  <si>
    <t>FG6QQ</t>
  </si>
  <si>
    <t>WOS:000410512200001</t>
  </si>
  <si>
    <t>Ashton, GV; Morley, SA; Barnes, DKA; Clark, MS; Peck, LS</t>
  </si>
  <si>
    <t>Ashton, Gail V.; Morley, Simon A.; Barnes, David K. A.; Clark, Melody S.; Peck, Lloyd S.</t>
  </si>
  <si>
    <t>Warming by 1°C Drives Species and Assemblage Level Responses in Antarctica's Marine Shallows</t>
  </si>
  <si>
    <t>CURRENT BIOLOGY</t>
  </si>
  <si>
    <t>CLIMATE-CHANGE; ECOSYSTEM; BIODIVERSITY; TEMPERATURE; COMMUNITY; IMPACTS; GROWTH; SIZE; REORGANIZATION; ACIDIFICATION</t>
  </si>
  <si>
    <t>Forecasting assemblage-level responses to climate change remains one of the greatest challenges in global ecology [1, 2]. Data from the marine realm are limited because they largely come from experiments using limited numbers of species [3], mesocosms whose interior conditions are unnatural [4], and long-term correlation studies based on historical collections [5]. We describe the first ever experiment to warm benthic assemblages to ecologically relevant levels in situ. Heated settlement panels were used to create three test conditions: ambient and 1 degrees C and 2 degrees C above ambient (predicted in the next 50 and 100 years, respectively [6]). We observed massive impacts on a marine assemblage, with near doubling of growth rates of Antarctic seabed life. Growth increases far exceed those expected from biological temperature relationships established more than 100 years ago by Arrhenius. These increases in growth resulted in a single r-strategist'' pioneer species (the bryozoan Fenestrulina rugula) dominating seabed spatial cover and drove a reduction in overall diversity and evenness. In contrast, a 2 degrees C rise produced divergent responses across species growth, resulting in higher variability in the assemblage. These data extend our ability to expand, integrate, and apply our knowledge of the impact of temperature on biological processes to predict organism, species, and ecosystem level ecological responses to regional warming.</t>
  </si>
  <si>
    <t>[Ashton, Gail V.; Morley, Simon A.; Barnes, David K. A.; Clark, Melody S.; Peck, Lloyd S.] British Antarctic Survey, Nat Environm Res Council, Madingley Rd, Cambridge CB3 OET, England; [Ashton, Gail V.] Smithsonian Environm Res Ctr, 3150 Paradise Dr, Tiburon, CA 94920 USA</t>
  </si>
  <si>
    <t>UK Research &amp; Innovation (UKRI); Natural Environment Research Council (NERC); NERC British Antarctic Survey; Smithsonian Institution; Smithsonian Environmental Research Center</t>
  </si>
  <si>
    <t>Ashton, GV; Morley, SA (corresponding author), British Antarctic Survey, Nat Environm Res Council, Madingley Rd, Cambridge CB3 OET, England.;Ashton, GV (corresponding author), Smithsonian Environm Res Ctr, 3150 Paradise Dr, Tiburon, CA 94920 USA.</t>
  </si>
  <si>
    <t>ashtong@si.edu; smor@bas.ac.uk</t>
  </si>
  <si>
    <t>Clark, Melody/D-7371-2014</t>
  </si>
  <si>
    <t>Clark, Melody/0000-0002-3442-3824; Ashton, Gail/0000-0001-5884-3383</t>
  </si>
  <si>
    <t>NERC [NE/J007501/1]; NERC [dml011000, bas0100036, NE/J007501/1] Funding Source: UKRI; Natural Environment Research Council [NE/J007501/1, bas0100036, dml011000] Funding Source: researchfish</t>
  </si>
  <si>
    <t>Thanks to Mark Preston for development of the settlement panels and technical advice and to T. Souster, L. Villota-Nieva, the Rothera marine team members 2013-2015, and Rothera Research Station assemblage for project support. We thank the anonymous reviewers for their suggested improvements to the manuscript. This work was funded by NERC standard grant no. NE/J007501/1.</t>
  </si>
  <si>
    <t>CELL PRESS</t>
  </si>
  <si>
    <t>50 HAMPSHIRE ST, FLOOR 5, CAMBRIDGE, MA 02139 USA</t>
  </si>
  <si>
    <t>0960-9822</t>
  </si>
  <si>
    <t>1879-0445</t>
  </si>
  <si>
    <t>CURR BIOL</t>
  </si>
  <si>
    <t>Curr. Biol.</t>
  </si>
  <si>
    <t>SEP 11</t>
  </si>
  <si>
    <t>10.1016/j.cub.2017.07.048</t>
  </si>
  <si>
    <t>Biochemistry &amp; Molecular Biology; Biology; Cell Biology</t>
  </si>
  <si>
    <t>Biochemistry &amp; Molecular Biology; Life Sciences &amp; Biomedicine - Other Topics; Cell Biology</t>
  </si>
  <si>
    <t>FG4CX</t>
  </si>
  <si>
    <t>hybrid, Green Accepted</t>
  </si>
  <si>
    <t>WOS:000410175200049</t>
  </si>
  <si>
    <t>Wu, J; Guo, J; Zhang, S; Gong, YM; Zhang, H</t>
  </si>
  <si>
    <t>Wu Jing; Guo Jing; Zhang Sen; Gong Yumei; Zhang Hong</t>
  </si>
  <si>
    <t>Correlativity of Characterization for Sodium Alginate/ Antarctic Krill Protein by Salt Concentration</t>
  </si>
  <si>
    <t>CHEMICAL JOURNAL OF CHINESE UNIVERSITIES-CHINESE</t>
  </si>
  <si>
    <t>Sodium alginate/ Antarctic krill protein composite fiber; Bleng system; Wet spinning; Sconcentration(NaCl) concentration</t>
  </si>
  <si>
    <t>HYDROGEL; FIBERS</t>
  </si>
  <si>
    <t>Sodium alginate/antarctic krill protein composite material (SA/AKP) was obtained by wet spinning. The hydrogen bonds of SA/AKP composite material were analyzed by Fourier transform infrared spectroscopy(FTIR), the effects of salt concentration on the crystallinity, fluidity and morphology of the composite material were studied by XRD, rheometer and SEM. Experiment manifested the existence of intramolecular and intermolecular hydrogen bonds in SA/AKP system. The strength of intermolecular hydrogen bonds was enhanced with the increase of NaCl in the composite material. At the same time, the increase of salt concentration led to SA/AKP composite material' s crystallinity increasing, the rheological properties decreasing at first and then increasing, and mechanical properties increasing at first and then decreasing. SA/AKP fiber SEM images showed that crystallized salt was separated from the fiber, and the surface structure of the composite fiber gradually decreased and became denser and smoother. Finally, AKP was completely oriented in the SA/AKP composite system.</t>
  </si>
  <si>
    <t>[Wu Jing; Guo Jing; Zhang Sen; Gong Yumei; Zhang Hong] Dalian Polytech Univ, Sch Text &amp; Engn, Dalian 116034, Peoples R China; [Guo Jing; Zhang Sen; Gong Yumei; Zhang Hong] Funct Fiber &amp; Its Composite Mat Engn Technol Res, Dalian 116034, Peoples R China</t>
  </si>
  <si>
    <t>Dalian Polytechnic University</t>
  </si>
  <si>
    <t>Guo, J (corresponding author), Dalian Polytech Univ, Sch Text &amp; Engn, Dalian 116034, Peoples R China.;Guo, J (corresponding author), Funct Fiber &amp; Its Composite Mat Engn Technol Res, Dalian 116034, Peoples R China.</t>
  </si>
  <si>
    <t>guojing8161@163.com</t>
  </si>
  <si>
    <t>zhang, sen/GXH-3513-2022; Zhang, Sen/HKW-2973-2023</t>
  </si>
  <si>
    <t>Zhang, Sen/0000-0001-7429-7300</t>
  </si>
  <si>
    <t>National Natural Science Foundation of China [51373027]; Natural Science Found of Liaoning Province, China [2015020221]</t>
  </si>
  <si>
    <t>National Natural Science Foundation of China(National Natural Science Foundation of China (NSFC)); Natural Science Found of Liaoning Province, China</t>
  </si>
  <si>
    <t>Supported by the National Natural Science Foundation of China(No.51373027) and the Natural Science Found of Liaoning Province, China (No.2015020221).</t>
  </si>
  <si>
    <t>HIGHER EDUCATION PRESS</t>
  </si>
  <si>
    <t>NO 4 DEWAI DAJIE, BEIJING 100120, PEOPLES R CHINA</t>
  </si>
  <si>
    <t>0251-0790</t>
  </si>
  <si>
    <t>CHEM J CHINESE U</t>
  </si>
  <si>
    <t>Chem. J. Chin. Univ.-Chin.</t>
  </si>
  <si>
    <t>SEP 10</t>
  </si>
  <si>
    <t>10.7503/cjcu20170015</t>
  </si>
  <si>
    <t>Chemistry, Multidisciplinary</t>
  </si>
  <si>
    <t>FG8KT</t>
  </si>
  <si>
    <t>WOS:000410680800029</t>
  </si>
  <si>
    <t>Priester, CR; Melbourne-Thomas, J; Klocker, A; Corney, S</t>
  </si>
  <si>
    <t>Priester, C. Robert; Melbourne-Thomas, Jessica; Klocker, Andreas; Corney, Stuart</t>
  </si>
  <si>
    <t>Abrupt transitions in dynamics of a NPZD model across Southern Ocean fronts</t>
  </si>
  <si>
    <t>ECOLOGICAL MODELLING</t>
  </si>
  <si>
    <t>NPZD model; Southern ocean; Circumpolar fronts; Optimal control; System limitation</t>
  </si>
  <si>
    <t>PHOTOSYNTHESIS-IRRADIANCE RELATIONSHIPS; PHYSICAL-BIOLOGICAL MODEL; ANTARCTIC POLAR FRONT; PARAMETER OPTIMIZATION; PHYTOPLANKTON GROWTH; IRON HYPOTHESIS; ECOSYSTEM MODEL; CARBON-DIOXIDE; NORTH-ATLANTIC; LIGHT</t>
  </si>
  <si>
    <t>The Southern Ocean is the largest high nutrient, low chlorophyll region in the global ocean and is subject to strong iron limitation. Iron availability is associated with the interaction between the Antarctic Circumpolar Current (ACC) and topographic features such as the Kerguelen Plateau in the Indian Sector of the Southern Ocean. The fronts of the ACC also provide important environmental delineations for Southern Ocean ecosystem structure. Here, we implement a NPZD (nitrogen, phytoplankton, zooplankton, detritus) model together with an optimal control algorithm along three meridional transects across the Antarctic Circumpolar Current. Our study represents the first spatial application of this model, and considers potential environmental drivers of parameter variability and community dynamics. In iron-limited open ocean regions, this model captures seasonal processes well but does not converge in more complex regions, such as the iron fertilized Kerguelen Plateau and sea ice areas. All variables show marked meridional changes, which are likely associated with the fronts of the Antarctic Circumpolar Current. This technique indicates that the different bodies of water associated with the circumpolar current exhibit different ecosystem dynamics, a result that is likely caused by distinct NPZD communities. Overall, our findings contribute to broadscale understanding of the drivers of lower trophic level ecosystem dynamics across physical boundaries in the Indian Sector of the Southern Ocean, and can be used to help guide further modelling efforts. (C) 2017 Elsevier B.V. All rights reserved.</t>
  </si>
  <si>
    <t>[Priester, C. Robert] Christian Albrechts Univ Kiel, Christian Albrechts Pl 4, D-24118 Kiel, Germany; [Priester, C. Robert; Melbourne-Thomas, Jessica; Corney, Stuart] Univ Tasmania, Antarctic Climate &amp; Ecosyst Cooperat Res Ctr, Private Bag 80, Hobart, Tas 7001, Australia; [Melbourne-Thomas, Jessica] Australian Antarctic Div, 203 Channel Highway, Kingston, Tas 7050, Australia; [Klocker, Andreas] Univ Tasmania, Inst Marine &amp; Antarctic Studies, Private Bag 129, Hobart, Tas 7001, Australia</t>
  </si>
  <si>
    <t>University of Kiel; Antarctic Climate &amp; Ecosystems Cooperative Research Centre (ACE CRC); University of Tasmania; Australian Antarctic Division; University of Tasmania</t>
  </si>
  <si>
    <t>Priester, CR (corresponding author), Christian Albrechts Univ Kiel, Christian Albrechts Pl 4, D-24118 Kiel, Germany.</t>
  </si>
  <si>
    <t>robert.priester@posteo.de</t>
  </si>
  <si>
    <t>Melbourne-Thomas, Jess/N-2437-2019; Klocker, Andreas/E-4632-2011</t>
  </si>
  <si>
    <t>Melbourne-Thomas, Jess/0000-0001-6585-876X; Klocker, Andreas/0000-0002-2038-7922; Priester, Carl Robert/0000-0001-6127-7319</t>
  </si>
  <si>
    <t>Australian Government's Cooperative Research Centres Programme through the Antarctic Climate and Ecosystems Cooperative Research Centre (ACE CRC); Australian Research Council Discovery Early Career Researcher Award [DE140100076]; Australian Research Council [DE140100076] Funding Source: Australian Research Council</t>
  </si>
  <si>
    <t>Australian Government's Cooperative Research Centres Programme through the Antarctic Climate and Ecosystems Cooperative Research Centre (ACE CRC)(Australian GovernmentDepartment of Industry, Innovation and ScienceCooperative Research Centres (CRC) Programme); Australian Research Council Discovery Early Career Researcher Award(Australian Research Council); Australian Research Council(Australian Research Council)</t>
  </si>
  <si>
    <t>This work was supported by the Australian Government's Cooperative Research Centres Programme through the Antarctic Climate and Ecosystems Cooperative Research Centre (ACE CRC). Andreas 'Cocker was supported by an Australian Research Council Discovery Early Career Researcher Award (DE140100076). The daily Sea Surface Temperature Data Set was provided by the NASA Goddard Space Flight Center, Ocean Ecology Laboratory, Ocean Biology Processing Group; (2014): Terra MODIS Sea Surface Temperature (11 Nighttime), Ocean Color Data, NASA OB.DAAC. http://oceancolor.gsfc.nasa.govicgi/13 - accessed on 2016/02/29. SRA - NCEP Reanalysis data provided by the NOAA/OAR/ESRL PSD, Boulder, Colorado, USA, from their web site at http://www.esrl.noaa.gov/psd/.</t>
  </si>
  <si>
    <t>0304-3800</t>
  </si>
  <si>
    <t>1872-7026</t>
  </si>
  <si>
    <t>ECOL MODEL</t>
  </si>
  <si>
    <t>Ecol. Model.</t>
  </si>
  <si>
    <t>10.1016/j.ecolmodel.2017.05.030</t>
  </si>
  <si>
    <t>FF8SG</t>
  </si>
  <si>
    <t>WOS:000409287500032</t>
  </si>
  <si>
    <t>Goedegebuure, M; Melbourne-Thomas, J; Corney, SP; Hindell, MA; Constable, AJ</t>
  </si>
  <si>
    <t>Goedegebuure, Merel; Melbourne-Thomas, Jessica; Corney, Stuart P.; Hindell, Mark A.; Constable, Andrew J.</t>
  </si>
  <si>
    <t>Beyond big fish: The case for more detailed representations of top predators in marine ecosystem models</t>
  </si>
  <si>
    <t>Marine ecosystem modelling; Top predators; End-to-end ecosystem models; Individual-based models; Dynamic energy budget theory</t>
  </si>
  <si>
    <t>SKIPJACK TUNA DYNAMICS; STRUCTURED ENERGY-FLOW; COMMUNITY STRUCTURE; OCEAN ECOSYSTEMS; CLIMATE-CHANGE; BUDGET THEORY; INDIAN-OCEAN; FORAGE FISH; END MODELS; APECOSM-E</t>
  </si>
  <si>
    <t>Seabirds and marine mammals are generally not well represented in marine ecosystem models, despite the important roles that these groups play in determining ecosystem dynamics. This is an important gap in model development, particularly for end-to-end ecosystem models, which are becoming increasingly important tools for fisheries and ecosystem based management and assessment. Examination of large-scale and widely-applied pelagic end-to-end ecosystem models indicates that representations of predators are currently best developed for fish groups. The methods for modelling seabirds and marine mammals on the other hand, are less well developed. This is potentially due to the challenges involved in data collection and in representing the complex life histories of many of these species. To examine the effect that different representations of higher trophic level predators might have on ecosystem model predictions, we developed a set of simple nested qualitative network models and examined their responses to perturbations. Responses differed between models across a range of trophic levels under a simple scenario for environmental change, highlighting that how predators are modelled can have implications for ecosystem-level predictions. We conclude with a discussion around potential approaches for developing more detailed representations of predator groups, and suggest incorporating dynamic energy budget theory in individual-based models to represent higher trophic level predators with more complex life histories. (C) 2017 Elsevier B.V. All rights reserved.</t>
  </si>
  <si>
    <t>[Goedegebuure, Merel; Hindell, Mark A.] Univ Tasmania, Inst Marine &amp; Antarctic Studies, Private Bag 129, Hobart, Tas 7000, Australia; [Goedegebuure, Merel; Melbourne-Thomas, Jessica; Corney, Stuart P.; Hindell, Mark A.; Constable, Andrew J.] Univ Tasmania, Antarctic Climate &amp; Ecosyst Cooperat Res Ctr, Private Bag 80, Hobart, Tas 7000, Australia; [Melbourne-Thomas, Jessica; Constable, Andrew J.] Australian Antarctic Div, Channel Highway, Kingston, Tas 7050, Australia</t>
  </si>
  <si>
    <t>University of Tasmania; University of Tasmania; Antarctic Climate &amp; Ecosystems Cooperative Research Centre (ACE CRC); Australian Antarctic Division</t>
  </si>
  <si>
    <t>Goedegebuure, M (corresponding author), Univ Tasmania, Inst Marine &amp; Antarctic Studies, Private Bag 129, Hobart, Tas 7000, Australia.</t>
  </si>
  <si>
    <t>merel.goedegebuure@utas.edu.au; jess.melbourne-thomas@aad.gov.au; stuart.corney@utas.edu.au; mark.hindell@utas.edu.au; andrew.constable@aad.gov.au</t>
  </si>
  <si>
    <t>Hindell, Mark A/K-1131-2013; Melbourne-Thomas, Jess/N-2437-2019</t>
  </si>
  <si>
    <t>Melbourne-Thomas, Jess/0000-0001-6585-876X; Hindell, Mark/0000-0002-7823-7185; Goedegebuure, Merel/0000-0002-9129-888X</t>
  </si>
  <si>
    <t>Australian Government's Cooperative Research Centres Programme through the Antarctic Climate AMP; Ecosystem Cooperative Research Centre; Institute for Marine and Antarctic Studies, through the Australian Antarctic Science Program [4347]; Institute for Marine and Antarctic Studies through an Australian Government Research Training Program Scholarship</t>
  </si>
  <si>
    <t>Australian Government's Cooperative Research Centres Programme through the Antarctic Climate AMP; Ecosystem Cooperative Research Centre; Institute for Marine and Antarctic Studies, through the Australian Antarctic Science Program; Institute for Marine and Antarctic Studies through an Australian Government Research Training Program Scholarship</t>
  </si>
  <si>
    <t>We would like to thank Dr. Martin Marzloff, Dr. Alistair Hobday and Dr. Simon Wotherspoon for their comments and suggestions during the development of this manuscript, and the anonymous reviewers for their valuable comments on previous versions of this manuscript. This study was supported by the Australian Government's Cooperative Research Centres Programme through the Antarctic Climate &amp; Ecosystem Cooperative Research Centre, the Institute for Marine and Antarctic Studies, through the Australian Antarctic Science Program, project #4347, and through an Australian Government Research Training Program Scholarship.</t>
  </si>
  <si>
    <t>10.1016/j.ecolmodel.2017.04.004</t>
  </si>
  <si>
    <t>WOS:000409287500014</t>
  </si>
  <si>
    <t>Wohltmann, I; Lehmann, R; Rex, M</t>
  </si>
  <si>
    <t>Wohltmann, Ingo; Lehmann, Ralph; Rex, Markus</t>
  </si>
  <si>
    <t>A quantitative analysis of the reactions involved in stratospheric ozone depletion in the polar vortex core</t>
  </si>
  <si>
    <t>LAGRANGIAN CHEMISTRY; ANTARCTIC OZONE; MODEL; CHLORINE; VARIABILITY; SIMULATION; MLS; HCL; UNCERTAINTIES; VALIDATION</t>
  </si>
  <si>
    <t>We present a quantitative analysis of the chemical reactions involved in polar ozone depletion in the stratosphere and of the relevant reaction pathways and cycles. While the reactions involved in polar ozone depletion are well known, quantitative estimates of the importance of individual reactions or reaction cycles are rare. In particular, there is no comprehensive and quantitative study of the reaction rates and cycles averaged over the polar vortex under conditions of heterogeneous chemistry so far. We show time series of reaction rates averaged over the core of the polar vortex in winter and spring for all relevant reactions and indicate which reaction pathways and cycles are responsible for the vortex-averaged net change of the key species involved in ozone depletion, i.e., ozone, chlorine species (ClOx, HCl, ClONO2), bromine species, nitrogen species (HNO3, NOx) and hydrogen species (HOx). For clarity, we focus on one Arctic winter (2004-2005) and one Antarctic winter (2006) in a layer in the lower stratosphere around 54 hPa and show results for additional pressure levels and winters in the Supplement. Mixing ratios and reaction rates are obtained from runs of the ATLAS Lagrangian chemistry and transport model (CTM) driven by the European Centre for Medium-Range Weather Forecasts (ECMWF) ERA(I)nterim reanalysis data. An emphasis is put on the partitioning of the relevant chemical families (nitrogen, hydrogen, chlorine, bromine and odd oxygen) and activation and deactivation of chlorine.</t>
  </si>
  <si>
    <t>[Wohltmann, Ingo; Lehmann, Ralph; Rex, Markus] Alfred Wegener Inst Polar &amp; Marine Res, Potsdam, Germany</t>
  </si>
  <si>
    <t>Helmholtz Association; Alfred Wegener Institute, Helmholtz Centre for Polar &amp; Marine Research</t>
  </si>
  <si>
    <t>Wohltmann, I (corresponding author), Alfred Wegener Inst Polar &amp; Marine Res, Potsdam, Germany.</t>
  </si>
  <si>
    <t>ingo.wohltmann@awi.de</t>
  </si>
  <si>
    <t>Rex, Markus/A-6054-2009; Wohltmann, Ingo/C-1301-2010</t>
  </si>
  <si>
    <t>Rex, Markus/0000-0001-7847-8221; Wohltmann, Ingo/0000-0003-4606-6788</t>
  </si>
  <si>
    <t>BMBF under the FAST-O3 project in the MiKliP framework program [FKZ 01LP1137A]; BMBF under the FAST-O3 project in the MiKliP II program [FKZ 01LP1517E]; European Community's Seventh Framework Programme (FP7) [603557]</t>
  </si>
  <si>
    <t>BMBF under the FAST-O3 project in the MiKliP framework program; BMBF under the FAST-O3 project in the MiKliP II program; European Community's Seventh Framework Programme (FP7)(European Union (EU))</t>
  </si>
  <si>
    <t>This work was supported by the BMBF under the FAST-O3 project in the MiKliP framework program (FKZ 01LP1137A) and in the MiKliP II program (FKZ 01LP1517E). This research has received funding from the European Community's Seventh Framework Programme (FP7/2007-2013) under grant agreement no. 603557 (StratoClim). We thank Peter von der Gathen for providing the Ny-Alesund temperature analysis. We thank ECMWF for providing the reanalysis data.</t>
  </si>
  <si>
    <t>SEP 8</t>
  </si>
  <si>
    <t>10.5194/acp-17-10535-2017</t>
  </si>
  <si>
    <t>FG2VC</t>
  </si>
  <si>
    <t>WOS:000409983100002</t>
  </si>
  <si>
    <t>McMinn, A</t>
  </si>
  <si>
    <t>McMinn, Andrew</t>
  </si>
  <si>
    <t>Reviews and syntheses: Ice acidification, the effects of ocean acidification on sea ice microbial communities</t>
  </si>
  <si>
    <t>BIOGEOSCIENCES</t>
  </si>
  <si>
    <t>CARBON ACQUISITION; CLIMATE-CHANGE; CONCENTRATING MECHANISMS; PHYSIOLOGICAL-RESPONSES; BELLINGSHAUSEN SEA; IRON AVAILABILITY; MCMURDO SOUND; GROWTH; DIATOM; ALGAL</t>
  </si>
  <si>
    <t>Sea ice algae, like some coastal and estuarine phytoplankton, are naturally exposed to a wider range of pH and CO2 concentrations than those in open marine seas. While climate change and ocean acidification (OA) will impact pelagic communities, their effects on sea ice microbial communities remain unclear. Sea ice contains several distinct microbial communities, which are exposed to differing environmental conditions depending on their depth within the ice. Bottom communities mostly experience relatively benign bulk ocean properties, while interior brine and surface (infiltration) communities experience much greater extremes. Most OA studies have examined the impacts on single sea ice algae species in culture. Although some studies examined the effects of OA alone, most examined the effects of OA and either light, nutrients or temperature. With few exceptions, increased CO2 concentration caused either no change or an increase in growth and/or photosynthesis. In situ studies on brine and surface algae also demonstrated a wide tolerance to increased and decreased pH and showed increased growth at higher CO2 concentrations. The short time period of most experiments (&lt; 10 days), together with limited genetic diversity (i.e. use of only a single strain), however, has been identified as a limitation to a broader interpretation of the results. While there have been few studies on the effects of OA on the growth of marine bacterial communities in general, impacts appear to be minimal. In sea ice also, the few reports available suggest no negative impacts on bacterial growth or community richness. Sea ice ecosystems are ephemeral, melting and re-forming each year. Thus, for some part of each year organisms inhabiting the ice must also survive outside of the ice, either as part of the phytoplankton or as resting spores on the bottom. During these times, they will be exposed to the full range of co-stressors that pelagic organisms experience. Their ability to continue to make a major contribution to sea ice productivity will depend not only on their ability to survive in the ice but also on their ability to survive the increasing seawater temperatures, changing distribution of nutrients and declining pH forecast for the water column over the next centuries.</t>
  </si>
  <si>
    <t>[McMinn, Andrew] Univ Tasmania, Inst Marine &amp; Antarctic Sci, Hobart, Tas 7001, Australia</t>
  </si>
  <si>
    <t>McMinn, A (corresponding author), Univ Tasmania, Inst Marine &amp; Antarctic Sci, Hobart, Tas 7001, Australia.</t>
  </si>
  <si>
    <t>andrew.mcminn@utas.edu.au</t>
  </si>
  <si>
    <t>McMinn, Andrew/A-9910-2008</t>
  </si>
  <si>
    <t>Australian Antarctic Science Grants programme; Antarctic Gateway Partnership</t>
  </si>
  <si>
    <t>Australian Antarctic Science Grants programme and Antarctic Gateway Partnership are acknowledged for their continuous financial support for sea ice research in general and for this review in particular.</t>
  </si>
  <si>
    <t>1726-4170</t>
  </si>
  <si>
    <t>1726-4189</t>
  </si>
  <si>
    <t>Biogeosciences</t>
  </si>
  <si>
    <t>10.5194/bg-14-3927-2017</t>
  </si>
  <si>
    <t>Ecology; Geosciences, Multidisciplinary</t>
  </si>
  <si>
    <t>Environmental Sciences &amp; Ecology; Geology</t>
  </si>
  <si>
    <t>FG1TD</t>
  </si>
  <si>
    <t>WOS:000409818800001</t>
  </si>
  <si>
    <t>Schiermeier, Q</t>
  </si>
  <si>
    <t>Schiermeier, Quirin</t>
  </si>
  <si>
    <t>Climate trial heats up Antarctic sea bed</t>
  </si>
  <si>
    <t>News Item</t>
  </si>
  <si>
    <t>NATURE RESEARCH</t>
  </si>
  <si>
    <t>SEP 7</t>
  </si>
  <si>
    <t>10.1038/nature.2017.22543</t>
  </si>
  <si>
    <t>FG0DH</t>
  </si>
  <si>
    <t>WOS:000409388700009</t>
  </si>
  <si>
    <t>Katlein, C; Hendricks, S; Key, J</t>
  </si>
  <si>
    <t>Katlein, Christian; Hendricks, Stefan; Key, Jeffrey</t>
  </si>
  <si>
    <t>Brief communication: Increasing shortwave absorption over the Arctic Ocean is not balanced by trends in the Antarctic</t>
  </si>
  <si>
    <t>SEA-ICE EXPANSION; ALBEDO; SNOW</t>
  </si>
  <si>
    <t>On the basis of a new, consistent, long-term observational satellite dataset we show that, despite the observed increase of sea ice extent in the Antarctic, absorption of solar shortwave radiation in the Southern Ocean poleward of 60 degrees latitude is not decreasing. The observations hence show that the small increase in Antarctic sea ice extent does not compensate for the combined effect of retreating Arctic sea ice and changes in cloud cover, which both result in a total increase in solar shortwave energy deposited into the polar oceans.</t>
  </si>
  <si>
    <t>[Katlein, Christian; Hendricks, Stefan] Alfred Wegener Inst, Helmholtz Zentrum Polar &amp; Meeresforsch, D-27570 Bremerhaven, Germany; [Key, Jeffrey] NOAA, Ctr Satellite Applicat &amp; Res, NESDIS, Madison, WI USA</t>
  </si>
  <si>
    <t>Helmholtz Association; Alfred Wegener Institute, Helmholtz Centre for Polar &amp; Marine Research; National Oceanic Atmospheric Admin (NOAA) - USA</t>
  </si>
  <si>
    <t>Katlein, C (corresponding author), Alfred Wegener Inst, Helmholtz Zentrum Polar &amp; Meeresforsch, D-27570 Bremerhaven, Germany.</t>
  </si>
  <si>
    <t>christian.katlein@awi.de</t>
  </si>
  <si>
    <t>Hendricks, Stefan/D-5168-2011; Key, Jeffrey R./AAB-7248-2020; Katlein, Christian/AAY-8731-2020</t>
  </si>
  <si>
    <t>Hendricks, Stefan/0000-0002-1412-3146; Katlein, Christian/0000-0003-2422-0414</t>
  </si>
  <si>
    <t>Helmholtz infrastructure initiative FRontiers in Arctic marine Monitoring (FRAM); European Space Agency; German Ministry of Economics and Technology [50EE1008]; NOAA Climate Data Records Program; Alfred-Wegener-Institut Helmholtz-Zentrum fur Polar- und Meeresforschung</t>
  </si>
  <si>
    <t>Helmholtz infrastructure initiative FRontiers in Arctic marine Monitoring (FRAM); European Space Agency(European Space Agency); German Ministry of Economics and Technology(Federal Ministry for Economic Affairs and Energy (BMWi)); NOAA Climate Data Records Program(National Oceanic Atmospheric Admin (NOAA) - USA); Alfred-Wegener-Institut Helmholtz-Zentrum fur Polar- und Meeresforschung</t>
  </si>
  <si>
    <t>Christian Katlein is supported by the Helmholtz infrastructure initiative FRontiers in Arctic marine Monitoring (FRAM), and Stefan Hendricks received support from the European Space Agency. Stefan Hendricks was funded by the German Ministry of Economics and Technology (grant 50EE1008). We thank Xuanji Wang and Yinghui Liu of the Cooperative Institute for Meteorological Satellite Studies (CIMSS), University of Wisconsin-Madison, for their extensive work on the APP and APP-x climate data records, which was supported by the NOAA Climate Data Records Program. This study was funded by the Alfred-Wegener-Institut Helmholtz-Zentrum fur Polar- und Meeresforschung. The views, opinions, and findings contained in this report are those of the authors and should not be construed as an official National Oceanic and Atmospheric Administration or U.S. Government position, policy, or decision.</t>
  </si>
  <si>
    <t>10.5194/tc-11-2111-2017</t>
  </si>
  <si>
    <t>FG0SE</t>
  </si>
  <si>
    <t>WOS:000409477900001</t>
  </si>
  <si>
    <t>Ahyong, ST; Schwentner, M; Richter, S</t>
  </si>
  <si>
    <t>Ahyong, Shane T.; Schwentner, Martin; Richter, Stefan</t>
  </si>
  <si>
    <t>The Tasmanian Lake Shrimps, Paranaspides Smith, 1908 (Crustacea, Syncarida, Anaspidesidae)</t>
  </si>
  <si>
    <t>RECORDS OF THE AUSTRALIAN MUSEUM</t>
  </si>
  <si>
    <t>Crustacea; Anaspidacea; Paranaspides; Tasmania; freshwater; shrimp</t>
  </si>
  <si>
    <t>BRANCHIOPODA SPINICAUDATA; CENTRAL HIGHLANDS; MOUNTAIN SHRIMPS; ANASPIDIDAE; GALAXIIDAE; POSITION; MITOCHONDRIAL; BIOGEOGRAPHY; ANASPIDACEA; THOMSON</t>
  </si>
  <si>
    <t>The Tasmanian Lake Shrimps of the genus Paranaspides Smith, 1908 (Syncarida: Anaspidesidae) are endemic to lakes on the eastern Central Plateau, Tasmania, namely Great Lake, Shannon Lagoon, Penstock Lagoon, Arthurs Lake and Woods Lake. Prior to the present study, only the type species, P. lacustris Smith, 1908, was recognized. Reconsideration of Paranaspides from throughout its range, however, showed that Paranaspides from Arthurs Lake and Woods Lakes are referrable to a new species, P. williamsi sp. nov. Morphometric differences in the uropodal exopod and maxilliped, and subtle differences in the morphology of the male pleopods 1 and 2, and colour-in-life distinguish the two species. Genetic divergence (p-distance) between the two species exceeds 10% in mitochondrial COI and 3% in 16S. Both species are described and illustrated, and a lectotype fixed for P. lacustris. Although P. lacustris and P. williamsi occur in relatively close proximity, they occupy different drainages. The Great Lake-Shannon Lagoon-Penstock Lagoon system drains to the southeast, and the Arthurs Lake-Woods Lake system to the northeast. The distributions ofP. lacustris and P. williamsi precisely parallel those of a cognate pair of galaxiid fishes, Paragalaxias eleotroides and Paragalaxias mesotes. Given the geological history of the Central Plateau and molecular divergence estimates for Paragalaxias, Paranaspides may also have diverged prior to the Pleistocene glaciations. Species of Paranaspides are dependent on their shallow water algal bed habitat, making them highly susceptible to sudden or significant fluctuations in lake water levels as a result of hydroelectric operations. Both species of Paranaspides have small areas of occupancy and are prone to the effects of hydroelectric activities on their lake habitats; under IUCN Red List criteria, their conservation status corresponds to Vulnerable (D2).</t>
  </si>
  <si>
    <t>[Ahyong, Shane T.] Australian Museum, Res Inst, 1 William St, Sydney, NSW 2010, Australia; [Ahyong, Shane T.] Univ New South Wales, Sch Biol Earth &amp; Environm Sci, Sydney, NSW 2052, Australia; [Schwentner, Martin; Richter, Stefan] Univ Rostock, Inst Biowissensch Allgemeine &amp; Spezielle Zool, Rostock, Germany; [Schwentner, Martin] Univ Hamburg, Ctr Nat Kunde, Hamburg, Germany</t>
  </si>
  <si>
    <t>Australian Museum; University of New South Wales Sydney; University of Rostock; University of Hamburg</t>
  </si>
  <si>
    <t>Ahyong, ST (corresponding author), Australian Museum, Res Inst, 1 William St, Sydney, NSW 2010, Australia.;Ahyong, ST (corresponding author), Univ New South Wales, Sch Biol Earth &amp; Environm Sci, Sydney, NSW 2052, Australia.</t>
  </si>
  <si>
    <t>shane.ahyong@austmus.gov.au</t>
  </si>
  <si>
    <t>; Richter, Stefan/E-6256-2012</t>
  </si>
  <si>
    <t>Schwentner, Martin/0000-0002-1373-456X; Ahyong, Shane/0000-0002-2820-4158; Richter, Stefan/0000-0002-2865-2751</t>
  </si>
  <si>
    <t>Australian Biological Resources Study; German Science Foundation [DFG RI 837/22-1]</t>
  </si>
  <si>
    <t>Australian Biological Resources Study; German Science Foundation(German Research Foundation (DFG))</t>
  </si>
  <si>
    <t>Thanks are due to Sammy De Grave and (OUMNH), Andrew Hosie (WAM), Kirrily Moore (TMAG), Judy Rainbird (QVMAG), and Jo Taylor (NMV) for the loan of specimens. Karen Reed and Rafael Lemaitre are thanked for their hospitality at the USNM in 2016, and Mark Carnley and Sammy De Grave (OUMNH) are thanked for facilitating the transfer of type material of P. lacustris to the Australian Museum. Likewise, D. Christopher Rogers and Rachael Peart are thanked for constructive reviews of the manuscript. For our fieldwork in 2017, we gratefully acknowledge the assistance of Alastair Richardson (University of Tasmania), Mike Driessen (Department of Primary Industries, Parks, Water and Environment, Tasmania), and Stefan Eberhard (Subterranean Ecology Pty Ltd) for facilitating our activities in Tasmania, and Simon Talbot (Institute for Marine and Antarctic Studies, University of Tasmania) for the loan of diving equipment and air compressor; specimens were collected under permit no. TFA 17038 granted by the Tasmanian Department of Primary Industries, Parks, Water and Environment. We also thank Christian Wirkner, Marian Reinhardt and Christoph Hoepel (Universitat Rostock) for assistance in the field and Jessica O'Donnell for creating Fig. 10. This study was partially funded by a grant from the Australian Biological Resources Study. Collecting in 2017 was funded by the German Science Foundation (DFG RI 837/22-1). This is a contribution from the Australian Museum Research Institute.</t>
  </si>
  <si>
    <t>AUSTRALIAN MUSEUM</t>
  </si>
  <si>
    <t>SYDNEY</t>
  </si>
  <si>
    <t>6 COLLEGE ST, SYDNEY, NSW 2010, AUSTRALIA</t>
  </si>
  <si>
    <t>0067-1975</t>
  </si>
  <si>
    <t>REC AUST MUS</t>
  </si>
  <si>
    <t>Rec. Aust. Mus.</t>
  </si>
  <si>
    <t>SEP 6</t>
  </si>
  <si>
    <t>10.3853/j.2201-4349.69.2017.1679</t>
  </si>
  <si>
    <t>FH9LJ</t>
  </si>
  <si>
    <t>WOS:000411532700004</t>
  </si>
  <si>
    <t>Pratchett, MS; Cowan, ZL; Nadler, LE; Caballes, CF; Hoey, AS; Messmer, V; Fletcher, CS; Westcott, DA; Ling, SD</t>
  </si>
  <si>
    <t>Pratchett, Morgan S.; Cowan, Zara-Louise; Nadler, Lauren E.; Caballes, Ciemon F.; Hoey, Andrew S.; Messmer, Vanessa; Fletcher, Cameron S.; Westcott, David A.; Ling, Scott D.</t>
  </si>
  <si>
    <t>Body size and substrate type modulate movement by the western Pacific crown-of-thorns starfish, Acanthaster solaris</t>
  </si>
  <si>
    <t>GREAT-BARRIER-REEF; SEA STAR; CF. SOLARIS; PLANCI L.; TUBE FEET; RESPONSES; OUTBREAKS; BEHAVIOR; FIELD; POPULATIONS</t>
  </si>
  <si>
    <t>The movement capacity of the crown-of-thorns starfishes (Acanthaster spp.) is a primary determinant of both their distribution and impact on coral assemblages. We quantified individual movement rates for the Pacific crown-of-thorns starfish (Acanthaster solaris) ranging in size from 75-480 mm total diameter, across three different substrates (sand, flat consolidated pavement, and coral rubble) on the northern Great Barrier Reef. The mean (+/- SE) rate of movement for smaller (&lt;150 mm total diameter) A. solaris was 23.99-1.02 cm/min and 33.41-1.49 cm/min for individuals &gt;350 mm total diameter. Mean (+/- SE) rates of movement varied with substrate type, being much higher on sand (36.53 +/- 1.31 cm/min) compared to consolidated pavement (28.04 +/- 1.15 cm/min) and slowest across coral rubble (17.25 +/- 0.63 cm/min). If average rates of movement measured here can be sustained, in combination with strong directionality, displacement distances of adult A. solaris could range from 250-520 m/day, depending on the prevailing substrate. Sustained movement of A. solaris is, however, likely to be highly constrained by habitat heterogeneity, energetic constraints, resource availability, and diurnal patterns of activity, thereby limiting their capacity to move between reefs or habitats.</t>
  </si>
  <si>
    <t>[Pratchett, Morgan S.; Cowan, Zara-Louise; Nadler, Lauren E.; Caballes, Ciemon F.; Hoey, Andrew S.; Messmer, Vanessa] James Cook Univ, ARC Ctr Excellence Coral Reef Studies, Townsville, Qld, Australia; [Nadler, Lauren E.] Univ Calif San Diego, Scripps Inst Oceanog, La Jolla, CA 92093 USA; [Fletcher, Cameron S.; Westcott, David A.] CSIRO Land &amp; Water, Atherton, Qld, Australia; [Ling, Scott D.] Univ Tasmania, Inst Marine &amp; Antarctic Studies, Hobart, Tas, Australia</t>
  </si>
  <si>
    <t>James Cook University; University of California System; University of California San Diego; Scripps Institution of Oceanography; Commonwealth Scientific &amp; Industrial Research Organisation (CSIRO); University of Tasmania</t>
  </si>
  <si>
    <t>Pratchett, MS (corresponding author), James Cook Univ, ARC Ctr Excellence Coral Reef Studies, Townsville, Qld, Australia.</t>
  </si>
  <si>
    <t>morgan.pratchett@jcu.edu.au</t>
  </si>
  <si>
    <t>Messmer, Vanessa/B-5459-2015; Pratchett, Morgan/AAW-5179-2020; Fletcher, Cameron S/B-8354-2008; Westcott, David A/G-5559-2010; Hoey, Andrew S/B-5457-2015; Ling, Scott/J-7161-2014</t>
  </si>
  <si>
    <t>Pratchett, Morgan/0000-0002-1862-8459; Hoey, Andrew/0000-0002-4261-5594; Ling, Scott/0000-0002-5544-8174; Nadler, Lauren/0000-0001-8225-8344; Cowan, Zara-Louise/0000-0002-3862-7111</t>
  </si>
  <si>
    <t>Australian National Environmental Science Program's Tropical Water Quality Hub; Lizard Island CoTS Research Grants (MSP)</t>
  </si>
  <si>
    <t>This research was supported by the Australian National Environmental Science Program's Tropical Water Quality Hub (MSP, VN, DAW, CSF), as well as a Lizard Island CoTS Research Grants (MSP).; This research was supported by the Australian National Environmental Science Program's Tropical Water Quality Hub, as well as Lizard Island CoTS Research Grants awarded to MSP. The authors are grateful to staff at Lizard Island Research Station for logistic support. Movement data is publicly available (Licenced under CC BY: Attribution 3.0 AU) via the Tropical Data Hub http://dx.doi.org/10.4225/28/576dd643fff8</t>
  </si>
  <si>
    <t>e0180805</t>
  </si>
  <si>
    <t>10.1371/journal.pone.0180805</t>
  </si>
  <si>
    <t>FG0EG</t>
  </si>
  <si>
    <t>WOS:000409391200005</t>
  </si>
  <si>
    <t>See-Too, WS; Ee, R; Lim, YL; Convey, P; Pearce, DA; Mohidin, TBM; Yin, WF; Chan, KG</t>
  </si>
  <si>
    <t>See-Too, Wah-Seng; Ee, Robson; Lim, Yan-Lue; Convey, Peter; Pearce, David A.; Mohidin, Taznim Begam Mohd; Yin, Wai-Fong; Chan, Kok Gan</t>
  </si>
  <si>
    <t>Complete genome of Arthrobacter alpinus strain R3.8, bioremediation potential unraveled with genomic analysis</t>
  </si>
  <si>
    <t>STANDARDS IN GENOMIC SCIENCES</t>
  </si>
  <si>
    <t>Cold active enzymes; Anti-freeze protein; Chitinase; Pyschrotolerant bacteria; Plant growth promoting bacteria</t>
  </si>
  <si>
    <t>GROWTH-PROMOTING RHIZOBACTERIUM; ANTIFREEZE PROTEIN; CLASSIFICATION; BACTERIA; SEQUENCE; PROPOSAL; ENZYMES; SYSTEM; ACTINOBACTERIA; RESISTANCE</t>
  </si>
  <si>
    <t>Arthrobacter alpinus R3.8 is a psychrotolerant bacterial strain isolated from a soil sample obtained at Rothera Point, Adelaide Island, close to the Antarctic Peninsula. Strain R3.8 was sequenced in order to help discover potential cold active enzymes with biotechnological applications. Genome analysis identified various cold adaptation genes including some coding for anti-freeze proteins and cold-shock proteins, genes involved in bioremediation of xenobiotic compounds including naphthalene, and genes with chitinolytic and N-acetylglucosamine utilization properties and also plant-growth-influencing properties. In this genome report, we present a complete genome sequence of A. alpinus strain R3.8 and its annotation data, which will facilitate exploitation of potential novel cold-active enzymes.</t>
  </si>
  <si>
    <t>[See-Too, Wah-Seng; Ee, Robson; Lim, Yan-Lue; Yin, Wai-Fong; Chan, Kok Gan] Univ Malaya, Inst Biol Sci, Div Genet &amp; Mol Biol, Fac Sci, Kuala Lumpur, Malaysia; [See-Too, Wah-Seng; Convey, Peter; Pearce, David A.] Univ Malaya, Inst Postgrad Studies, NARC, Kuala Lumpur 50603, Malaysia; [Convey, Peter; Pearce, David A.] NERC, British Antarctic Survey, High Cross,Madingley Rd, Cambridge CB3 OET, England; [Pearce, David A.] Northumbria Univ, Fac Hlth &amp; Life Sci, Newcastle Upon Tyne NE1 8ST, Tyne &amp; Wear, England; [Mohidin, Taznim Begam Mohd] Univ Malaya, Inst Biol Sci, Div Microbiol, Fac Sci, Kuala Lumpur, Malaysia; [Chan, Kok Gan] Univ Malaya, UM Omics Ctr, Kuala Lumpur, Malaysia; [Chan, Kok Gan] Jiangsu Univ, Vice Chancellor Off, Zhenjiang 212013, Peoples R China</t>
  </si>
  <si>
    <t>Universiti Malaya; Universiti Malaya; UK Research &amp; Innovation (UKRI); Natural Environment Research Council (NERC); NERC British Antarctic Survey; Northumbria University; Universiti Malaya; Universiti Malaya; Jiangsu University</t>
  </si>
  <si>
    <t>Chan, KG (corresponding author), Univ Malaya, Inst Biol Sci, Div Genet &amp; Mol Biol, Fac Sci, Kuala Lumpur, Malaysia.;Chan, KG (corresponding author), Univ Malaya, UM Omics Ctr, Kuala Lumpur, Malaysia.</t>
  </si>
  <si>
    <t>kokgan@um.edu.my</t>
  </si>
  <si>
    <t>Mohidin, Taznim Begam Mohd/S-8567-2016; Convey, Peter/AAV-5728-2020; See-Too, Wah-Seng/O-9330-2019; Chan, Kok-Gan/B-8347-2010</t>
  </si>
  <si>
    <t>Mohidin, Taznim Begam Mohd/0000-0002-5996-8409; Convey, Peter/0000-0001-8497-9903; See-Too, Wah-Seng/0000-0003-0843-1895; Chan, Kok-Gan/0000-0002-1883-1115; Pearce, David/0000-0001-5292-4596</t>
  </si>
  <si>
    <t>University of Malaya (UM-MOHE HIR) [UM.C/625/1/HIR/MOHE/CHAN/14/1, H-50001-A000027, UM.C/625/1/HIR/MOHE/CHAN/01, A-000001-50001]; NERC; Natural Environment Research Council [bas0100036] Funding Source: researchfish; NERC [bas0100036] Funding Source: UKRI</t>
  </si>
  <si>
    <t>University of Malaya (UM-MOHE HIR); NERC(UK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</si>
  <si>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supported by the University of Malaya High Impact Research Grants (UM-MOHE HIR Grant UM.C/625/1/HIR/MOHE/CHAN/14/1, Grant No. H-50001-A000027; UM-MOHE HIR Grant UM.C/625/1/HIR/MOHE/CHAN/01, Grant No. A-000001-50001) awarded to Kok-Gan Chan. Peter Convey is supported by NERC core funding to the British Antarctic Survey's 'Biodiversity, Evolution and Adaptation' Team.</t>
  </si>
  <si>
    <t>1944-3277</t>
  </si>
  <si>
    <t>STAND GENOMIC SCI</t>
  </si>
  <si>
    <t>Stand. Genomic Sci.</t>
  </si>
  <si>
    <t>10.1186/s40793-017-0264-0</t>
  </si>
  <si>
    <t>Genetics &amp; Heredity; Microbiology</t>
  </si>
  <si>
    <t>FF9SD</t>
  </si>
  <si>
    <t>WOS:000409356600001</t>
  </si>
  <si>
    <t>Nash, KL; Watson, RA; Halpern, BS; Fulton, EA; Blanchard, JL</t>
  </si>
  <si>
    <t>Nash, Kirsty L.; Watson, Reg A.; Halpern, Benjamin S.; Fulton, Elizabeth A.; Blanchard, Julia L.</t>
  </si>
  <si>
    <t>Improving understanding of the functional diversity of fisheries by exploring the influence of global catch reconstruction</t>
  </si>
  <si>
    <t>PLANETARY BOUNDARY; MARINE FISHERIES; BIODIVERSITY; VULNERABILITY; REDUNDANCY; FRAMEWORK; TRAITS</t>
  </si>
  <si>
    <t>Functional diversity is thought to enhance ecosystem resilience, driving research focused on trends in the functional composition of fisheries, most recently with new reconstructions of global catch data. However, there is currently little understanding of how accounting for unreported catches (e.g. small-scale and illegal fisheries, bycatch and discards) influences functional diversity trends in global fisheries. We explored how diversity estimates varied among reported and unreported components of catch in 2010, and found these components had distinct functional fingerprints. Incorporating unreported catches had little impact on global-scale functional diversity patterns. However, at smaller, management-relevant scales, the effects of incorporating unreported catches were large (changes in functional diversity of up to 46%). Our results suggest there is greater uncertainty about the risks to ecosystem integrity and resilience from current fishing patterns than previously recognized. We provide recommendations and suggest a research agenda to improve future assessments of functional diversity of global fisheries.</t>
  </si>
  <si>
    <t>[Nash, Kirsty L.; Watson, Reg A.; Fulton, Elizabeth A.; Blanchard, Julia L.] Ctr Marine Socioecol, Private Bag 129, Hobart, Tas 7001, Australia; [Nash, Kirsty L.; Watson, Reg A.; Blanchard, Julia L.] Univ Tasmania, Inst Marine &amp; Antarctic Studies, Private Bag 129, Hobart, Tas 7001, Australia; [Halpern, Benjamin S.] Univ Calif Santa Barbara, Natl Ctr Ecol Anal &amp; Synth, 735 State St, Santa Barbara, CA 93101 USA; [Halpern, Benjamin S.] Univ Calif Santa Barbara, Bren Sch Environm Sci &amp; Management, Santa Barbara, CA 93101 USA; [Halpern, Benjamin S.] Imperial Coll London, Silwood Pk Campus,Burkhurst Rd, Ascot SL5 7PY, Berks, England; [Fulton, Elizabeth A.] CSIRO, Oceans &amp; Atmosphere, Battery Point, Tas 7004, Australia</t>
  </si>
  <si>
    <t>University of Tasmania; National Center for Ecological Analysis &amp; Synthesis; University of California System; University of California Santa Barbara; University of California System; University of California Santa Barbara; Imperial College London; Commonwealth Scientific &amp; Industrial Research Organisation (CSIRO)</t>
  </si>
  <si>
    <t>Nash, KL (corresponding author), Ctr Marine Socioecol, Private Bag 129, Hobart, Tas 7001, Australia.;Nash, KL (corresponding author), Univ Tasmania, Inst Marine &amp; Antarctic Studies, Private Bag 129, Hobart, Tas 7001, Australia.</t>
  </si>
  <si>
    <t>nashkirsty@gmail.com</t>
  </si>
  <si>
    <t>Fulton, Beth/AAJ-1398-2021; Watson, Reg A/F-4850-2012; Fulton, Beth/A-2871-2008; Blanchard, Julia L/E-4919-2010; Nash, Kirsty L/B-5456-2015</t>
  </si>
  <si>
    <t>Fulton, Beth/0000-0002-5904-7917; Watson, Reg A/0000-0001-7201-8865; Nash, Kirsty L/0000-0003-0976-3197; Blanchard, Julia/0000-0003-0532-4824</t>
  </si>
  <si>
    <t>University of Tasmania; Commonwealth Scientific and Industrial Research Organisation; Australian Research Council [DP140101377]</t>
  </si>
  <si>
    <t>University of Tasmania; Commonwealth Scientific and Industrial Research Organisation(Commonwealth Scientific &amp; Industrial Research Organisation (CSIRO)); Australian Research Council(Australian Research Council)</t>
  </si>
  <si>
    <t>This project is supported by funding from the University of Tasmania and the Commonwealth Scientific and Industrial Research Organisation. RAW acknowledges support from the Australian Research Council (Discovery project DP140101377).</t>
  </si>
  <si>
    <t>10.1038/s41598-017-10723-1</t>
  </si>
  <si>
    <t>FG0MI</t>
  </si>
  <si>
    <t>WOS:000409439900164</t>
  </si>
  <si>
    <t>Weikusat, I; Kuiper, EJN; Pennock, GM; Kipfstuhl, S; Drury, MR</t>
  </si>
  <si>
    <t>Weikusat, Ilka; Kuiper, Ernst-Jan N.; Pennock, Gill M.; Kipfstuhl, Sepp; Drury, Martyn R.</t>
  </si>
  <si>
    <t>EBSD analysis of subgrain boundaries and dislocation slip systems in Antarctic and Greenland ice</t>
  </si>
  <si>
    <t>SOLID EARTH</t>
  </si>
  <si>
    <t>ELECTRON BACKSCATTER DIFFRACTION; DRONNING MAUD LAND; X-RAY-DIFFRACTION; DYNAMIC RECRYSTALLIZATION; SUPERPLASTIC DEFORMATION; POLAR ICE; MICROSTRUCTURAL FEATURES; MISORIENTATION ANALYSIS; NONBASAL DISLOCATIONS; QUARTZ POLYCRYSTALS</t>
  </si>
  <si>
    <t>Ice has a very high plastic anisotropy with easy dislocation glide on basal planes, while glide on non-basal planes is much harder. Basal glide involves dislocations with the Burgers vector b = &lt; a &gt; ,while glide on non-basal planes can involve dislocations with b = &lt; a &gt; , b = [c] , and b = &lt; c + a &gt;. During the natural ductile flow of polar ice sheets, most of the deformation is expected to occur by basal slip accommodated by other processes, including non-basal slip and grain boundary processes. However, the importance of different accommodating processes is controversial. The recent application of micro-diffraction analysis methods to ice, such as X-ray Laue diffraction and electron backscattered diffraction (EBSD), has demonstrated that subgrain boundaries indicative of non-basal slip are present in naturally deformed ice, although so far the available data sets are limited. In this study we present an analysis of a large number of subgrain boundaries in ice core samples from one depth level from two deep ice cores from Antarctica (EPICA-DML deep ice core at 656m of depth) and Greenland (NEEM deep ice core at 719m of depth). EBSD provides information for the characterization of subgrain boundary types and on the dislocations that are likely to be present along the boundary. EBSD analyses, in combination with light microscopy measurements, are presented and interpreted in terms of the dislocation slip systems. The most common subgrain boundaries are indicative of basal &lt; a &gt; slip with an almost equal occurrence of subgrain boundaries indicative of prism [c] or &lt; C + a &gt; slip on prism and/or pyramidal planes. A few subgrain boundaries are indicative of prism &lt; a &gt; slip or slip of &lt; a &gt; screw dislocations on the basal plane. In addition to these classical polygonization processes that involve the recovery of dislocations into boundaries, alternative mechanisms are discussed for the formation of subgrain boundaries that are not related to the crystallography of the host grain. The finding that subgrain boundaries indicative of non-basal slip are as frequent as those indicating basal slip is surprising. Our evidence of frequent non-basal slip in naturally deformed polar ice core samples has important implications for discussions on ice about plasticity descriptions, rate-controlling processes which accommodate basal glide, and anisotropic ice flow descriptions of large ice masses with the wider perspective of sea level evolution.</t>
  </si>
  <si>
    <t>[Weikusat, Ilka; Kuiper, Ernst-Jan N.; Kipfstuhl, Sepp] Alfred Wegener Inst Helmholtz Ctr Polar &amp; Marine, Alten Hafen 26, D-27568 Bremerhaven, Germany; [Kuiper, Ernst-Jan N.; Pennock, Gill M.; Drury, Martyn R.] Univ Utrecht, Fac Earth Sci, Postbus 80021, NL-3508 TA Utrecht, Netherlands</t>
  </si>
  <si>
    <t>Helmholtz Association; Alfred Wegener Institute, Helmholtz Centre for Polar &amp; Marine Research; Utrecht University</t>
  </si>
  <si>
    <t>Weikusat, I (corresponding author), Alfred Wegener Inst Helmholtz Ctr Polar &amp; Marine, Alten Hafen 26, D-27568 Bremerhaven, Germany.</t>
  </si>
  <si>
    <t>ilka.weikusat@awi.de</t>
  </si>
  <si>
    <t>Weikusat, Ilka/E-8826-2015; Drury, Martyn/H-9997-2013</t>
  </si>
  <si>
    <t>Weikusat, Ilka/0000-0002-3023-6036; Drury, Martyn/0000-0002-2246-2009; Pennock, Gill/0000-0002-2120-5166</t>
  </si>
  <si>
    <t>German Science Foundation [DFG HA 5675/1-1, WE 4695/1-2, SPP 1158]; Helmholtz Association [VH-NG-802]; NWO-groot; FEI; Belgium (FNRS-CFB); Belgium (FWO); Canada (NRCan/GSC); China (CAS); Denmark (FIST); France (IPEV); France (CNRS/INSU); France (CEA); France (ANR); Germany (AWI); Iceland (RannIs); Japan (NIPR); Korea (KOPRI); Netherlands (NWO/ALW); Sweden (VR); Switzerland (SNF); United Kingdom (NERC); USA (US NSF Office of Polar Programs); EU</t>
  </si>
  <si>
    <t>German Science Foundation(German Research Foundation (DFG)); Helmholtz Association(Helmholtz Association); NWO-groot(Netherlands Organization for Scientific Research (NWO)); FEI; Belgium (FNRS-CFB)(Fonds de la Recherche Scientifique - FNRS); Belgium (FWO)(FWO); Canada (NRCan/GSC)(Natural Resources Canada); China (CAS)(Chinese Academy of Sciences); Denmark (FIST)(Department of Science &amp; Technology (India)); France (IPEV); France (CNRS/INSU); France (CEA); France (ANR)(Agence Nationale de la Recherche (ANR)); Germany (AWI); Iceland (RannIs); Japan (NIPR); Korea (KOPRI)(Korea Polar Research Institute of Marine Research Placement (KOPRI)); Netherlands (NWO/ALW)(Netherlands Organization for Scientific Research (NWO)Netherlands Government); Sweden (VR)(Swedish Research Council); Switzerland (SNF); United Kingdom (NERC)(UK Research &amp; Innovation (UKRI)Natural Environment Research Council (NERC)); USA (US NSF Office of Polar Programs); EU(European Union (EU))</t>
  </si>
  <si>
    <t>This project was funded by the German Science Foundation (DFG HA 5675/1-1 and WE 4695/1-2) within the SPP 1158 and the Helmholtz Association (VH-NG-802). The FIB-SEM microscope at Utrecht University is funded by NWO-groot and FEI. We thank two anonymous referees for their constructive reviews and Thomas Chauve for interactive commentary. NEEM is directed and organized by the Centre for Ice and Climate at the Niels Bohr Institute and the US NSF Office of Polar Programs. It is supported by funding agencies and institutions in Belgium (FNRS-CFB and FWO), Canada (NRCan/GSC), China (CAS), Denmark (FIST), France (IPEV, CNRS/INSU, CEA and ANR), Germany (AWI), Iceland (RannIs), Japan (NIPR), Korea (KOPRI), the Netherlands (NWO/ALW), Sweden (VR), Switzerland (SNF), the United Kingdom (NERC), and the USA (US NSF Office of Polar Programs). This work is a contribution to the European Project for Ice Coring in Antarctica (EPICA), a joint European Science Foundation and European Commission scientific programme funded by the EU and national contributions from Belgium, Denmark, France, Germany, Italy, the Netherlands, Norway, Sweden, Switzerland, and the United Kingdom. The main logistic support was provided by AWI (Dronning Maud Land).</t>
  </si>
  <si>
    <t>1869-9510</t>
  </si>
  <si>
    <t>1869-9529</t>
  </si>
  <si>
    <t>Solid Earth</t>
  </si>
  <si>
    <t>10.5194/se-8-883-2017</t>
  </si>
  <si>
    <t>FK0TQ</t>
  </si>
  <si>
    <t>WOS:000413193500001</t>
  </si>
  <si>
    <t>Pilato, G; Sabella, G; D'Urso, V; Lisi, O</t>
  </si>
  <si>
    <t>Pilato, Giovanni; Sabella, Giorgio; D'Urso, Vera; Lisi, Oscar</t>
  </si>
  <si>
    <t>Two new species of Eutardigrada from Victoria Land, Antarctica</t>
  </si>
  <si>
    <t>ZOOTAXA</t>
  </si>
  <si>
    <t>Tardigrada; Antarctica; Mixibius felix sp nov.; Milnesium validum sp nov.</t>
  </si>
  <si>
    <t>PHYLUM TARDIGRADA; APOCHELA MILNESIIDAE; EAST ANTARCTICA; SP-NOV; MOUNTAINS; DIVERSITY; GENUS; HYPSIBIIDAE; CHINA</t>
  </si>
  <si>
    <t>Two new species are recorded from Victoria Land (Antarctica): Mixibius felix sp. nov. and Milnesium validum sp. nov. A third species, Diphascon sanae Dastych, Ryan &amp; Watkins, 1990, is a new report for this region of the Antarctic continent. Mixibius felix sp. nov. has a smooth cuticle, eyes present, bucco-pharyngeal apparatus of the Mixibius type (rigid buccal tube without ventral lamina and with hook-shaped asymmetrical apophyses for the insertion of the stylet muscles); stylet supports inserted on the buccal tube at 65.7-68.0% of its length; pharyngeal bulb with apophyses and two macroplacoids; microplacoid and septulum absent; as is characteristic of the genus, the external claws are of Isohypsibius type and the internal are a modified Isohypsibius type. Milnesium validum sp. nov. has smooth cuticle; eye spots present; six triangular peribuccal lamellae with basal stripes; stylet supports inserted on the cylindrical buccal tube at 61.1-64.8% of its length; claw configuration [3-3]-[3-3] (i.e. all secondary claws with three points); secondary claws stout, with distal portion clearly wider than the basal portion and each with a rounded basal thickening (lunule); primary claws with accessory points; a long cuticular bar present under claws I-III. Adding the three above mentioned species, the list of species present in Victoria Land rises from 12 to 15; 11 of these are recorded exclusively to this region of the Antarctic continent.</t>
  </si>
  <si>
    <t>[Pilato, Giovanni; Sabella, Giorgio; D'Urso, Vera; Lisi, Oscar] Univ Catania, Dept Biol Geol &amp; Environm Sci, Via Androne 81, Catania, Italy</t>
  </si>
  <si>
    <t>University of Catania</t>
  </si>
  <si>
    <t>Pilato, G (corresponding author), Univ Catania, Dept Biol Geol &amp; Environm Sci, Via Androne 81, Catania, Italy.</t>
  </si>
  <si>
    <t>pilato@unict.it</t>
  </si>
  <si>
    <t>Sabella, Giorgio/R-9487-2019; Lisi, Oscar Paolo Vincenzo/AFT-1512-2022</t>
  </si>
  <si>
    <t>SABELLA, Giorgio/0000-0002-2234-1901; Lisi, Oscar Paolo Vincenzo/0000-0001-5495-2742</t>
  </si>
  <si>
    <t>CNR</t>
  </si>
  <si>
    <t>CNR(Consiglio Nazionale delle Ricerche (CNR))</t>
  </si>
  <si>
    <t>The research was carried out within the Italian Program of Antarctic Research (ENEA) supported by CNR (project Nematodes and tardigrades from Antarctica). We thank our colleague Prof. Salvatore Motta (Department of Biological, Geological and Environmental Sciences, University of Catania) for collecting the samples during the expedition in Antarctica (December 1990/January 1991). We also thank Dr. Denis Tumanov (Saint Petersburg, Russia) who sent a paratype of Milnesium antarcticum, and Dr. Sandra McInnes (United Kingdom) who kindly improved the English of this paper.</t>
  </si>
  <si>
    <t>1175-5326</t>
  </si>
  <si>
    <t>1175-5334</t>
  </si>
  <si>
    <t>Zootaxa</t>
  </si>
  <si>
    <t>SEP 5</t>
  </si>
  <si>
    <t>10.11646/zootaxa.4317.3.6</t>
  </si>
  <si>
    <t>FF5EZ</t>
  </si>
  <si>
    <t>WOS:000409002000006</t>
  </si>
  <si>
    <t>Kim, Y; Lee, I; Seo, JH; Lee, JI; Farquhar, J</t>
  </si>
  <si>
    <t>Kim, Yeongmin; Lee, Insung; Seo, Jung Hun; Lee, Jong Ik; Farquhar, James</t>
  </si>
  <si>
    <t>Multiple oxygen (16O, 17O and 18O) and sulfur (32S, 33S, 34S and 36S) isotope signatures of the dissolved sulfate from Deception Island, Antarctic Peninsula: Implications on sulfate formation, transportation and deposition in the Antarctic region</t>
  </si>
  <si>
    <t>Dissolved sulfate; Surface freshwater; Multiple oxygen isotopes; Multiple sulfur isotopes; Sulfate sources; Deception Island</t>
  </si>
  <si>
    <t>SEA-SALT AEROSOL; NONMETAL REDOX KINETICS; SOUTH SHETLAND ISLANDS; ICE CORE; ATMOSPHERIC SULFATE; BACTERIAL REDUCTION; AQUIFER SYSTEM; ACID REACTIONS; FROST FLOWERS; OCEANIC DMSP</t>
  </si>
  <si>
    <t>Oxygen (O-16, O-17 and O-18) and sulfur (S-32, S-33, S-34 and S-36) isotope ratios of and major ion (Na+, Ca2+, Cl-, NO3- and SO42-) concentrations in lakes, ponds and creeks from Deception Island, Antarctic Peninsula were analyzed to study the sources of sulfate, its oxidation, and the surficial processes of the dissolved sulfate. The positive relationship between the delta S-34(sulfate) (8.1% to 17.3%) and the Cl-/SO42- molar ratio suggests mixing of sulfate from atmospheric deposition and from oxidation of sulfide minerals. The average sea salt fraction (28%) and delta S-34(nss) values (from 5.6% to 15.9%) indicate that a combination of sea salt and marine biogenic sulfide provide the high delta S-34 end-member of the dissolved sulfates. The relatively low delta O-18 sulfate (from -4.6% to 0.7 parts per thousand) of Deception Island water suggests a role of local water in the formation of sulfate. Slightly negative but mass-dependent Delta O-17(sulfate) values imply that atmospheric oxidation by O-3 and H2O2 are negligible, while these values might suggest a significant role of oxidation by molecular oxygen and %OH. The distinctly low delta S-34(sulfate) value of two samples (DCW-2 and DCW-3) suggests the input of sulfate from sulfide oxidation. Slight elevation of delta(3)4S(sulfate) values up to 17.3% compared to a typical atmospheric value indicates a minimal role for dissimilatory microbial sulfate reduction of Deception Island water and sediments. Both Delta S-33(sulfate) and Delta S-36(sulfate) values are homogeneous and near zero, implying that the dominant atmospheric oxidation process is tropospheric and that there are minimal to no contributions of stratospheric sulfate to Deception Island water.</t>
  </si>
  <si>
    <t>[Kim, Yeongmin; Lee, Insung] Seoul Natl Univ, Sch Earth &amp; Environm Sci, Seoul 08826, South Korea; [Seo, Jung Hun] Inha Univ, Dept Energy &amp; Resources Engn, Incheon, South Korea; [Lee, Jong Ik] Korea Polar Res Inst, Div Polar Earth Syst Sci, Incheon 21990, South Korea; [Farquhar, James] Univ Maryland, Dept Geol, College Pk, MD 20742 USA</t>
  </si>
  <si>
    <t>Seoul National University (SNU); Inha University; Korea Polar Research Institute (KOPRI); University System of Maryland; University of Maryland College Park</t>
  </si>
  <si>
    <t>Seo, JH (corresponding author), Inha Univ, Dept Energy &amp; Resources Engn, Incheon, South Korea.</t>
  </si>
  <si>
    <t>seo@inha.ac.kr</t>
  </si>
  <si>
    <t>Kim, Yeongmin/AAA-8569-2022</t>
  </si>
  <si>
    <t>Farquhar, James/0000-0003-3388-612X</t>
  </si>
  <si>
    <t>Ministry of Oceans and Fisheries, Korea [PM16030]; Inha University Research Grant [INHA-48580]; Korea Energy and Mineral Resources Engineering Program (KEMREP) grant - Ministry of Trade, Industry and Energy (MOTIE)</t>
  </si>
  <si>
    <t>Ministry of Oceans and Fisheries, Korea; Inha University Research Grant; Korea Energy and Mineral Resources Engineering Program (KEMREP) grant - Ministry of Trade, Industry and Energy (MOTIE)</t>
  </si>
  <si>
    <t>This research is supported by the project PM16030, KOPRI from the Ministry of Oceans and Fisheries, Korea. The author Y.M. Kim thanks the BK 21 program of the School of Earth and Environmental Sciences, Seoul National University. J.H. Seo acknowledges supports by the Inha University Research Grant (INHA-48580) and by the Korea Energy and Mineral Resources Engineering Program (KEMREP) grant funded by Ministry of Trade, Industry and Energy (MOTIE). The authors wish to thank H. Bao in Louisiana State University for analyzing the oxygen isotope composition (delta18O and Delta17O) of sulfate. We appreciate the staff members at the King Sejong Station at King George Island and Spanish base at Deception Island, Antarctic Peninsula, who supported sampling and research activities in the study area. Constructive comments from three reviewers and the editorial handling of Dr. Johannesson are acknowledged.</t>
  </si>
  <si>
    <t>10.1016/j.chemgeo.2017.07.029</t>
  </si>
  <si>
    <t>FD9SA</t>
  </si>
  <si>
    <t>WOS:000407861200060</t>
  </si>
  <si>
    <t>Pueyo, JJ; Chong, G; Ayora, C</t>
  </si>
  <si>
    <t>Jose Pueyo, Juan; Chong, Guillermo; Ayora, Carlos</t>
  </si>
  <si>
    <t>Lithium saltworks of the Salar de Atacama: A model for MgSO4-free ancient potash deposits</t>
  </si>
  <si>
    <t>Brine evolution; Potassic salts; MgSO4-free paragenesis; Global aridity; Sylvite; Carnallite</t>
  </si>
  <si>
    <t>HYDROLOGICAL EVOLUTION; EVAPORITE BASIN; QAIDAM BASIN; CLIMATE-CHANGE; ORIGIN; NONMARINE; SEQUENCE; BRINES; SEDIMENTATION; EVAPORATION</t>
  </si>
  <si>
    <t>Potash basins similar to those in the geological past no longer exist at present. There are only hypersaline lakes such as those in the Tibetan Plateau where carnallite [KCl center dot MgCl2 center dot 6H(2)O] precipitates. Given that the purpose of common saltworks is to obtain NaCl, the halitic stage is not exceeded. By contrast, saltworks extracting lithium by solar evaporation reach more advanced stages of brine evolution and saline precipitation. In the Salar de Atacama saltworks, with a relative humidity commonly below 30% (monthly average), salts precipitate following a sequence of halite [NaCl], sylvite [KCl], carnallite and bischofite [MgCl2 center dot 6H(2)O] and display a useful model of evolution similar to that which gave rise to MgSO4-free potash deposits in the past. Prismatic-acicular gypsum [CaSO4 center dot 2H(2)O], the main accessory mineral, is transformed into a less hydrated calcium sulfate, probably anhydrite [CaSO4], during carnallite precipitation. Mineral crystal size and annual sedimentary thickness of each paragenesis are compared with those in ancient potash deposits. The behavior of sylvite and carnallite as cements is observed at the onset of their precipitation in ponds where both minerals coexist with previous halite. Millimeter cyclicity due to day-night thermal variations is observed in these saltworks, whereas cm- and mm-cyclicities have been interpreted in ancient sites as annual (regular) and intra-annual (irregular), respectively. Conditions similar to those existing at the Salar de Atacama were necessary to preserve carnallite, which is commonly the most evolved mineral in the ancient deposits. The development of potash deposits in the South Pyrenean Foreland Basin and the Rhine Graben, near the Eocene-Oligocene boundary, is attributed to global aridity and cooling and to the basin restriction associated with a decrease in the ocean level caused by the spread of the Antarctic ice cap.</t>
  </si>
  <si>
    <t>[Jose Pueyo, Juan] Univ Barcelona, Fac Ciencies Terra, C Marti &amp; Franques,S-N, E-08028 Barcelona, Spain; [Chong, Guillermo] Univ Catolica Norte, Dept Ciencias Geol, Avda Angamos 0610, Antofagasta, Chile; [Ayora, Carlos] CSIC, IDAEA, Inst Environm Assessment &amp; Water Res, C Jordi Girona,18-26, ES-08034 Barcelona, Spain</t>
  </si>
  <si>
    <t>University of Barcelona; Universidad Catolica del Norte; Consejo Superior de Investigaciones Cientificas (CSIC); CSIC - Centro de Investigacion y Desarrollo Pascual Vila (CID-CSIC); CSIC - Instituto de Diagnostico Ambiental y Estudios del Agua (IDAEA)</t>
  </si>
  <si>
    <t>Pueyo, JJ (corresponding author), Univ Barcelona, Fac Ciencies Terra, C Marti &amp; Franques,S-N, E-08028 Barcelona, Spain.</t>
  </si>
  <si>
    <t>jjpueyo@ub.edu; gchong@ucn.cl; cayora1@gmail.com</t>
  </si>
  <si>
    <t>ayora, carlos/M-3914-2014</t>
  </si>
  <si>
    <t>ayora, carlos/0000-0003-0238-7723</t>
  </si>
  <si>
    <t>Catalan Government [2014SGR-1456]</t>
  </si>
  <si>
    <t>Catalan Government</t>
  </si>
  <si>
    <t>The authors are grateful to the Rockwood Lithium GmbH company (Sociedad Chilena del Litio at the time of sampling) for permits and assistance received in the field. We also thank the CCiT-UB for the assistance in the chemical, XRD and SEM analyses. This work has been partially supported by the Catalan Government through the project 2014SGR-1456. Review comments by the Editor Jeremy B. Fein and two reviewers, Laura Rosell and other anonymous, improved the manuscript.</t>
  </si>
  <si>
    <t>10.1016/j.chemgeo.2017.06.005</t>
  </si>
  <si>
    <t>WOS:000407861200014</t>
  </si>
  <si>
    <t>Cook, CP; Hemming, SR; van de Flierdt, T; Davis, ELP; Williams, T; Galindo, AL; Jiménez-Espejo, FJ; Escutia, C</t>
  </si>
  <si>
    <t>Cook, Carys P.; Hemming, Sidney R.; van de Flierdt, Tina; Davis, Elizabeth L. Pierce; Williams, Trevor; Lopez Galindo, Alberto; Jimenez-Espejo, Francisco J.; Escutia, Carlota</t>
  </si>
  <si>
    <t>Glacial erosion of East Antarctica in the Pliocene: A comparative study of multiple marine sediment provenance tracers</t>
  </si>
  <si>
    <t>East Antarctic ice sheet; Provenance; Marine sediment; Pliocene warmth; Radiogenic isotopes; Thermochronology</t>
  </si>
  <si>
    <t>NORTHERN VICTORIA LAND; DEEP-SEA SEDIMENTS; ICE-SHEET; WILKES LAND; BYRD-LAND; ROSS SEA; SOUTHERN-OCEAN; TRANSANTARCTIC MOUNTAINS; CONTINENTAL RISE; DETRITAL ZIRCONS</t>
  </si>
  <si>
    <t>The history of the East Antarctic ice sheet provides important understanding of its potential future behaviour in a warming world. The provenance of glaciomarine sediments can provide insights into this history, if the underlying continent eroded by the ice sheet is made of distinct geological terranes that can be distinguished by the mineralogy, petrology and/or geochemistry of the eroded sediment. We here present a multi-proxy provenance investigation on Pliocene sediments from Integrated Ocean Drilling Program (IODP) Site U1361, located offshore of the Wilkes Subglacial Basin, East Antarctica. We compare Nd and Sr isotopic compositions of &lt; 63 mu m detrital fractions, clay mineralogy of &lt; 2 mu m fractions, 40Ar/39Ar ages of &gt; 150 mu m ice-rafted hornblende grains, and petrography of &gt; 2 mm ice-rafted clasts and &gt; 150 mu m mineral grains. Pliocene fine-grained marine sediments have Nd and Sr isotopic compositions, clay mineralogy, and clast characteristics that can be explained by mixing of sediments eroded from predominantly proximal crystalline terranes with material derived from inland sources from within the currently glaciated Wilkes Subglacial Basin. Conversely, evidence for such an inland source is absent from ice-rafted hornblende ages. We render a lithological bias against hornblende grains in the doleritic and sedimentary units within the basin the most likely explanation for this observation. 40Ar/39Ar hornblende ages however record additional provenance from the distal margins of the Ross Sea, and possibly even the West Antarctic area of Marie Byrd Land. The latter lies &gt; 2000 km to the east and hints at significant iceberg release from the West Antarctic ice sheet during warm intervals of the Pliocene. Together our results make a strong case for combining geochemical and mineralogical signatures of coarse- and fine-grained glaciomarine sediment fractions in order to derive robust provenance interpretations in ice covered areas.</t>
  </si>
  <si>
    <t>[Cook, Carys P.] Imperial Coll London, Grantham Inst Climate Change &amp; Environm, South Kensington Campus, London SW7 2AZ, England; [Cook, Carys P.; van de Flierdt, Tina] Imperial Coll London, Dept Earth Sci &amp; Engn, South Kensington Campus, London SW7 2AZ, England; [Hemming, Sidney R.; Davis, Elizabeth L. Pierce] Columbia Univ, Dept Earth &amp; Environm Sci, Palisades, NY 10964 USA; [Hemming, Sidney R.; Davis, Elizabeth L. Pierce] Columbia Univ, Lamont Doherty Earth Observ, Palisades, NY 10964 USA; [Hemming, Sidney R.; Williams, Trevor] Lamont Doherty Earth Observ, Palisades, NY 10964 USA; [Lopez Galindo, Alberto; Jimenez-Espejo, Francisco J.; Escutia, Carlota] CSIC UGR, Inst Andaluz Ciencias Tierra, Armilla 18100, Spain; [Williams, Trevor] Texas A&amp;M Univ, Int Ocean Discovery Program, College Stn, TX 77845 USA; [Jimenez-Espejo, Francisco J.] Japan Agcy Marine Earth Sci &amp; Technol, Dept Biogeochem, Yokosuka, Kanagawa 2370061, Japan</t>
  </si>
  <si>
    <t>Imperial College London; Imperial College London; Columbia University; Columbia University; Columbia University; Consejo Superior de Investigaciones Cientificas (CSIC); CSIC - Instituto Andaluz de Ciencias de la Tierra (IACT); University of Granada; Texas A&amp;M University System; Texas A&amp;M University College Station; Japan Agency for Marine-Earth Science &amp; Technology (JAMSTEC)</t>
  </si>
  <si>
    <t>van de Flierdt, T (corresponding author), Imperial Coll London, Dept Earth Sci &amp; Engn, South Kensington Campus, London SW7 2AZ, England.</t>
  </si>
  <si>
    <t>tina.vandeflierdt@imperial.ac.uk</t>
  </si>
  <si>
    <t>Williams, Trevor/L-7670-2014; Jimenez-Espejo, Francisco J./AAR-2318-2020; Jimenez-Espejo, Francisco J/F-4486-2016; Galindo, Alberto López/AAS-9173-2020; Escutia, Carlota/B-8614-2015; Lopez Galindo, Alberto/E-2886-2013</t>
  </si>
  <si>
    <t>Jimenez-Espejo, Francisco J/0000-0002-0335-8580; Hemming, Sidney/0000-0001-8117-2303; van de Flierdt, Tina/0000-0001-7176-9755; Escutia, Carlota/0000-0002-4932-8619; Lopez Galindo, Alberto/0000-0002-5540-9212</t>
  </si>
  <si>
    <t>Grantham Institute for Climate Change at Imperial College London; NERC UK IODP [NE/H014144/1, NE/H025162/1]; European Commission [IRG 230828]; National Science Foundation [ANT 0944489, ANT 1342213]; Royal Society [IE110878]; Natural Environment Research Council [NE/H025162/1, NE/H014144/1] Funding Source: researchfish; NERC [NE/H025162/1, NE/H014144/1] Funding Source: UKRI</t>
  </si>
  <si>
    <t>Grantham Institute for Climate Change at Imperial College London; NERC UK IODP; European Commission(European Union (EU)European Commission Joint Research Centre); National Science Foundation(National Science Foundation (NSF)); Royal Society(Royal Society); Natural Environment Research Council(UK Research &amp; Innovation (UKRI)Natural Environment Research Council (NERC)); NERC(UK Research &amp; Innovation (UKRI)Natural Environment Research Council (NERC))</t>
  </si>
  <si>
    <t>C.P. Cook thanks the Grantham Institute for Climate Change at Imperial College London for a PhD scholarship, K. Kreissig and B. Coles for lab assistance, P. Simoes Pereira and R. Bertram for discussion, and IODP for providing materials. Ian Bailey and an anonymous reviewer provided very insightful comments that helped improve the manuscript a lot. Financial support for this study was provided by NERC UK IODP to T.v.d.F. (NE/H014144/1, NE/H025162/1), by the European Commission to T.v.d.F. (IRG 230828), by the National Science Foundation to T.W., T.v.d.F. and S.R.H. (ANT 0944489 and ANT 1342213), and by the Royal Society to T.v.d.F. and S.R.H. (IE110878).</t>
  </si>
  <si>
    <t>10.1016/j.chemgeo.2017.06.011</t>
  </si>
  <si>
    <t>WOS:000407861200016</t>
  </si>
  <si>
    <t>Wang, YB; Liu, FM; Zhang, XF; Zhang, AJ; Wang, B; Zheng, Z; Sun, CJ; Miao, JL</t>
  </si>
  <si>
    <t>Wang Yi-Bin; Liu Fang-Ming; Zhang Xiu-Fang; Zhang Ai-Jun; Wang Bin; Zheng Zhou; Sun Cheng-Jun; Miao Jin-Lai</t>
  </si>
  <si>
    <t>Composition and regulation of thylakoid membrane of Antarctic ice microalgae Chlamydomonas sp ICE-L in response to low-temperature environment stress</t>
  </si>
  <si>
    <t>JOURNAL OF THE MARINE BIOLOGICAL ASSOCIATION OF THE UNITED KINGDOM</t>
  </si>
  <si>
    <t>Antarctic ice microalgae; Chlamydomonas sp.; chloroplast; thylakoid membrane; cold stress response</t>
  </si>
  <si>
    <t>SEA-ICE; GROWTH; ALGAE; MICROORGANISMS; CHLOROPLASTS; ORGANIZATION; ADAPTATION; RAUDENSIS</t>
  </si>
  <si>
    <t>Ice algae have successfully adapted to the extreme environmental conditions in the Antarctic, however the underlying mechanisms involved in the regulation and response of thylakoid membranes and chloroplast to low-temperature stress are still not well understood. In this study, changes in pigment concentrations, lipids, fatty acids and pigment protein complexes in thylakoid membranes and chloroplast after exposure to low temperature conditions were investigated using the Antarctic ice algae Chlamydomonas sp. ICE-L. Results showed that the chloroplasts of Chlamydomonas sp. ICE-L are distributed throughout the cell except in the nuclear region in the form of thylakoid lamellas which exists in the gap between organelles and the starch granules. Also, the structure of mitochondria has no obvious change after cold stress. Concentrations of Chl a, Chl b, monogalactosyl diacylglycerol, digalactosyl diacylglycerol and fatty acids were also observed to exhibit changes with temperature, suggesting possible adaptations to cold environments. The light harvesting complex, lutein and b-carotene played an important role for adaptation of ICE-L, and increasing of monogalactosyl diacylglycerol and digalactosyl diacylglycerol improved the overall degree of unsaturation of thylakoid membranes, thereby maintaining liquidity of thylakoid membranes. The pigments, lipids, fatty acids and pigment-protein complexes maintained the stability of the thylakoid membranes and the normal physiological function of Chlamydomonas sp. ICE-L.</t>
  </si>
  <si>
    <t>[Wang Yi-Bin; Liu Fang-Ming; Zhang Ai-Jun; Wang Bin; Zheng Zhou; Sun Cheng-Jun; Miao Jin-Lai] State Ocean Adm, Inst Oceanog 1, Qingdao 266061, Peoples R China; [Wang Yi-Bin; Liu Fang-Ming; Zhang Ai-Jun; Wang Bin; Zheng Zhou; Miao Jin-Lai] SOA, Key Lab Marine Bioact Subst, Qingdao 266061, Peoples R China; [Zhang Xiu-Fang] Qingdao Hiser Hosp, Qingdao 266033, Peoples R China</t>
  </si>
  <si>
    <t>First Institute of Oceanography, Ministry of Natural Resources</t>
  </si>
  <si>
    <t>Wang, YB; Miao, JL (corresponding author), State Ocean Adm, Inst Oceanog 1, Qingdao 266061, Peoples R China.</t>
  </si>
  <si>
    <t>wangyibin@fio.org.cn; miaojinlai@fio.org.cn</t>
  </si>
  <si>
    <t>Fundamental Research Funds of First Institute of Oceanography, SOA [2015G10]; Polar Strategic Foundation of China [20150303]; National Natural Science Foundation of China [41576187, 31200097, 31200272, U1406402]; Public Science and Technology Research Funds Projects of Ocean [201405015]; Science and Technology Planning Project of Shandong Province [2014GHY115003]</t>
  </si>
  <si>
    <t>Fundamental Research Funds of First Institute of Oceanography, SOA; Polar Strategic Foundation of China; National Natural Science Foundation of China(National Natural Science Foundation of China (NSFC)); Public Science and Technology Research Funds Projects of Ocean; Science and Technology Planning Project of Shandong Province</t>
  </si>
  <si>
    <t>This study was supported by the Fundamental Research Funds of First Institute of Oceanography, SOA (No. 2015G10), the Polar Strategic Foundation of China (No. 20150303), the National Natural Science Foundation of China (No. 41576187, No. 31200097, No. 31200272 and No. U1406402), the Public Science and Technology Research Funds Projects of Ocean (No. 201405015) and the Science and Technology Planning Project of Shandong Province (No. 2014GHY115003).</t>
  </si>
  <si>
    <t>0025-3154</t>
  </si>
  <si>
    <t>1469-7769</t>
  </si>
  <si>
    <t>J MAR BIOL ASSOC UK</t>
  </si>
  <si>
    <t>J. Mar. Biol. Assoc. U.K.</t>
  </si>
  <si>
    <t>SEP</t>
  </si>
  <si>
    <t>10.1017/S0025315416000588</t>
  </si>
  <si>
    <t>Marine &amp; Freshwater Biology</t>
  </si>
  <si>
    <t>FX9LF</t>
  </si>
  <si>
    <t>WOS:000426420100005</t>
  </si>
  <si>
    <t>Plotkin, A; Morrow, C; Gerasimova, E; Rapp, HT</t>
  </si>
  <si>
    <t>Plotkin, Alexander; Morrow, Christine; Gerasimova, Elena; Rapp, Hans Tore</t>
  </si>
  <si>
    <t>Polymastiidae (Demospongiae: Hadromerida) with ornamented exotyles: a review of morphological affinities and description of a new genus and three new species</t>
  </si>
  <si>
    <t>sponges; Demospongiae; Polymastiidae; morphological affinities; new species</t>
  </si>
  <si>
    <t>PORIFERA; PACIFIC; SPONGES</t>
  </si>
  <si>
    <t>All polymastiid sponges displaying ornamented exotyles are reviewed and their morphological affinities are reconsidered. The study embraces all known species of Proteleia, Sphaerotylus, Trachyteleia and Tylexocladus as well as several species of Polymastia. A new genus, Koltunia, is established for the Antarctic species Proteleia burtoni based on the unique shape of distal ornamentations of its giant exotyles and on the absence of a spicule palisade in its cortex, a rare feature among the polymastiids. Three new species of Sphaerotylus are described - S. renoufi from the British Isles, S. strobilis from South Africa and S. tjalfei from West Greenland. Transfer of one New Zealand species from Polymastia to Proteleia and of one Chilean species from Polymastia to Sphaerotylus is proposed. The present study provides a background for future integrative phylogenetic analyses based on comprehensive molecular and morphological datasets which should reveal the natural relationships between the polymastiid taxa.</t>
  </si>
  <si>
    <t>[Plotkin, Alexander; Rapp, Hans Tore] Univ Bergen, Dept Biol, Postbox 7803, N-5020 Bergen, Norway; [Morrow, Christine] Natl Univ Ireland Galway, Ryan Inst, Dept Zool, Univ Rd, Galway, Ireland; [Gerasimova, Elena] Radgivende Biol AS, N-5003 Bergen, Norway; [Rapp, Hans Tore] Univ Bergen, Ctr Geobiol, Postbox 7803, N-5020 Bergen, Norway; [Rapp, Hans Tore] Uni Res AS, Uni Environm, Postbox 7810, N-5020 Bergen, Norway</t>
  </si>
  <si>
    <t>University of Bergen; Ollscoil na Gaillimhe-University of Galway; University of Bergen; University of Bergen</t>
  </si>
  <si>
    <t>Plotkin, A (corresponding author), Univ Bergen, Dept Biol, Postbox 7803, N-5020 Bergen, Norway.</t>
  </si>
  <si>
    <t>alexander.s.plotkin@gmail.com</t>
  </si>
  <si>
    <t>Morrow, Christine/0000-0001-5686-8747</t>
  </si>
  <si>
    <t>Norwegian Biodiversity Information Centre, Artsdatabanken [70184219]; Norwegian Academy of Science and Letters; Queen's University Belfast, School of Biological Sciences; Beaufort Marine Biodiscovery Programme; Beaufort Marine Biodiscovery Research Award under the Sea Change Strategy; Strategy for Science Technology and Innovation; Marine Institute; Marine Research Sub-Programme of the National Development Plan; Deutsche Forschungsgemeinschaft; SYNTHESYS Project - European Community Research Infrastructure Action under the FP7 Integrating Activities Programme; European Union's Horizon research and innovation programme [679848]; University of Bergen</t>
  </si>
  <si>
    <t>Norwegian Biodiversity Information Centre, Artsdatabanken; Norwegian Academy of Science and Letters; Queen's University Belfast, School of Biological Sciences; Beaufort Marine Biodiscovery Programme; Beaufort Marine Biodiscovery Research Award under the Sea Change Strategy; Strategy for Science Technology and Innovation; Marine Institute; Marine Research Sub-Programme of the National Development Plan; Deutsche Forschungsgemeinschaft(German Research Foundation (DFG)); SYNTHESYS Project - European Community Research Infrastructure Action under the FP7 Integrating Activities Programme; European Union's Horizon research and innovation programme(Horizon 2020European Union (EU)Horizon Europe Research Infrastructures); University of Bergen</t>
  </si>
  <si>
    <t>This study was supported by the Norwegian Biodiversity Information Centre, Artsdatabanken (grant to HTR, project number 70184219); the Norwegian Academy of Science and Letters (grant to HTR), Queen's University Belfast, School of Biological Sciences and the Beaufort Marine Biodiscovery Programme (grant to CM). The studentship of CM was also funded by the Beaufort Marine Biodiscovery Research Award under the Sea Change Strategy and the Strategy for Science Technology and Innovation (2006-2013), with the support of the Marine Institute, funded under the Marine Research Sub-Programme of the National Development Plan 2007-2013. The visit of AP to the Museum fur Naturkunde in 2008 was financed by Deutsche Forschungsgemeinschaft (fellowship JA 1063/ 15-1), and the visit to the Natural History Museum in 2010 received support from the SYNTHESYS Project http://www.synthesys.info/which was financed by European Community Research Infrastructure Action under the FP7 Integrating Activities Programme. This work has received funding from the European Union's Horizon 2020 research and innovation programme under grant agreement No 679848 (the SponGES project). Open Access publication was made possible through support from the University of Bergen.</t>
  </si>
  <si>
    <t>10.1017/S0025315416000655</t>
  </si>
  <si>
    <t>WOS:000426420100014</t>
  </si>
  <si>
    <t>Cooper, MR; Leanza, HA</t>
  </si>
  <si>
    <t>Cooper, Michael R.; Leanza, Hector A.</t>
  </si>
  <si>
    <t>On the Steinmanellidae (Bivalvia: Myophorelloidea); their palaeobiogeography, evolution and classification</t>
  </si>
  <si>
    <t>NEUES JAHRBUCH FUR GEOLOGIE UND PALAONTOLOGIE-ABHANDLUNGEN</t>
  </si>
  <si>
    <t>Bivalvia; Trigoniida; Myophorelloidea; Steinmanellidae; evolution; classification; new taxa</t>
  </si>
  <si>
    <t>NEUQUEN BASIN; CRICKMAY BIVALVIA; ARGENTINA; GENUS; TRIGONIIDAE; TRIGONIOIDA</t>
  </si>
  <si>
    <t>The trigoniid group Pseudo-Quadratae was introduced for Cretaceous descendents of Myophorellidae with a convergent resemblance to Tethyan Quadratotrigoniinae (= Quadratae). Subsequently it was made the basis of the subfamily Steinmanellinae, which herein is elevated to family rank. The earliest record of the group is from the Early-Middle Kimmeridgian of the Tethyan Realm (American Province), from where it spread into the Boreal and Gondwanic realms. Steinmanellids rose to dominance in the cool temperate waters of the Andean Province, and the latter represents their centre of diversification. They are absent from the predominantly cold circum-polar waters of Southern and Eastern Gondwana, i.e. the Antarctic and Maorian provinces, as well as from the Australasian Province. The evolution of the group is tracked and two lineages identified, comprising 47 nominal species assigned to 14 genera, 9 of which are new: Stoyanowella, Philippiella, Garatella, Weaverella, Neuquenella, Pseudoyaadia, Popenoella, Louella, and Tashiroella. One lineage (Yaadiinae nov.) migrated northwards from its Tethyan origin into the Cordilleran Province of the Boreal Realm and thence, in the Late Cretaceous, to the Oriental Province, surviving in both biochores into the Maastrichtian. The second lineage, the subfamily Steinmanellinae, appeared in the Early-Middle Kimmeridgian of the American Province, but its centre of diversification was in the Andean Province where it appeared in the Early Tithonian and survived until the Late Hauterivian. From there it migrated eastwards into the Ethiopian Province, reaching as far as India, where it is recorded only from the Late Valanginian and Barremian.</t>
  </si>
  <si>
    <t>[Cooper, Michael R.] Durban Nat Sci Museum, P Bag 4085, ZA-4001 Durban, South Africa; [Leanza, Hector A.] Consejo Nacl Invest Cient &amp; Tecn, Museo Argentine Ciencias Nat, Dept Geol, Ave Angel Gallardo 470, RA-1405 Buenos Aires, DF, Argentina</t>
  </si>
  <si>
    <t>Consejo Nacional de Investigaciones Cientificas y Tecnicas (CONICET); Museo Argentino de Ciencias Naturales Bernardino Rivadavia (MACN)</t>
  </si>
  <si>
    <t>Cooper, MR (corresponding author), Durban Nat Sci Museum, P Bag 4085, ZA-4001 Durban, South Africa.</t>
  </si>
  <si>
    <t>mikecooper1946@gmail.com; hleanza@macn.gov.ar</t>
  </si>
  <si>
    <t>E SCHWEIZERBARTSCHE VERLAGSBUCHHANDLUNG</t>
  </si>
  <si>
    <t>STUTTGART</t>
  </si>
  <si>
    <t>NAEGELE U OBERMILLER, SCIENCE PUBLISHERS, JOHANNESSTRASSE 3A, D 70176 STUTTGART, GERMANY</t>
  </si>
  <si>
    <t>0077-7749</t>
  </si>
  <si>
    <t>NEUES JAHRB GEOL P-A</t>
  </si>
  <si>
    <t>Neues. Jahrb. Geol. Palaontol.-Abh.</t>
  </si>
  <si>
    <t>10.1127/njgpa/2017/0683</t>
  </si>
  <si>
    <t>FT6QL</t>
  </si>
  <si>
    <t>WOS:000423278600004</t>
  </si>
  <si>
    <t>Blanchard, JL; Watson, RA; Fulton, EA; Cottrell, RS; Nash, KL; Bryndum-Buchholz, A; Büchner, M; Carozza, DA; Cheung, WWL; Elliott, J; Davidson, LNK; Dulvy, NK; Dunne, JP; Eddy, TD; Galbraith, E; Lotze, HK; Maury, O; Müller, C; Tittensor, DP; Jennings, S</t>
  </si>
  <si>
    <t>Blanchard, Julia L.; Watson, Reg A.; Fulton, Elizabeth A.; Cottrell, Richard S.; Nash, Kirsty L.; Bryndum-Buchholz, Andrea; Buechner, Matthias; Carozza, David A.; Cheung, William W. L.; Elliott, Joshua; Davidson, Lindsay N. K.; Dulvy, Nicholas K.; Dunne, John P.; Eddy, Tyler D.; Galbraith, Eric; Lotze, Heike K.; Maury, Olivier; Mueller, Christoph; Tittensor, Derek P.; Jennings, Simon</t>
  </si>
  <si>
    <t>Linked sustainability challenges and trade-offs among fisheries, aquaculture and agriculture</t>
  </si>
  <si>
    <t>NATURE ECOLOGY &amp; EVOLUTION</t>
  </si>
  <si>
    <t>SMALL-SCALE FISHERIES; FEEDING 9 BILLION; GLOBAL FISH-MEAL; CLIMATE-CHANGE; FOOD SECURITY; CAPTURE FISHERIES; MARINE FISHERIES; IMPACTS; TRENDS; OCEAN</t>
  </si>
  <si>
    <t>Fisheries and aquaculture make a crucial contribution to global food security, nutrition and livelihoods. However, the UN Sustainable Development Goals separate marine and terrestrial food production sectors and ecosystems. To sustainably meet increasing global demands for fish, the interlinkages among goals within and across fisheries, aquaculture and agriculture sectors must be recognized and addressed along with their changing nature. Here, we assess and highlight development challenges for fisheries-dependent countries based on analyses of interactions and trade-offs between goals focusing on food, biodiversity and climate change. We demonstrate that some countries are likely to face double jeopardies in both fisheries and agriculture sectors under climate change. The strategies to mitigate these risks will be context-dependent, and will need to directly address the trade-offs among Sustainable Development Goals, such as halting biodiversity loss and reducing poverty. Countries with low adaptive capacity but increasing demand for food require greater support and capacity building to transition towards reconciling trade-offs. Necessary actions are context-dependent and include effective governance, improved management and conservation, maximizing societal and environmental benefits from trade, increased equitability of distribution and innovation in food production, including continued development of low input and low impact aquaculture.</t>
  </si>
  <si>
    <t>[Blanchard, Julia L.; Watson, Reg A.; Cottrell, Richard S.; Nash, Kirsty L.] Univ Tasmania, IMAS, GPO Box 252-49, Hobart, Tas 7001, Australia; [Blanchard, Julia L.; Watson, Reg A.; Fulton, Elizabeth A.; Cottrell, Richard S.; Nash, Kirsty L.] Univ Tasmania, Ctr Marine Socioecol, GPO Box 252-49, Hobart, Tas 7001, Australia; [Fulton, Elizabeth A.] CSIRO Oceans Atmosphere, GPO Box 1538, Hobart, Tas 7001, Australia; [Bryndum-Buchholz, Andrea; Eddy, Tyler D.; Lotze, Heike K.] Dalhousie Univ, Dept Biol, POB 15000, Halifax, NS B3H 4R2, Canada; [Buechner, Matthias; Mueller, Christoph] Potsdam Inst Climate Impact Res, Telegraphenberg A31, D-14473 Potsdam, Germany; [Carozza, David A.] Univ Quebec, Dept Math, Montreal, PQ, Canada; [Cheung, William W. L.] Univ British Columbia, Inst Oceans &amp; Fisheries, Changing Ocean Res Unit, AERL, 2202 Main Mall, Vancouver, BC V6T 1Z4, Canada; [Elliott, Joshua] Univ Chicago, Computat Inst, Chicago, IL 60637 USA; [Davidson, Lindsay N. K.; Dulvy, Nicholas K.] Simon Fraser Univ, Biol Sci, Earth Ocean Res Grp, 8888 Univ Dr, Burnaby, BC V5A 1S6, Canada; [Dunne, John P.] NOAA, Geophys Fluid Dynam Lab, Princeton, NJ 08540 USA; [Galbraith, Eric] Univ Autonoma Barcelona, ICTA, Bellaterra 08193, Spain; [Galbraith, Eric] Univ Autonoma Barcelona, Dept Math, Bellaterra 08193, Spain; [Galbraith, Eric] ICREA, Pg Lluis Co 23, Barcelona 08010, Spain; [Maury, Olivier] IRD, UMR MARBEC 248, Av Jean Monnet CS 30171, F-34203 Sete, France; [Tittensor, Derek P.] UN, Environm Programme, World Conservat Monitoring Ctr, 219 Huntingdon Rd, Cambridge CB3 0DL, England; [Jennings, Simon] Lowestoft Lab, Ctr Environm Fisheries &amp; Aquaculture Sci, Lowestoft NR33 0HT, Suffolk, England; [Jennings, Simon] Univ East Anglia, Sch Environm Sci, Norwich Res Pk, Norwich NR4 7TJ, Norfolk, England; [Jennings, Simon] Int Council Explorat Sea, HC Andersens Blvd 44-46, DK-1553 Copenhagen V, Denmark</t>
  </si>
  <si>
    <t>University of Tasmania; University of Tasmania; Commonwealth Scientific &amp; Industrial Research Organisation (CSIRO); Dalhousie University; Potsdam Institut fur Klimafolgenforschung; University of Quebec; University of Quebec Montreal; University of British Columbia; University of Chicago; Simon Fraser University; National Oceanic Atmospheric Admin (NOAA) - USA; Autonomous University of Barcelona; Autonomous University of Barcelona; ICREA; Institut de Recherche pour le Developpement (IRD); Ifremer; Universite de Montpellier; United Nations Environment Programme; Centre for Environment Fisheries &amp; Aquaculture Science; University of East Anglia</t>
  </si>
  <si>
    <t>Blanchard, JL (corresponding author), Univ Tasmania, IMAS, GPO Box 252-49, Hobart, Tas 7001, Australia.;Blanchard, JL (corresponding author), Univ Tasmania, Ctr Marine Socioecol, GPO Box 252-49, Hobart, Tas 7001, Australia.</t>
  </si>
  <si>
    <t>julia.blanchard@utas.edu.au</t>
  </si>
  <si>
    <t>Cheung, William/F-5104-2013; Dunne, John/F-8086-2012; Watson, Reg A/F-4850-2012; Blanchard, Julia L/E-4919-2010; Müller, Christoph/E-4812-2016; Tittensor, Derek P./AAV-1117-2021; Cottrell, Richard S./AAT-8401-2020; Nash, Kirsty L/B-5456-2015; Dulvy, Nicholas/I-2895-2012; Fulton, Beth/A-2871-2008; Fulton, Beth/AAJ-1398-2021; Eddy, Tyler/ABE-7092-2021; Maury, Olivier/I-4513-2013; Buchner, Matthias/C-1130-2017; Jennings, Simon/F-5085-2012</t>
  </si>
  <si>
    <t>Watson, Reg A/0000-0001-7201-8865; Müller, Christoph/0000-0002-9491-3550; Tittensor, Derek P./0000-0002-9550-3123; Cottrell, Richard S./0000-0002-6499-7503; Nash, Kirsty L/0000-0003-0976-3197; Dulvy, Nicholas/0000-0002-4295-9725; Fulton, Beth/0000-0002-5904-7917; Eddy, Tyler/0000-0002-2833-9407; Maury, Olivier/0000-0002-7999-9982; Buchner, Matthias/0000-0002-1382-7424; Lotze, Heike/0000-0001-6258-1304; Bryndum-Buchholz, Andrea/0000-0002-7635-7845; Carozza, David A/0000-0001-7343-9442; Blanchard, Julia/0000-0003-0532-4824; Jennings, Simon/0000-0002-2390-7225; Davidson, Lindsay NK/0000-0002-8899-5537</t>
  </si>
  <si>
    <t>UK Natural Environment Research Council (NERC) 'Marine Ecosystems Research Programme'; Centre for Marine Socioecology; Institute for Marine and Antarctic Studies; Australian Integrated Marine Observing System; CSIRO; Australian Research Council Discovery project [DP140101377]; Fisheries Research and Development Corporation on behalf of the Australian government [2010/023]; UK Department of Environment, Food and Rural Affairs [MF1225]; German Federal Ministry of Education and Research (BMBF) through the Inter-Sectoral Impact Model Intercomparison Project (ISI-MIP) [01LS1201A1]; Natural Sciences and Engineering Research Council (NSERC) of Canada; Kanne Rassmussen Foundation, Denmark</t>
  </si>
  <si>
    <t>UK Natural Environment Research Council (NERC) 'Marine Ecosystems Research Programme'; Centre for Marine Socioecology; Institute for Marine and Antarctic Studies; Australian Integrated Marine Observing System; CSIRO(Commonwealth Scientific &amp; Industrial Research Organisation (CSIRO)); Australian Research Council Discovery project(Australian Research Council); Fisheries Research and Development Corporation on behalf of the Australian government(Fisheries R&amp;D Corp); UK Department of Environment, Food and Rural Affairs(Department for Environment, Food &amp; Rural Affairs (DEFRA)); German Federal Ministry of Education and Research (BMBF) through the Inter-Sectoral Impact Model Intercomparison Project (ISI-MIP)(Federal Ministry of Education &amp; Research (BMBF)); Natural Sciences and Engineering Research Council (NSERC) of Canada(Natural Sciences and Engineering Research Council of Canada (NSERC)); Kanne Rassmussen Foundation, Denmark</t>
  </si>
  <si>
    <t>J.L.B. acknowledges funding from the UK Natural Environment Research Council (NERC) 'Marine Ecosystems Research Programme', the Centre for Marine Socioecology, the Institute for Marine and Antarctic Studies, the Australian Integrated Marine Observing System and CSIRO. R.A.W. acknowledges funding support from the Australian Research Council Discovery project support (DP140101377). E.A.F acknowledges funding support from the Fisheries Research and Development Corporation (2010/023) on behalf of the Australian government. S.J. acknowledges funding support from the UK Department of Environment, Food and Rural Affairs (project MF1225 'Integration of environmental and fisheries management'). Financial support for the fisheries and agriculture production data was provided by the German Federal Ministry of Education and Research (BMBF, grant no. 01LS1201A1) through the Inter-Sectoral Impact Model Intercomparison Project (ISI-MIP). H.K.L acknowledges funding support from the Natural Sciences and Engineering Research Council (NSERC) of Canada. D.P.T. acknowledges funding from the Kanne Rassmussen Foundation, Denmark. We thank T. Smith and V. Saba for comments that greatly helped us improve earlier drafts.</t>
  </si>
  <si>
    <t>2397-334X</t>
  </si>
  <si>
    <t>NAT ECOL EVOL</t>
  </si>
  <si>
    <t>Nat. Ecol. Evol.</t>
  </si>
  <si>
    <t>10.1038/s41559-017-0258-8</t>
  </si>
  <si>
    <t>FO9EI</t>
  </si>
  <si>
    <t>WOS:000417190400013</t>
  </si>
  <si>
    <t>Deignan, A</t>
  </si>
  <si>
    <t>Deignan, Alice</t>
  </si>
  <si>
    <t>Metaphors in texts about climate change</t>
  </si>
  <si>
    <t>IBERICA</t>
  </si>
  <si>
    <t>metaphor; science; climate change; education; schools</t>
  </si>
  <si>
    <t>BALANCE</t>
  </si>
  <si>
    <t>This article discusses the use of metaphors and metonyms in texts about climate change in different registers, with a particular focus on the information given to young people, and what they understand about the topic. It begins by considering the role of metaphorical thinking and language in science, and reviews some of the work on scientific metaphor in expert and popular genres. The article analyses the different functions of metaphors in two texts about anthropogenic climate change from different genres, arguing that in the popular text analysed metaphors tend to have the function of entertaining and dramatizing, and introducing and concluding (interpersonal and textual), as opposed to their informational (ideational) function in the research article that was analysed. I then discuss a corpus and discourse analysis of young people's talk about climate change. The young people's use of figurative language is compared with that of researchers and educationalists. The analysis finds that, consistent with work on scientific popularisations, written texts for non-specialists tend to open up in Knudsen's (2003) terms experts' metaphors, extending them creatively. I found that on occasion this seems to lead to, or reflect, misunderstandings of the underlying science. I also find that young people reference Arctic and Antarctic animals as symbols of the problem of climate change.</t>
  </si>
  <si>
    <t>[Deignan, Alice] Univ Leeds, Appl Linguist, Sch Educ, Leeds, W Yorkshire, England</t>
  </si>
  <si>
    <t>University of Leeds</t>
  </si>
  <si>
    <t>Deignan, A (corresponding author), Univ Leeds, Appl Linguist, Sch Educ, Leeds, W Yorkshire, England.</t>
  </si>
  <si>
    <t>a.h.deignan@education.leeds.ac.uk</t>
  </si>
  <si>
    <t>Arts and Humanities Research Council, UK [AH/M003809/1]</t>
  </si>
  <si>
    <t>Arts and Humanities Research Council, UK(UK Research &amp; Innovation (UKRI)Arts &amp; Humanities Research Council (AHRC))</t>
  </si>
  <si>
    <t>The research into young people's understandings of climate change described here is part of a larger project called Translating Science for Young People, funded by the Arts and Humanities Research Council, UK (grant number AH/M003809/1). I am grateful to the other investigators Elena Semino (Lancaster University) and Indira Banner (Leeds University), to the Research Fellow, Shirley-Anne Paul (Leeds University), who conducted the interviews, to the young people who took part in the interviews, and to their science teachers.</t>
  </si>
  <si>
    <t>AELFE</t>
  </si>
  <si>
    <t>CASTELLO</t>
  </si>
  <si>
    <t>UNIV JAUME I, FAC CIENCIES HUMANAS &amp; SOCIALS, DEPT ESTUDIS ANGLESOS, CAMPUS RIU SEC, S-N, CASTELLO, 12071, SPAIN</t>
  </si>
  <si>
    <t>1139-7241</t>
  </si>
  <si>
    <t>2340-2784</t>
  </si>
  <si>
    <t>Iberica</t>
  </si>
  <si>
    <t>FAL</t>
  </si>
  <si>
    <t>Linguistics; Language &amp; Linguistics</t>
  </si>
  <si>
    <t>Social Science Citation Index (SSCI); Arts &amp; Humanities Citation Index (A&amp;HCI)</t>
  </si>
  <si>
    <t>Linguistics</t>
  </si>
  <si>
    <t>FP1LM</t>
  </si>
  <si>
    <t>WOS:000417374500003</t>
  </si>
  <si>
    <t>Moreau, S; Della Penna, A; Llort, J; Patel, R; Langlais, C; Boyd, PW; Matear, RJ; Phillips, HE; Trull, TW; Tilbrook, B; Lenton, A; Strutton, PG</t>
  </si>
  <si>
    <t>Moreau, Sebastien; Della Penna, Alice; Llort, Joan; Patel, Ramkrushnbhai; langlais, ClothilDe; Boyd, Philip W.; Matear, Richard J.; Phillips, Helen E.; Trull, Thomas W.; Tilbrook, Bronte; Lenton, Andrew; Strutton, Peter G.</t>
  </si>
  <si>
    <t>Eddy-induced carbon transport across the Antarctic Circumpolar Current</t>
  </si>
  <si>
    <t>GLOBAL BIOGEOCHEMICAL CYCLES</t>
  </si>
  <si>
    <t>SOUTHERN-OCEAN; MESOSCALE EDDIES; DELTA-PCO(2) VARIATION; PHYTOPLANKTON BIOMASS; KERGUELEN PLATEAU; ANNUAL CYCLE; PRYDZ BAY; SEA; IRON; CO2</t>
  </si>
  <si>
    <t>The implications of a mesoscale eddy for relevant properties of the Southern Ocean carbon cycle are examined with in situ observations. We explored carbon properties inside a large (similar to 190 km diameter) cyclonic eddy that detached from the Subantarctic Front (SAF) south of Tasmania in March 2016. Based on remote sensing, the eddy was present for similar to 2 months in the Subantarctic Zone (SAZ), an important region of oceanic carbon dioxide (CO2) uptake throughout the annual cycle and carbon subduction (i.e., where mode and intermediate waters form), before it was reabsorbed into the SAF. The eddy was sampled during the middle of its life, 1 month after it spawned. Comparatively, the eddy was similar to 3 degrees C colder, 0.5 practical salinity unit fresher, and less biologically productive than surrounding SAZ waters. The eddy was also richer in dissolved inorganic carbon (DIC) and had lower saturation states of aragonite and calcite than the surrounding SAZ waters. As a consequence, it was a strong source of CO2 to the atmosphere (with fluxes up to +25 mmol C m(-2) d(-1)). Compared to the SAF waters, from which it originated, DIC concentration in the eddy was similar to 20 mu mol kg(-1) lower, indicating lateral mixing, small-scale recirculation, or eddy stirring with lower-DIC SAZ waters by the time the eddy was observed. As they are commonly spawned from the Antarctic Circumpolar Current, and as 50% of them decay in the SAZ (the rest being reabsorbed by the SAF-N), these types of eddies may represent a significant south-north transport pathway for carbon across the ACC and may alter the carbon properties of SAZ waters.</t>
  </si>
  <si>
    <t>[Moreau, Sebastien; Della Penna, Alice; Llort, Joan; Patel, Ramkrushnbhai; Boyd, Philip W.; Phillips, Helen E.; Trull, Thomas W.; Lenton, Andrew; Strutton, Peter G.] Univ Tasmania, Inst Marine &amp; Antarctic Studies, Hobart, Tas, Australia; [Moreau, Sebastien; Boyd, Philip W.; Lenton, Andrew; Strutton, Peter G.] Univ Tasmania, Australian Res Council Antarctic Gateway Partners, Hobart, Tas, Australia; [Moreau, Sebastien; langlais, ClothilDe; Matear, Richard J.; Trull, Thomas W.; Tilbrook, Bronte; Lenton, Andrew] CSIRO, Oceans &amp; Atmosphere, Hobart, Tas, Australia; [Della Penna, Alice; Trull, Thomas W.; Tilbrook, Bronte; Lenton, Andrew] Univ Tasmania, Antarctic Climate &amp; Ecosyst Cooperat Res Ctr, Hobart, Tas, Australia; [Della Penna, Alice] Univ Aix Marseille, Luminy, France; [Llort, Joan; Patel, Ramkrushnbhai; Matear, Richard J.; Phillips, Helen E.; Strutton, Peter G.] Univ Tasmania, Australian Res Council Ctr Excellence Climate Sys, Hobart, Tas, Australia</t>
  </si>
  <si>
    <t>University of Tasmania; University of Tasmania; Commonwealth Scientific &amp; Industrial Research Organisation (CSIRO); Antarctic Climate &amp; Ecosystems Cooperative Research Centre (ACE CRC); University of Tasmania; Aix-Marseille Universite; University of Tasmania</t>
  </si>
  <si>
    <t>Moreau, S (corresponding author), Univ Tasmania, Inst Marine &amp; Antarctic Studies, Hobart, Tas, Australia.;Moreau, S (corresponding author), Univ Tasmania, Australian Res Council Antarctic Gateway Partners, Hobart, Tas, Australia.;Moreau, S (corresponding author), CSIRO, Oceans &amp; Atmosphere, Hobart, Tas, Australia.</t>
  </si>
  <si>
    <t>sebastien.moreau@utas.edu.au</t>
  </si>
  <si>
    <t>Tilbrook, Bronte/W-4007-2019; Patel, Ramkrushnbhai Shaileshbhai/HGD-7314-2022; Phillips, Helen/I-3761-2013; Langlais, Clothilde/AAI-9859-2021; Llort, Joan/O-6182-2019; Llort, Joan/O-2162-2017; Boyd, Philip/J-7624-2014; Strutton, Peter/C-4466-2011; Lenton, Andrew/D-2077-2012; matear, richard/C-5133-2011</t>
  </si>
  <si>
    <t>Tilbrook, Bronte/0000-0001-9385-3827; Patel, Ramkrushnbhai Shaileshbhai/0000-0002-5302-6509; Phillips, Helen/0000-0002-2941-7577; Langlais, Clothilde/0000-0002-6423-7678; Llort, Joan/0000-0003-1490-4521; Llort, Joan/0000-0003-1490-4521; Boyd, Philip/0000-0001-7850-1911; Strutton, Peter/0000-0002-2395-9471; Moreau, Sebastien/0000-0001-9446-812X; Lenton, Andrew/0000-0001-9437-8896; matear, richard/0000-0002-3225-0800; Della Penna, Alice/0000-0002-7579-3610</t>
  </si>
  <si>
    <t>Australian Research Council's Special Research Initiative for Antarctic Gateway Partnership [SR140300001]; Australian Research Council ARC Discovery Grant [DP160102870]; Integrated Marine Observing System (IMOS)-IMOS - Australian Government through the National Collaborative Research Infrastructure Strategy; Super Science Initiative</t>
  </si>
  <si>
    <t>Australian Research Council's Special Research Initiative for Antarctic Gateway Partnership(Australian Research Council); Australian Research Council ARC Discovery Grant(Australian Research Council); Integrated Marine Observing System (IMOS)-IMOS - Australian Government through the National Collaborative Research Infrastructure Strategy; Super Science Initiative</t>
  </si>
  <si>
    <t>This research was supported under Australian Research Council's Special Research Initiative for Antarctic Gateway Partnership (Project ID SR140300001), by the Australian Research Council ARC Discovery Grant DP160102870, and ship time from Australia's Marine National Facility. pCO2 data collection was funded by the Integrated Marine Observing System (IMOS)-IMOS is supported by the Australian Government through the National Collaborative Research Infrastructure Strategy and the Super Science Initiative. We particularly thank John Akl and Craig Neill (CSIRO) for setup of CO2 measuring equipment and providing final CO2 data. All data from the underway system are available at https://portal.aodn.org.au/search. We are very thankful to the CSIRO hydro-chemists, Cassie Schwanger and Kendall Sherrin. We also thank very much the officers, the crew, and research staff of Marine National Facility R.V. Investigator for their help with data collection. We are also grateful to all our shipmates from the Eddy, CAPRICORN, and SOTS projects carried out together on voyage IN2016_V02. This study is part of the EDDY project: http://southernoceaneddie.wixsite.com/eddies.</t>
  </si>
  <si>
    <t>0886-6236</t>
  </si>
  <si>
    <t>1944-9224</t>
  </si>
  <si>
    <t>GLOBAL BIOGEOCHEM CY</t>
  </si>
  <si>
    <t>Glob. Biogeochem. Cycle</t>
  </si>
  <si>
    <t>10.1002/2017GB005669</t>
  </si>
  <si>
    <t>FO2QE</t>
  </si>
  <si>
    <t>WOS:000416624000001</t>
  </si>
  <si>
    <t>Kwan, TN; Bolch, C; Bowman, J</t>
  </si>
  <si>
    <t>Kwan, Tzu Nin; Bolch, Christopher; Bowman, John</t>
  </si>
  <si>
    <t>Necrotic disease in bivalve larval cultures</t>
  </si>
  <si>
    <t>MICROBIOLOGY AUSTRALIA</t>
  </si>
  <si>
    <t>The health of marine bivalve larvae is greatly affected by bacteria in the environment particularly when reared in marine hatcheries. This is generally because high stocking densities resulting in high organic loads of both food and faeces, can support increased bacterial growth and biomass levels. Increased bacterial load can lead to larval disease referred to as bacillary necrosis (BN) leading in turn to rapid larval mortality and loss of production. Despite more than 50 years since the first detailed description of BN, we still do not fully understand its causes and mechanisms. Through the manipulation of a model larval culture of the Australian blue mussels (Mytilus galloprovincialis), we determined that BN is linked with rapid and systematic changes in the bacterial community.</t>
  </si>
  <si>
    <t>[Kwan, Tzu Nin] Univ Tasmania, Inst Marine &amp; Antarctic Studies, 21 Nubeena Crescent, Taroona, Tas 7053, Australia; [Bolch, Christopher] Univ Tasmania, Inst Marine &amp; Antarctic Studies, Sci Bldg, Newham, Tas 7248, Australia; [Bowman, John] Univ Tasmania, Tasmanian Inst Agr, Life Sci Bldg,Coll Rd, Sandy Bay, Tas 7005, Australia</t>
  </si>
  <si>
    <t>University of Tasmania; University of Tasmania; University of Tasmania</t>
  </si>
  <si>
    <t>Kwan, TN (corresponding author), Univ Tasmania, Inst Marine &amp; Antarctic Studies, 21 Nubeena Crescent, Taroona, Tas 7053, Australia.</t>
  </si>
  <si>
    <t>Tzu.Kwan@utas.edu.au; chris.bolch@utas.edu.au; john.bowman@utas.edu.au</t>
  </si>
  <si>
    <t>Bowman, John P/C-2414-2014; Bowman, John P./ABF-5108-2020; Bolch, Christopher J/J-7619-2014</t>
  </si>
  <si>
    <t>Bowman, John P/0000-0002-4528-9333; Bowman, John P./0000-0002-4528-9333;</t>
  </si>
  <si>
    <t>CSIRO PUBLISHING</t>
  </si>
  <si>
    <t>CLAYTON</t>
  </si>
  <si>
    <t>UNIPARK, BLDG 1, LEVEL 1, 195 WELLINGTON RD, LOCKED BAG 10, CLAYTON, VIC 3168, AUSTRALIA</t>
  </si>
  <si>
    <t>1324-4272</t>
  </si>
  <si>
    <t>2201-9189</t>
  </si>
  <si>
    <t>MICROBIOL AUST</t>
  </si>
  <si>
    <t>Microbiol. Aust.</t>
  </si>
  <si>
    <t>10.1071/MA17048</t>
  </si>
  <si>
    <t>FO3ES</t>
  </si>
  <si>
    <t>WOS:000416701700008</t>
  </si>
  <si>
    <t>Lewis, LR; Ickert-Bond, SM; Biersma, EM; Convey, P; Goffinet, B; Hassel, K; Kruijer, H; La Farge, C; Metzgar, J; Stech, M; Villarreal, JC; McDaniel, SF</t>
  </si>
  <si>
    <t>Lewis, Lily R.; Ickert-Bond, Stefanie M.; Biersma, Elisabeth M.; Convey, Peter; Goffinet, Bernard; Hassel, Kristian; Kruijer, Hans (J. D. ); La Farge, Catherine; Metzgar, Jordan; Stech, Michael; Villarreal, Juan Carlos; McDaniel, Stuart F.</t>
  </si>
  <si>
    <t>Future directions and priorities for Arctic bryophyte research</t>
  </si>
  <si>
    <t>ARCTIC SCIENCE</t>
  </si>
  <si>
    <t>biodiversity; dispersal; local adaptation; microbiome; phylogeography</t>
  </si>
  <si>
    <t>LATITUDINAL DIVERSITY GRADIENT; POPULUS-BALSAMIFERA L.; BOREAL FEATHER MOSSES; GENETIC DIVERSITY; LOCAL ADAPTATION; VASCULAR PLANTS; NORTH-AMERICA; ECOTYPIC DIFFERENTIATION; ERIOPHORUM-VAGINATUM; SPHAGNUM MICROBIOME</t>
  </si>
  <si>
    <t>The development of evidence-based international strategies for the conservation and management of Arctic ecosystems in the face of climate change is hindered by critical knowledge gaps in Arctic floristic diversity and evolution. Particularly poorly studied are the bryophytes, which dominate the vegetation across vast areas of the Arctic and consequently play an important role in global biogeochemical cycles. Currently, much of what is known about Arctic floristic evolution is based on studies of vascular plants. Bryophytes, however, possess a number of features, such as poikilohydry, totipotency, several reproductive strategies, and the ability to disperse through microscopic diaspores, that may cause their responses to Arctic environments to differ from those of the vascular plants. Here we discuss several priority areas identified in the Arctic Council's Arctic Biodiversity Assessment that are necessary to illuminate patterns of Arctic bryophyte evolution and diversity, including dispersal, glacial refugia, local adaptation, and ecological interactions with bryophyte- associated microbiomes. A survey of digitally available herbarium data archived in the largest online aggregate, GBIF, across the Arctic to boreal zones indicates that sampling coverage of mosses is heterogeneous and relatively sparse in the Arctic sensu stricto. A coordinated international effort across the Arctic will be necessary to address knowledge gaps in Arctic bryophyte diversity and evolution in the context of ongoing climate change.</t>
  </si>
  <si>
    <t>[Lewis, Lily R.; McDaniel, Stuart F.] Univ Florida, Dept Biol, POB 118525, Gainesville, FL 32611 USA; [Ickert-Bond, Stefanie M.; Metzgar, Jordan] Univ Alaska Fairbanks, Herbarium, UA Museum, 907 Yukon Dr, Fairbanks, AK 99775 USA; [Ickert-Bond, Stefanie M.; Metzgar, Jordan] Univ Alaska Fairbanks, Dept Biol &amp; Wildlife, 907 Yukon Dr, Fairbanks, AK 99775 USA; [Biersma, Elisabeth M.] Univ Cambridge, Dept Plant Sci, Downing St, Cambridge CB2 3EA, England; [Biersma, Elisabeth M.; Convey, Peter] NERC, British Antarctic Survey, Madingley Rd, Cambridge CB3 0ET, England; [Goffinet, Bernard] Univ Connecticut, Dept Ecol &amp; Evolutionary Biol, Storrs, CT 06269 USA; [Hassel, Kristian] Norwegian Univ Sci &amp; Technol, Dept Nat Hist, NTNU Univ Museum, NO-7491 Trondheim, Norway; [Kruijer, Hans (J. D. ); Stech, Michael] Nat Biodivers Ctr, POB 9517, NL-2300 RA Leiden, Netherlands; [La Farge, Catherine] Univ Alberta, Dept Biol Sci, Edmonton, AB T6G 2E9, Canada; [Villarreal, Juan Carlos] Univ Laval, Dept Biol, Quebec City, PQ G1V 0A6, Canada; [Villarreal, Juan Carlos] Smithsonian Trop Res Inst, Panama City 084303092, Panama</t>
  </si>
  <si>
    <t>State University System of Florida; University of Florida; University of Alaska System; University of Alaska Fairbanks; University of Alaska System; University of Alaska Fairbanks; University of Cambridge; UK Research &amp; Innovation (UKRI); Natural Environment Research Council (NERC); NERC British Antarctic Survey; University of Connecticut; Norwegian University of Science &amp; Technology (NTNU); Naturalis Biodiversity Center; University of Alberta; Laval University; Smithsonian Institution; Smithsonian Tropical Research Institute</t>
  </si>
  <si>
    <t>Lewis, LR (corresponding author), Univ Florida, Dept Biol, POB 118525, Gainesville, FL 32611 USA.</t>
  </si>
  <si>
    <t>LilyRLewis@gmail.com</t>
  </si>
  <si>
    <t>Biersma, Elisabeth Machteld/JKI-1084-2023; Biersma, Elisabeth Machteld/AAL-9818-2020; Convey, Peter/AAV-5728-2020; Ickert-Bond, Stefanie M./B-3216-2012; Hassel, Kristian/AAD-7241-2022; Villarreal A., Juan Carlos/C-6277-2018</t>
  </si>
  <si>
    <t>Biersma, Elisabeth Machteld/0000-0002-9877-2177; Convey, Peter/0000-0001-8497-9903; Hassel, Kristian/0000-0002-1906-8166; Metzgar, Jordan/0000-0002-4641-9929; Villarreal A., Juan Carlos/0000-0002-0770-1446; Kruijer, Hans/0000-0002-6768-5230</t>
  </si>
  <si>
    <t>US National Science Foundation Dimensions of Biodiversity Grant [DEB-1542609]; UK Natural Environment Research Council; NERC [NE/K50094X/1]; NSF [DEB-1146295, 1240045]; Netherlands Organisation for Scientific Research (NWO) [ALW-NAP/08-01]; EU program INTERACT Transnational Access [ARCFAC-026129-2008-31, ARCFAC-026129-2009-123]; EU program ARCFAC V [ARCFAC-026129-2008-31, ARCFAC-026129-2009-123]; Royal Netherland Navy; Netherlands Scientific Expedition Edgeoya Spitsbergen (SEES); Direct For Biological Sciences; Division Of Environmental Biology [1240045, 1542609] Funding Source: National Science Foundation; Natural Environment Research Council [bas0100036, 1246575] Funding Source: researchfish; NERC [bas0100036] Funding Source: UKRI</t>
  </si>
  <si>
    <t>US National Science Foundation Dimensions of Biodiversity Grant(National Science Foundation (NSF)NSF - Directorate for Biological Sciences (BIO)); UK Natural Environment Research Council(UK Research &amp; Innovation (UKRI)Natural Environment Research Council (NERC)); NERC(UK Research &amp; Innovation (UKRI)Natural Environment Research Council (NERC)); NSF(National Science Foundation (NSF)); Netherlands Organisation for Scientific Research (NWO)(Netherlands Organization for Scientific Research (NWO)); EU program INTERACT Transnational Access; EU program ARCFAC V; Royal Netherland Navy; Netherlands Scientific Expedition Edgeoya Spitsbergen (SEES); Direct For Biological Sciences; Division Of Environmental Biology(National Science Foundation (NSF)NSF - Directorate for Biological Sciences (BIO)); Natural Environment Research Council(UK Research &amp; Innovation (UKRI)Natural Environment Research Council (NERC)); NERC(UK Research &amp; Innovation (UKRI)Natural Environment Research Council (NERC))</t>
  </si>
  <si>
    <t>The authors would like to acknowledge the expertise of our many colleagues and hope that this review will serve to stimulate discussions on the future of Arctic bryology. L.R.L. and S.F.M. were supported by a US National Science Foundation Dimensions of Biodiversity Grant (DEB-1542609). P.C. is supported by UK Natural Environment Research Council core funding to the British Antarctic Survey's Biodiversity, Evolution and Adaptation Team and E.M.B. by a NERC Ph.D. studentship (reference No. NE/K50094X/1). B.G. is funded by NSF grants (DEB-1146295 and 1240045). M.S. and J.D.K. received support from the Netherlands Organisation for Scientific Research (NWO grant ALW-NAP/08-01), EU programs INTERACT Transnational Access and ARCFAC V (grants ARCFAC-026129-2008-31 and ARCFAC-026129-2009-123), Royal Netherland Navy (Jan Mayen expedition 2014), and Netherlands Scientific Expedition Edgeoya Spitsbergen (SEES) 2015.</t>
  </si>
  <si>
    <t>CANADIAN SCIENCE PUBLISHING</t>
  </si>
  <si>
    <t>2368-7460</t>
  </si>
  <si>
    <t>ARCT SCI</t>
  </si>
  <si>
    <t>Arct. Sci.</t>
  </si>
  <si>
    <t>10.1139/as-2016-0043</t>
  </si>
  <si>
    <t>Ecology; Environmental Sciences; Multidisciplinary Sciences</t>
  </si>
  <si>
    <t>Environmental Sciences &amp; Ecology; Science &amp; Technology - Other Topics</t>
  </si>
  <si>
    <t>FN9YR</t>
  </si>
  <si>
    <t>WOS:000416399600002</t>
  </si>
  <si>
    <t>Meier, WN; Stewart, JS; Liu, YH; Key, J; Miller, JA</t>
  </si>
  <si>
    <t>Meier, Walter N.; Stewart, J. Scott; Liu, Yinghui; Key, Jeffrey; Miller, Jeffrey A.</t>
  </si>
  <si>
    <t>Operational Implementation of Sea Ice Concentration Estimates From the AMSR2 Sensor</t>
  </si>
  <si>
    <t>IEEE JOURNAL OF SELECTED TOPICS IN APPLIED EARTH OBSERVATIONS AND REMOTE SENSING</t>
  </si>
  <si>
    <t>AMSR2; Antarctic; Arctic; passive microwave; remote sensing; sea ice</t>
  </si>
  <si>
    <t>PARAMETERS; RETRIEVAL</t>
  </si>
  <si>
    <t>An operation implementation of a passive microwave sea ice concentration algorithm to support NOAA's operational mission is presented. The NASA team 2 algorithm, previously developed for the NASA advanced microwave scanning radiometer for the Earth observing system (AMSR-E) product suite, is adapted for operational use with the JAXA AMSR2 sensor through several enhancements. First, the algorithm is modified to process individual swaths and provide concentration from the most recent swaths instead of a 24-hour average. A latency (time since observation) field and a 24-hour concentration range (maximum-minimum) are included to provide indications of data timeliness and variability. Concentration from the Bootstrap algorithm is a secondary field to provide complementary sea ice information. A quality flag is implemented to provide information on interpolation, filtering, and other quality control steps. The AMSR2 concentration fields are compared with a different AMSR2 passive microwave product, and then validated via comparison with sea ice concentration from the Suomi visible and infrared imaging radiometer suite. This validation indicates the AMSR2 concentrations have a bias of 3.9% and an RMSE of 11.0% in the Arctic, and a bias of 4.45% and RMSE of 8.8% in the Antarctic. In most cases, the NOAA operational requirements for accuracy are met. However, in low-concentration regimes, such as during melt and near the ice edge, errors are higher because of the limitations of passive microwave sensors and the algorithm retrieval.</t>
  </si>
  <si>
    <t>[Meier, Walter N.; Miller, Jeffrey A.] NASA, Goddard Space Flight Ctr, Cryospher Sci Lab, Greenbelt, MD 20771 USA; [Stewart, J. Scott] Natl Snow &amp; Ice Data Ctr, Boulder, CO 80309 USA; [Liu, Yinghui] Univ Wisconsin, Cooperat Inst Meteorol Satellite Studies, Madison, WI 53706 USA; [Key, Jeffrey] NOAA, Natl Environm Satellite Data &amp; Informat Serv, Madison, WI 53706 USA; [Miller, Jeffrey A.] ADNET Syst Inc, Bethesda, MD 20817 USA</t>
  </si>
  <si>
    <t>National Aeronautics &amp; Space Administration (NASA); NASA Goddard Space Flight Center; University of Wisconsin System; University of Wisconsin Madison; National Oceanic Atmospheric Admin (NOAA) - USA</t>
  </si>
  <si>
    <t>Meier, WN (corresponding author), NASA, Goddard Space Flight Ctr, Cryospher Sci Lab, Greenbelt, MD 20771 USA.</t>
  </si>
  <si>
    <t>walt.meier@nasa.gov; scottincolorado@gmail.com; yinghuil@ssec.wisc.edu; jeff.key@noaa.gov; Jeffrey.a.miller@nasa.gov</t>
  </si>
  <si>
    <t>Key, Jeffrey R./AAB-7248-2020; Meier, Walter/AAI-9583-2021</t>
  </si>
  <si>
    <t>National Oceanic and Atmospheric Administration Joint Polar Satellite System program; NASA</t>
  </si>
  <si>
    <t>National Oceanic and Atmospheric Administration Joint Polar Satellite System program(National Oceanic Atmospheric Admin (NOAA) - USA); NASA(National Aeronautics &amp; Space Administration (NASA))</t>
  </si>
  <si>
    <t>This work was supported in part by the National Oceanic and Atmospheric Administration Joint Polar Satellite System program and in part by NASA. (Corresponding author: Walter N. Meier.)</t>
  </si>
  <si>
    <t>1939-1404</t>
  </si>
  <si>
    <t>2151-1535</t>
  </si>
  <si>
    <t>IEEE J-STARS</t>
  </si>
  <si>
    <t>IEEE J. Sel. Top. Appl. Earth Observ. Remote Sens.</t>
  </si>
  <si>
    <t>10.1109/JSTARS.2017.2693120</t>
  </si>
  <si>
    <t>Engineering, Electrical &amp; Electronic; Geography, Physical; Remote Sensing; Imaging Science &amp; Photographic Technology</t>
  </si>
  <si>
    <t>Engineering; Physical Geography; Remote Sensing; Imaging Science &amp; Photographic Technology</t>
  </si>
  <si>
    <t>FJ3IU</t>
  </si>
  <si>
    <t>WOS:000412626400008</t>
  </si>
  <si>
    <t>Nihashi, S; Ohshima, KI; Tamura, T</t>
  </si>
  <si>
    <t>Nihashi, Sohey; Ohshima, Kay I.; Tamura, Takeshi</t>
  </si>
  <si>
    <t>Sea-Ice Production in Antarctic Coastal Polynyas Estimated From AMSR2 Data and Its Validation Using AMSR-E and SSM/I-SSMIS Data</t>
  </si>
  <si>
    <t>Advanced Microwave Scanning Radiometer 2 (AMSR2); Antarctic coastal polynyas; sea-ice production</t>
  </si>
  <si>
    <t>BOTTOM WATER FORMATION; SOUTHERN WEDDELL SEA; MERTZ GLACIER POLYNYA; EAST ANTARCTICA; ARCTIC-OCEAN; FRAZIL ICE; LAND COAST; THICKNESS; VARIABILITY; MODIS</t>
  </si>
  <si>
    <t>Antarctic coastal polynyas are very high sea-ice production areas. The resultant large amount of brine rejection leads to the formation of dense water. The dense water forms Antarctic bottom water, which is the densest water in the global overturning circulation and a key player in climate change as a significant sink for heat and carbon dioxide. In this study, an algorithm was developed that uses Advanced Microwave Scanning Radiometer 2 (AMSR2) data (2012-present) to detect polynya area and estimates thin ice thickness by a method similar to that used to develop the algorithm for Advanced Microwave Scanning Radiometer for EOS (AMSR-E) data. Landfast sea-ice areas were also detected using AMSR2 data. Ice production in the polynyas was estimated by a heat flux calculation using AMSR2 sea-ice data. In four major polynyas, AMSR2 ice production was compared with AMSR-E (2003-2011) ice production through comparison of them with Special Sensor Microwave Imager (SSM/I) and Special Sensor Microwave Imager/Sounder (SSMIS) ice production. The comparison confirmed that the ice production from AMSR-E/2 data, which have higher spatial resolution than SSM/I-SSMIS data, can be used to analyze time series covering more than 10 years. For example, maps of annual ice production based on AMSR-E/2 data revealed detailed changes of the Mertz Polynya, where the ice production decreased significantly after the Mertz Glacier Tongue calving in 2010. Continuous monitoring of the coastal polynyas by the AMSR series sensors is essential for climate-change-related analyses in the Antarctic Ocean.</t>
  </si>
  <si>
    <t>[Nihashi, Sohey] Tomakomai Coll, Natl Inst Technol, Dept Engn Innovat, Tomakomai 0591275, Japan; [Ohshima, Kay I.] Hokkaido Univ, Inst Low Temp Sci, Sapporo, Hokkaido 0600819, Japan; [Tamura, Takeshi] Natl Inst Polar Res, Tokyo 1908518, Japan; [Tamura, Takeshi] Grad Univ Adv Studies, SOKENDAI, Tokyo 1908518, Japan; [Tamura, Takeshi] Univ Tasmania, Antarctic Climate &amp; Ecosyst Cooperat Res Ctr, Hobart, Tas 7001, Australia</t>
  </si>
  <si>
    <t>Hokkaido University; Research Organization of Information &amp; Systems (ROIS); National Institute of Polar Research (NIPR) - Japan; Graduate University for Advanced Studies - Japan; University of Tasmania; Antarctic Climate &amp; Ecosystems Cooperative Research Centre (ACE CRC)</t>
  </si>
  <si>
    <t>Nihashi, S (corresponding author), Tomakomai Coll, Natl Inst Technol, Dept Engn Innovat, Tomakomai 0591275, Japan.</t>
  </si>
  <si>
    <t>sohey@tomakomai-ct.ac.jp; ohshima@lowtem.hokudai.ac.jp; tamura.takeshi@nipr.ac.jp</t>
  </si>
  <si>
    <t>Ohshima, Kay I/D-6909-2012</t>
  </si>
  <si>
    <t>research fund for Global Change Observation Mission-Water 1 (GCOM-W1) of the Japan Aerospace Exploration Agency; Grants-in-Aid for Scientific Research [17H06317, 17H01157, 17H04710, 17K00530] Funding Source: KAKEN</t>
  </si>
  <si>
    <t>research fund for Global Change Observation Mission-Water 1 (GCOM-W1) of the Japan Aerospace Exploration Agency; Grants-in-Aid for Scientific Research(Ministry of Education, Culture, Sports, Science and Technology, Japan (MEXT)Japan Society for the Promotion of ScienceGrants-in-Aid for Scientific Research (KAKENHI))</t>
  </si>
  <si>
    <t>This work was supported by a research fund for Global Change Observation Mission-Water 1 (GCOM-W1) of the Japan Aerospace Exploration Agency. (Corresponding author: Sohey Nihashi.)</t>
  </si>
  <si>
    <t>10.1109/JSTARS.2017.2731995</t>
  </si>
  <si>
    <t>WOS:000412626400009</t>
  </si>
  <si>
    <t>Meier, WN; Ivanoff, A</t>
  </si>
  <si>
    <t>Meier, Walter N.; Ivanoff, Alvro</t>
  </si>
  <si>
    <t>Intercalibration of AMSR2 NASA Team 2 Algorithm Sea Ice Concentrations With AMSR-E Slow Rotation Data</t>
  </si>
  <si>
    <t>AMSR2; antarctic; arctic; passive microwave (PM); remote sensing; sea ice</t>
  </si>
  <si>
    <t>PARAMETERS</t>
  </si>
  <si>
    <t>Sea ice estimates from AMSR2 are intercalibrated with AMSR-Efields through a two-step process. First, slow rotation 2 r/min AMSR-E data is used to derive regression equations from colocated pairs of AMSR2 and AMSR-E brightness temperatures (T-b s). The regression equations are used to modify AMSR2 T-b s into AMSR-E equivalent T-b s that are then input into the NASA Team 2 (NT2) sea ice concentration algorithm used for the AMSR-E standard products. The regressed T-b s result in changes in sea ice concentration of a few percent compared to using the original un-regressed AMSR2 T-b s. Next, sea ice estimates from the F17 SSMIS sensor are used as a bridge to compare AMSR-E total sea ice extent estimates in 2010 with AMSR2 total sea ice extent estimates in 2013. Based on this comparison, a further adjustment is made to a weather filter threshold used in the NT2 algorithm to minimize the total extent bias between AMSR2 and AMSR-E using a double-differencing approach. The adjustments reduced apparent bias with AMSR-E from similar to 200 000 km(2) for the original unmodified AMSR2 T-b s to -700 and 4700 km(2) for the Arctic and Antarctic, respectively. These differences are within the range of previous passive microwave sea ice intercalibrations. The adjusted AMSR2 sea ice fields provide a nearly 15-year time series of sea ice change; depending on the lifetime of AMSR2 and possible follow-on sensors, AMSR2 has the potential to be part of a multidecadal record of sea ice change.</t>
  </si>
  <si>
    <t>[Meier, Walter N.; Ivanoff, Alvro] NASA, Goddard Space Flight Ctr, Cryospher Sci Lab, Greenbelt, MD 20771 USA; [Ivanoff, Alvro] ADNET Syst Inc, Bethesda, MD 20817 USA</t>
  </si>
  <si>
    <t>National Aeronautics &amp; Space Administration (NASA); NASA Goddard Space Flight Center</t>
  </si>
  <si>
    <t>walt.meier@nasa.gov; alvaro.ivanoff@nasa.gov</t>
  </si>
  <si>
    <t>Meier, Walter/AAI-9583-2021</t>
  </si>
  <si>
    <t>NASA as part of the NASA AMSR2 Science Team</t>
  </si>
  <si>
    <t>This work was supported by the NASA as part of the NASA AMSR2 Science Team. (Corresponding Author: Walter N. Meier.)</t>
  </si>
  <si>
    <t>10.1109/JSTARS.2017.2719624</t>
  </si>
  <si>
    <t>WOS:000412626400010</t>
  </si>
  <si>
    <t>Haley, S</t>
  </si>
  <si>
    <t>Haley, Susan</t>
  </si>
  <si>
    <t>Cerulean, Indigo, Tourmaline, Turquoise Ice Diaries: An Antarctic Memoir</t>
  </si>
  <si>
    <t>FIDDLEHEAD</t>
  </si>
  <si>
    <t>Book Review</t>
  </si>
  <si>
    <t>UNIV NEW BRUNSWICK</t>
  </si>
  <si>
    <t>FREDERICTON</t>
  </si>
  <si>
    <t>DEPT ENGLISH, CAMPUS HOUSE, PO BOX 4400, FREDERICTON, NB E3B 5A3, CANADA</t>
  </si>
  <si>
    <t>0015-0630</t>
  </si>
  <si>
    <t>Fiddlehead</t>
  </si>
  <si>
    <t>Literary Reviews</t>
  </si>
  <si>
    <t>Arts &amp; Humanities Citation Index (A&amp;HCI)</t>
  </si>
  <si>
    <t>Literature</t>
  </si>
  <si>
    <t>FM6DR</t>
  </si>
  <si>
    <t>WOS:000415140200034</t>
  </si>
  <si>
    <t>Lagostina, E; Dal Grande, F; Ott, S; Printzen, C</t>
  </si>
  <si>
    <t>Lagostina, Elisa; Dal Grande, Francesco; Ott, Sieglinde; Printzen, Christian</t>
  </si>
  <si>
    <t>FUNGUS-SPECIFIC SSR MARKERS IN THE ANTARCTIC LICHENS USNEA ANTARCTICA AND U. AURANTIACOATRA (PARMELIACEAE, ASCOMYCOTA)</t>
  </si>
  <si>
    <t>APPLICATIONS IN PLANT SCIENCES</t>
  </si>
  <si>
    <t>Antarctic lichens; microsatellites; Parmeliaceae; Usnea antarctica; Usnea aurantiacoatra</t>
  </si>
  <si>
    <t>SEQUENCE DATA; SOFTWARE; DELIMITATION</t>
  </si>
  <si>
    <t>Premise of the study: Usnea antarctica and U. aurantiacoatra (Parmeliaceae) are common lichens in the maritime Antarctic. These species share the same habitats on King George Island (South Shetland Islands, Antarctica) and are distinguishable based on reproductive strategies. Methods and Results: We developed 23 fungus-specific simple sequence repeat (SSR) markers that cross-amplify between the two species. We used a low-coverage genome-skimming approach on one sample of each species to identify SSR repeats in the two species. Primers were designed for 3-4-bp repeats, and only the loci common to both species were selected for further analyses. Seventy-seven samples of the two species were selected to assess fungal specificity, genetic variability, and linkage of the markers. In addition, we tested cross-amplification in other Usnea species. Conclusions: The 23 newly designed SSR markers are suitable for population genetic and phylogeographic studies of Usnea species.</t>
  </si>
  <si>
    <t>[Lagostina, Elisa; Printzen, Christian] Senckenberg Res Inst, Dept Bot &amp; Mol Evolut, Senckenberganlage 25, D-60325 Frankfurt, Germany; [Lagostina, Elisa; Printzen, Christian] Nat Hist Museum Frankfurt, Senckenberganlage 25, D-60325 Frankfurt, Germany; [Dal Grande, Francesco] Senckenberg Biodivers &amp; Climate Res Ctr BiK F, Senckenberganlage 25, D-60325 Frankfurt, Germany; [Ott, Sieglinde] HHU, Inst Bot, Dusseldorf, Germany</t>
  </si>
  <si>
    <t>Senckenberg Gesellschaft fur Naturforschung (SGN); Senckenberg Biodiversitat &amp; Klima- Forschungszentrum (BiK-F); Senckenberg Gesellschaft fur Naturforschung (SGN)</t>
  </si>
  <si>
    <t>Lagostina, E (corresponding author), Senckenberg Res Inst, Dept Bot &amp; Mol Evolut, Senckenberganlage 25, D-60325 Frankfurt, Germany.;Lagostina, E (corresponding author), Nat Hist Museum Frankfurt, Senckenberganlage 25, D-60325 Frankfurt, Germany.</t>
  </si>
  <si>
    <t>elisa.lagostina@senckenberg.de</t>
  </si>
  <si>
    <t>Dal Grande, Francesco/K-1914-2016; Printzen, Christian/ABF-8242-2021</t>
  </si>
  <si>
    <t>Dal Grande, Francesco/0000-0002-1865-6281;</t>
  </si>
  <si>
    <t>Deutsche Forschungsgemeinschaft (DFG) [PR 567/18-1]</t>
  </si>
  <si>
    <t>Deutsche Forschungsgemeinschaft (DFG)(German Research Foundation (DFG))</t>
  </si>
  <si>
    <t>The authors thank the staff of the Alfred Wegener Institute (AWI; Bremerhaven, Germany) and the Argentinian research station Carlini (KGI) for logistic support. This work was supported by the Deutsche Forschungsgemeinschaft (DFG) in the framework of the priority program Antarctic Research with comparative investigations in Arctic ice areas by grant PR 567/18-1.</t>
  </si>
  <si>
    <t>BOTANICAL SOC AMER INC</t>
  </si>
  <si>
    <t>ST LOUIS</t>
  </si>
  <si>
    <t>PO BOX 299, ST LOUIS, MO 63166-0299 USA</t>
  </si>
  <si>
    <t>2168-0450</t>
  </si>
  <si>
    <t>APPL PLANT SCI</t>
  </si>
  <si>
    <t>Appl. Plant Sci.</t>
  </si>
  <si>
    <t>10.3732/apps.1700054</t>
  </si>
  <si>
    <t>FI5XB</t>
  </si>
  <si>
    <t>WOS:000412059400006</t>
  </si>
  <si>
    <t>Collet, J; Patrick, SC; Weimerskirch, H</t>
  </si>
  <si>
    <t>Collet, Julien; Patrick, Samantha C.; Weimerskirch, Henri</t>
  </si>
  <si>
    <t>A comparative analysis of the behavioral response to fishing boats in two albatross species</t>
  </si>
  <si>
    <t>BEHAVIORAL ECOLOGY</t>
  </si>
  <si>
    <t>comparative behavior; fisheries; GPS tracking; seabirds; predictable anthropogenic food sources; vessel monitoring system data</t>
  </si>
  <si>
    <t>BLACK-BROWED ALBATROSSES; COMMERCIAL FISHERIES; WANDERING ALBATROSS; FORAGING STRATEGIES; GPS-TRACKING; SEABIRDS; LONGLINE; FOOD; DISCARDS; MORTALITY</t>
  </si>
  <si>
    <t>Anthropogenic food resources have significantly modified the foraging behavior of many animal species. They enhance large multispecific aggregations of individuals, with strong ecological consequences. It is challenging to predict how individuals or species can differ in their reaction to these resources. For instance, there are wide variations in seabird species abundance behind fishing boats, and individual variations in interaction rates. Whether this is reflecting variations in fine-scale encounter rates or rather variations in attraction strength is poorly quantified. Here we compare the response of Wandering (WA) and Black-browed (BBA) albatrosses to fishing boats operating in sub-Antarctic waters. We use GPS tracking data from both birds and boats (Vessel Monitoring System). Attraction distances were similar between the 2 species (up to 30 km). BBA foraged further from fishing grounds and encountered boats less frequently than WA, but once they encountered a boat BBA were more strongly attracted (80% vs. 60% chance) and had a higher level of active interaction, compared to WA. Furthermore, in the absence of boats, BBA were rarely observed foraging over the habitat where the fisheries mainly operate, in contrast with WA. We thus report qualitative and quantitative differences in the response of these 2 species to the same fishing fleet. WA, the larger, more dominant and more generalist species was unexpectedly less attracted to fishing vessels. Comparing our results with previously published studies, we suggest that energetic requirements of individuals may be a crucial predictor for assessing risks of interactions with anthropogenic food resources.</t>
  </si>
  <si>
    <t>[Collet, Julien; Weimerskirch, Henri] Univ La Rochelle, Ctr Etud Biol Chize, CNRS, UMR 7372, 405 Route Prisse Charriere, F-79360 Villiers En Bois, France; [Patrick, Samantha C.] Univ Liverpool, Sch Environm Sci, Brownlow Hill, Liverpool L69 3GP, Merseyside, England</t>
  </si>
  <si>
    <t>La Rochelle Universite; Centre National de la Recherche Scientifique (CNRS); CNRS - Institute of Ecology &amp; Environment (INEE); University of Liverpool</t>
  </si>
  <si>
    <t>Collet, J (corresponding author), Univ La Rochelle, Ctr Etud Biol Chize, CNRS, UMR 7372, 405 Route Prisse Charriere, F-79360 Villiers En Bois, France.</t>
  </si>
  <si>
    <t>pro@colletj.fr</t>
  </si>
  <si>
    <t>Weimerskirch, Henri/K-7306-2019; Collet, Julien/AAO-3785-2020; Weimerskirch, Henri/F-5562-2013</t>
  </si>
  <si>
    <t>Weimerskirch, Henri/0000-0002-0457-586X; Collet, Julien/0000-0002-3285-5535;</t>
  </si>
  <si>
    <t>Terres Australes and Antarctiques Francaises (TAAF); Institut Paul Emile Victor (IPEV) [109]; Ministere de l'Enseignement Superieur et de la Recherche Francaise</t>
  </si>
  <si>
    <t>Terres Australes and Antarctiques Francaises (TAAF); Institut Paul Emile Victor (IPEV); Ministere de l'Enseignement Superieur et de la Recherche Francaise</t>
  </si>
  <si>
    <t>Fieldwork was supported by the Terres Australes and Antarctiques Francaises (TAAF) and the programme 109 of the Institut Paul Emile Victor (IPEV). J.C. was supported by a PhD grant from the Ministere de l'Enseignement Superieur et de la Recherche Francaise.</t>
  </si>
  <si>
    <t>OXFORD UNIV PRESS INC</t>
  </si>
  <si>
    <t>CARY</t>
  </si>
  <si>
    <t>JOURNALS DEPT, 2001 EVANS RD, CARY, NC 27513 USA</t>
  </si>
  <si>
    <t>1045-2249</t>
  </si>
  <si>
    <t>1465-7279</t>
  </si>
  <si>
    <t>BEHAV ECOL</t>
  </si>
  <si>
    <t>Behav. Ecol.</t>
  </si>
  <si>
    <t>SEP-OCT</t>
  </si>
  <si>
    <t>10.1093/beheco/arx097</t>
  </si>
  <si>
    <t>Behavioral Sciences; Biology; Ecology; Zoology</t>
  </si>
  <si>
    <t>Behavioral Sciences; Life Sciences &amp; Biomedicine - Other Topics; Environmental Sciences &amp; Ecology; Zoology</t>
  </si>
  <si>
    <t>FI7NA</t>
  </si>
  <si>
    <t>WOS:000412182400017</t>
  </si>
  <si>
    <t>Norin, T; Clark, TD</t>
  </si>
  <si>
    <t>Norin, Tommy; Clark, Timothy D.</t>
  </si>
  <si>
    <t>Fish face a trade-off between 'eating big' for growth efficiency and 'eating small' to retain aerobic capacity</t>
  </si>
  <si>
    <t>aerobic scope; digestion; metabolic rate; meal size; prey selection; specific dynamic action</t>
  </si>
  <si>
    <t>ENERGY ACQUISITION RATES; SWIMMING PERFORMANCE; INTRINSIC GROWTH; MENIDIA-MENIDIA; PREDATION; RELEVANCE; EVOLUTION; EXERCISE; PREY</t>
  </si>
  <si>
    <t>Feeding provides the necessary energy to fuel all fitness-related processes including activity, growth and reproduction. Nevertheless, prey consumption and digestive processes can have physical and physiological trade-offs with other critical functions, many of which are not clearly understood. Using an ambush predator, barramundi (Lates calcarifer), fed meals ranging 0.6-3.4% of body mass, we examined interrelations between meal size, growth efficiency and surplus aerobic metabolic capacity (aerobic scope, AS). Large meals required a greater absolute investment of energy to process (a larger so-called specific dynamic action, SDA), but the percentage of digestible meal energy required in the SDA response (SDA coefficient) decreased with increasing meal size. Combined with the findings that growth rate and growth efficiency also increased with food intake, our results demonstrate that it is energetically advantageous for fish to select large prey. However, following a large meal, SDA processes occupied up to 77% of the available AS, indicating that other oxygen-demanding activities like swimming may be compromised while large meals are processed. This trade-off between meal size and AS suggests that fishes like barramundi would benefit from regulating prey size based on imminent requirements and threats.</t>
  </si>
  <si>
    <t>[Norin, Tommy] Univ Glasgow, Inst Biodivers Anim Hlth &amp; Comparat Med, Graham Kerr Bldg, Glasgow G12 8QQ, Lanark, Scotland; [Clark, Timothy D.] Univ Tasmania, Inst Marine &amp; Antarctic Studies, Hobart, Tas 7000, Australia; [Clark, Timothy D.] CSIRO Agr &amp; Food, Hobart, Tas 7000, Australia; [Norin, Tommy] Aarhus Univ, Dept Biosci, DK-8000 Aarhus C, Denmark; [Clark, Timothy D.] Australian Inst Marine Sci, PMB 3, Townsville, Qld 4810, Australia</t>
  </si>
  <si>
    <t>University of Glasgow; University of Tasmania; Commonwealth Scientific &amp; Industrial Research Organisation (CSIRO); Aarhus University; Australian Institute of Marine Science</t>
  </si>
  <si>
    <t>Norin, T (corresponding author), Univ Glasgow, Inst Biodivers Anim Hlth &amp; Comparat Med, Graham Kerr Bldg, Glasgow G12 8QQ, Lanark, Scotland.</t>
  </si>
  <si>
    <t>tommy.norin@glasgow.ac.uk</t>
  </si>
  <si>
    <t>Norin, Tommy/AAN-6953-2020; Clark, Timothy/K-7129-2012</t>
  </si>
  <si>
    <t>Norin, Tommy/0000-0003-4323-7254; Clark, Timothy/0000-0001-8738-3347</t>
  </si>
  <si>
    <t>Graduate School of Science and Technology at Aarhus University, Denmark; Danish Council for Independent Research [DFF-4181-00297]</t>
  </si>
  <si>
    <t>Graduate School of Science and Technology at Aarhus University, Denmark; Danish Council for Independent Research(Det Frie Forskningsrad (DFF))</t>
  </si>
  <si>
    <t>T.N. was funded by the Graduate School of Science and Technology at Aarhus University, Denmark, and the Danish Council for Independent Research (grant DFF-4181-00297).</t>
  </si>
  <si>
    <t>SEP 1</t>
  </si>
  <si>
    <t>10.1098/rsbl.2017.0298</t>
  </si>
  <si>
    <t>FI7GA</t>
  </si>
  <si>
    <t>WOS:000412163700002</t>
  </si>
  <si>
    <t>Lyubaykina, N; Okhrimenko, I; Popov, P; Gordeliy, V; Bueldt, G</t>
  </si>
  <si>
    <t>Lyubaykina, N.; Okhrimenko, I.; Popov, P.; Gordeliy, V.; Bueldt, G.</t>
  </si>
  <si>
    <t>Heterologous expression and purification of rhodopsin from radioresistant Antarctic bacterium</t>
  </si>
  <si>
    <t>FEBS JOURNAL</t>
  </si>
  <si>
    <t>42nd Congress of the Federation-of-European-Biochemical-Societies (FEBS) on From Molecules to Cells and Back</t>
  </si>
  <si>
    <t>SEP 10-14, 2017</t>
  </si>
  <si>
    <t>Jerusalem, ISRAEL</t>
  </si>
  <si>
    <t>[Lyubaykina, N.; Okhrimenko, I.; Popov, P.; Bueldt, G.] Moscow Inst Phys &amp; Technol, Moscow, Russia; [Gordeliy, V.] Inst Struct Biochem ICS 6 FZJ, Julich, Germany; [Gordeliy, V.] Univ Grenoble Alpes, CEA, CNRS, IBS, F-38000 Grenoble, France</t>
  </si>
  <si>
    <t>Moscow Institute of Physics &amp; Technology; Communaute Universite Grenoble Alpes; Universite Grenoble Alpes (UGA); CEA; Centre National de la Recherche Scientifique (CNRS)</t>
  </si>
  <si>
    <t>Okhrimenko, Ivan/I-4293-2016; Gordeliy, Valentin I/J-3636-2013</t>
  </si>
  <si>
    <t>Okhrimenko, Ivan/0000-0002-1053-2778;</t>
  </si>
  <si>
    <t>[16-15-00242 RSF]; Russian Science Foundation [16-15-00242] Funding Source: Russian Science Foundation</t>
  </si>
  <si>
    <t>; Russian Science Foundation(Russian Science Foundation (RSF))</t>
  </si>
  <si>
    <t>This work is supported by 16-15-00242 RSF.</t>
  </si>
  <si>
    <t>1742-464X</t>
  </si>
  <si>
    <t>1742-4658</t>
  </si>
  <si>
    <t>FEBS J</t>
  </si>
  <si>
    <t>FEBS J.</t>
  </si>
  <si>
    <t>P.3.4-036</t>
  </si>
  <si>
    <t>Biochemistry &amp; Molecular Biology</t>
  </si>
  <si>
    <t>FG2IK</t>
  </si>
  <si>
    <t>WOS:000409918903155</t>
  </si>
  <si>
    <t>Nagoji, SS; Tiwari, M</t>
  </si>
  <si>
    <t>Nagoji, Siddhesh S.; Tiwari, Manish</t>
  </si>
  <si>
    <t>Organic carbon preservation in Southeastern Arabian Sea sediments since mid-Holocene: Implications to South Asian Summer Monsoon variability</t>
  </si>
  <si>
    <t>GEOCHEMISTRY GEOPHYSICS GEOSYSTEMS</t>
  </si>
  <si>
    <t>monsoon; Arabian Sea; TOC; redox; trace elements; precession</t>
  </si>
  <si>
    <t>EQUATORIAL INDIAN-OCEAN; OXYGEN MINIMUM ZONE; INTERCOMPARISON PROJECT PMIP; LAST 140 KA; MARINE-SEDIMENTS; LATE-QUATERNARY; CONTINENTAL MARGINS; LAMINATED SEDIMENTS; MILLENNIAL-SCALE; AFRICAN MONSOON</t>
  </si>
  <si>
    <t>The earlier studies show a contrasting long-term trend of the South Asian Summer Monsoon (SASM) after attaining the precessional forcing induced mid-Holocene maximum. The increasing total organic carbon (TOC) concentration of marine sediments in the Southeastern Arabian Sea (SEAS) has been interpreted to imply strengthening SASM since mid-Holocene by a few studies. However, TOC concentration is also influenced by redox conditions, sedimentation rate, and an influx of terrigenous matter depending on the regional settings. So, it needs to be ascertained whether the TOC concentration of the sediments in the SEAS is a signal of productivity related to the SASM strength or preservation. Therefore, we studied multiple proxies (TOC, total nitrogen, atomic C/N, C-13(org), CaCO3, and major and trace elements concentration) for determining the productivity, redox conditions, detrital supply, and provenance in a sediment core from the upper continental slope of the SEAS spanning the past approximate to 4700 years at centennial scale resolution. The present study shows that the observed increase in the TOC values since the mid-Holocene is a result of better preservation caused by increased sedimentation rate and enhanced reducing conditions. We further show that the SASM has been declining since mid-Holocene after attaining a precession-forced maximum, which corroborates the earlier model ensemble studies.</t>
  </si>
  <si>
    <t>[Nagoji, Siddhesh S.; Tiwari, Manish] Natl Ctr Antarct &amp; Ocean Res, Vasco Da Gama, Goa, India</t>
  </si>
  <si>
    <t>Tiwari, M (corresponding author), Natl Ctr Antarct &amp; Ocean Res, Vasco Da Gama, Goa, India.</t>
  </si>
  <si>
    <t>manish@ncaor.gov.in</t>
  </si>
  <si>
    <t>Tiwari, Manish/0000-0003-3143-1658; Nagoji, Siddhesh/0000-0002-9533-3339</t>
  </si>
  <si>
    <t>Ministry of Earth Sciences; National Centre for Antarctic &amp; Ocean Research (NCAOR) [24/2017]; ISRO-GBP</t>
  </si>
  <si>
    <t>Ministry of Earth Sciences; National Centre for Antarctic &amp; Ocean Research (NCAOR); ISRO-GBP</t>
  </si>
  <si>
    <t>We thank the Ministry of Earth Sciences and National Centre for Antarctic &amp; Ocean Research (NCAOR) for support and encouragement (NCAOR contribution 24/2017). We also thank ISRO-GBP for support. Thanks are due to Dr. Thamban Meloth and Mr. Prashant Redkar of NCAOR for help in the analysis of major and trace elements on ICP-MS. The data for this paper can be accessed through the supporting information or by direct request to the corresponding author.</t>
  </si>
  <si>
    <t>1525-2027</t>
  </si>
  <si>
    <t>GEOCHEM GEOPHY GEOSY</t>
  </si>
  <si>
    <t>Geochem. Geophys. Geosyst.</t>
  </si>
  <si>
    <t>10.1002/2017GC006804</t>
  </si>
  <si>
    <t>FJ8TX</t>
  </si>
  <si>
    <t>WOS:000413042600010</t>
  </si>
  <si>
    <t>Hernández-Molina, FJ; Larter, RD; Maldonad, A</t>
  </si>
  <si>
    <t>Hernandez-Molina, F. Javier; Larter, Robert D.; Maldonad, Andres</t>
  </si>
  <si>
    <t>Neogene to Quaternary stratigraphic evolution of the Antarctic Peninsula, Pacific Margin offshore of Adelaide Island: Transitions from a non-glacial, through glacially-influenced to a fully glacial state</t>
  </si>
  <si>
    <t>Antarctic Peninsula Pacific Margin; Neogene and Quaternary; Seismic stratigraphy; Sedimentary processes; Morphology; Bottom-current; Ice sheets evolution</t>
  </si>
  <si>
    <t>DEEP-WATER CIRCULATION; CONTINENTAL RISE WEST; SOUTHERN SCOTIA SEA; CONTOURITE DEPOSITIONAL SYSTEM; SHEET GROUNDING EVENTS; HEMISPHERE ICE SHEETS; TROUGH-MOUTH FANS; SEDIMENT DRIFT; BOTTOM-WATER; SEISMIC STRATIGRAPHY</t>
  </si>
  <si>
    <t>A detailed morphologic and seismic stratigraphic analysis of the continental margin offshore of Adelaide Island on the Pacific Margin of the Antarctic Peninsula (PMAP) is described based on the study of a regular network of reflection multichannel seismic profiles and swath bathymetty. We present an integrated study of the margin spanning the shelf to the continental rise, establish novel chronologic constraints and offer new interpretations on tectonic evolution and environmental changes affecting the PMAP. The stratigraphic stacking patterns record major shifts in the depositional style of the margin that outline three intervals in its evolution. The first nod glacial interval (Early Cretaceous to middle Miocene) encompasses a transition from an active to a passive margin (early Miocene). The second glacially-influenced interval (middle to late Miocene) is marked by pronounced aggradational sedimentary stacking and subsidence. Ice sheets advanced over the middle shelf of the margin at the end of this second interval, while the outer shelf experienced rare progradational events. The third, fully glaciated interval shows clear evidence of glacially dominated conditions on the margin. This interval divides into three minor stages. During the first stage (late Miocene to the beginning of the Pliocene), frequent grounded ice advances to the shelf break began, depositing an initial progradational unit. A major truncation surface marked the end of this stage, which coincided with extensive mass transport deposits at the base of the slope. During the second progradational glacial margin stage (early Pliocene to middle Pleistocene), stacking patterns record clearly prograding glacial sequences. The beginning of the third aggradational glacial margin stage (middle Pleistocene to present) corresponded to an important shift in global climate during the Mid Pleistocene Transition. Morphosedimentary characteristics observed along the margin today began to develop during the latest Miocene but did not become fully established until sometime during the interval between the end of the Pliocene and middle Pleistocene. Between these two time intervals, the northeastward lateral migration of the Marguerite Trough also played a critical role in margin evolution, as it controlled ice sheet drainage pathways across the shelf, which in turn influenced development of slope and rise morphologies. Areas offshore from Adelaide Island differ from other areas of the PMAP due to changes in sedimentary processes that resulted from migration of the trough. This study confirms that the PMAP represents an exceptional locality for decoding, reconstructing and linking past tectonic and climatic changes. The study area specifically records not only the most relevant changes in depositional style, but also the relative importance of persistent along- and down-slope sedimentary processes. Our study approach can be extended to other areas and integrated with additional techniques to understand the evolution and the global linkages of the entire Antarctic continental margin and the ice sheets.</t>
  </si>
  <si>
    <t>[Hernandez-Molina, F. Javier] Royal Holloway Univ London, Dept Earth Sci, Egham TW20, Surrey, England; [Larter, Robert D.] British Antarctic Survey, Madingley Rd, Cambridge CB3 0E7, England; [Maldonad, Andres] Univ Granada, CSIC, Inst Andaluz Ciencias Tierra, Campus Fuentenueva S-N, Granada 18002, Spain</t>
  </si>
  <si>
    <t>University of London; Royal Holloway University London; UK Research &amp; Innovation (UKRI); Natural Environment Research Council (NERC); NERC British Antarctic Survey; University of Granada; Consejo Superior de Investigaciones Cientificas (CSIC); CSIC - Instituto Andaluz de Ciencias de la Tierra (IACT)</t>
  </si>
  <si>
    <t>Hernández-Molina, FJ (corresponding author), Royal Holloway Univ London, Dept Earth Sci, Egham TW20, Surrey, England.</t>
  </si>
  <si>
    <t>javier.hernandez-molina@rhul.ac.uk</t>
  </si>
  <si>
    <t>; HERNANDEZ MOLINA, F. JAVIER/L-6688-2014</t>
  </si>
  <si>
    <t>Larter, Robert/0000-0002-8414-7389; HERNANDEZ MOLINA, F. JAVIER/0000-0002-7483-1443</t>
  </si>
  <si>
    <t>Spanish Ministry of Education and Science Mobility Award [PR2002-0271, PR2003-0421]; Royal Society of the UK, through International Short Visit fellowship [2007/R2]; Spanish Comision Interministerial de Ciencia y Tecnologia (CYCIT) [ANT96-1001, ANT99-0817, REN2001-2143, REN2003-01498, CTM2008-06386-C02/ANT, CTM 2008-06399-C04/MAR, CTM2011-30241-C02-01, CTM 2012-39599-C03]; NERC [NE/J006548/1, bas0100030] Funding Source: UKRI; Natural Environment Research Council [NE/J006548/1, bas0100030] Funding Source: researchfish</t>
  </si>
  <si>
    <t>Spanish Ministry of Education and Science Mobility Award(German Research Foundation (DFG)); Royal Society of the UK, through International Short Visit fellowship(Royal Society); Spanish Comision Interministerial de Ciencia y Tecnologia (CYCIT)(Consejo Interinstitucional de Ciencia y Tecnologia (CICYT)); NERC(UK Research &amp; Innovation (UKRI)Natural Environment Research Council (NERC)); Natural Environment Research Council(UK Research &amp; Innovation (UKRI)Natural Environment Research Council (NERC))</t>
  </si>
  <si>
    <t>We began this study in 2003. More than a decade of extensive research on the morphology and seismic stratigraphy of this highly remote area leaves us with too many people to thank. The list of contributions given below is a summary but our gratitude to those not listed remains unabridged. We first thank several individuals who have shared their ideas through meetings, research collaboration and publications. This work was conducted during research periods F.J. Hernandez-Molina spent at the British Antarctic Survey (BAS) in 2003, 2004, 2005 and 2007, as part of a Spanish-British scientific collaboration on the study of the continental margin offshore of Adelaide Island. These periods were funded by the Spanish Ministry of Education and Science Mobility Award (PR2002-0271 [2003] and PR2003-0421 [2004-2005]) and by the Royal Society (2007/R2) of the UK, through an International Short Visit fellowship (2007). The Spanish Comision Interministerial de Ciencia y Tecnologia (CYCIT) supported our research through projects ANT96-1001, ANT99-0817, REN2001-2143 and REN2003-01498, CTM2008-06386-C02/ANT, CTM 2008-06399-C04/MAR (CONTOURIBER), CTM2011-30241-C02-01 (ConPacA) and CTM 2012-39599-C03 (MOWER). Research was conducted in the framework of The Drifters Research Group of the Royal Holloway University of London (UK) and the Polar Science for Planet Earth Programme of the British Antarctic Survey. Data from the Istituto Nazionale di Oceanografia e di Geofisica Sperimentale (OGS, Italy) and Brazilian Antarctic Program were obtained from the Scientific Committee on Antarctic Research Seismic Data Library System (SCARSDLS; SCAR, 2001; Wardell et al., 2007). The authors thank the captains, officers, crew, support staff and scientists who participated in research cruises that provided data for this study. A. C. Naveira Garabato (NOCS, UK), A. Piola (SHN, Argentina) and A. H. Orsi (University of Washington, USA) are thanked for thorough and constructive reviews and comments concerning the oceanographic setting of the study area. Finally, we also thank the editor, Dr. T. Cronin, and the two anonymous reviewers for their very positive and helpful feedback and suggestions, which helped us to improve the paper.</t>
  </si>
  <si>
    <t>10.1016/j.gloplacha.2017.07.002</t>
  </si>
  <si>
    <t>FK1YY</t>
  </si>
  <si>
    <t>WOS:000413280700009</t>
  </si>
  <si>
    <t>Link, JS; Thébaud, O; Smith, DC; Smith, ADM; Schmidt, J; Rice, J; Poos, JJ; Pita, C; Lipton, D; Kraan, M; Frusher, S; Doyen, L; Cudennec, A; Criddle, K; Bailly, D</t>
  </si>
  <si>
    <t>Link, Jason S.; Thebaud, Olivier; Smith, David C.; Smith, Anthony D. M.; Schmidt, Joern; Rice, Jake; Poos, Jan Jaap; Pita, Cristina; Lipton, Doug; Kraan, Marloes; Frusher, Stewart; Doyen, Luc; Cudennec, Annie; Criddle, Keith; Bailly, Denis</t>
  </si>
  <si>
    <t>Keeping Humans in the Ecosystem</t>
  </si>
  <si>
    <t>ICES JOURNAL OF MARINE SCIENCE</t>
  </si>
  <si>
    <t>Marine Socio-Ecological Systems Symposium (MSEAS)</t>
  </si>
  <si>
    <t>MAY 30-JUN 03, 2016</t>
  </si>
  <si>
    <t>Brest, FRANCE</t>
  </si>
  <si>
    <t>ecosystem-based management; governance; indicators; integrated ecosystem assessment; marine socio-ecological systems; modelling; scenario analysis; stakeholder engagement</t>
  </si>
  <si>
    <t>SOCIAL-ECOLOGICAL SYSTEMS; MANAGEMENT STRATEGY EVALUATION; ANALYTIC HIERARCHY PROCESS; FISHERIES MANAGEMENT; MIXED FISHERIES; CLIMATE-CHANGE; INDICATORS; ASSESSMENTS; OBJECTIVES; FRAMEWORK</t>
  </si>
  <si>
    <t>The World Ocean presents many opportunities, with the blue economy projected to at least double in the next two decades. However, capitalizing on these opportunities presents significant challenges and a multi-sectoral, integrated approach to managing marine socio-ecological systems will be required to achieve the full benefits projected for the blue economy. Integrated ecosystem assessments have been identified as the best means of delivering the information upon which marine resource management decisions can be made. By their nature, these assessments are inter-disciplinary, but to date have mostly focused on the natural sciences. Inclusion of human dimensions into integrated ecosystem assessments has been lagging, but is fundamental. Here we report on a Symposium, and the articles emmanating from it that are included in this Theme Set, that address how to more effectively include human dimensions into integrated ecosystem assessments. We provide an introduction to each of the main symposium topics (governance, scenarios, indicators, participatory processes, and case studies), highlight the works that emerged from the symposium, and identify key areas in which more work is required. There is still a long way to go before we see end-to-end integrated ecosystem assessments inclusive of all the major current and potential ocean use sectors that also encompass multiple aspects of human dimensions. Nonetheless, it is also clear that progress is being made and we are developing tools and approaches, including the human dimension, that can inform management and position us to take advantage of the multi-sectoral opportunities of sustainable blue growth.</t>
  </si>
  <si>
    <t>[Link, Jason S.] NOAA, Natl Marine Fisheries Serv, 166 Water St, Woods Hole, MA 02563 USA; [Thebaud, Olivier; Cudennec, Annie; Bailly, Denis] Univ Brest, CNRS, UMR 6308, IFREMER,Unite Econ Maritime,IUEM, F-29280 Plouzane, France; [Smith, David C.; Smith, Anthony D. M.] CSIRO Oceans &amp; Atmosphere, Hobart, Tas 7001, Australia; [Smith, David C.; Smith, Anthony D. M.; Frusher, Stewart] Univ Tasmania, Ctr Marine Socioecol, Hobart, Tas 7001, Australia; [Schmidt, Joern] Kiel Marine Sci, Environm Resource &amp; Ecol Econ, D-24118 Kiel, Germany; [Schmidt, Joern] Univ Kiel, Cluster Excellence Future Ocean, D-24118 Kiel, Germany; [Rice, Jake] Fisheries &amp; Oceans Canada, 200 Kent St, Ottawa, ON K1A 0E6, Canada; [Poos, Jan Jaap; Kraan, Marloes] Wageningen Marine Res, POB 68, NL-1970 AB Ijmuiden, Netherlands; [Pita, Cristina] Univ Aveiro, Dept Environm &amp; Planning, Campus Univ Santiago, P-3810193 Aveiro, Portugal; [Pita, Cristina] Univ Aveiro, Ctr Environm &amp; Marine Studies CESAM, Campus Univ Santiago, P-3810193 Aveiro, Portugal; [Lipton, Doug] NOAA, Natl Marine Fisheries Serv, 1315 East West Highway, Silver Spring, MD 20910 USA; [Kraan, Marloes] Wageningen Univ, Environm Policy Grp, Hollandseweg 1, NL-6706 KN Wageningen, Netherlands; [Frusher, Stewart] Univ Tasmania, Inst Marine &amp; Antarctic Studies, Hobart, Tas 7001, Australia; [Doyen, Luc] Univ Bordeaux, CNRS, GREThA, F-33608 Pessac, France; [Criddle, Keith] Univ Alaska Fairbanks, Juneau Ctr Fisheries &amp; Ocean Sci, Juneau, AK 99801 USA</t>
  </si>
  <si>
    <t>National Oceanic Atmospheric Admin (NOAA) - USA; Centre National de la Recherche Scientifique (CNRS); CNRS - Institute of Ecology &amp; Environment (INEE); Ifremer; Universite de Bretagne Occidentale; Institut Universitaire Europeen de la Mer (IUEM); Commonwealth Scientific &amp; Industrial Research Organisation (CSIRO); University of Tasmania; University of Kiel; Fisheries &amp; Oceans Canada; Wageningen University &amp; Research; Universidade de Aveiro; Universidade de Aveiro; National Oceanic Atmospheric Admin (NOAA) - USA; Wageningen University &amp; Research; University of Tasmania; Universite de Bordeaux; Centre National de la Recherche Scientifique (CNRS); University of Alaska System; University of Alaska Fairbanks</t>
  </si>
  <si>
    <t>Link, JS (corresponding author), NOAA, Natl Marine Fisheries Serv, 166 Water St, Woods Hole, MA 02563 USA.</t>
  </si>
  <si>
    <t>jason.link@noaa.gov</t>
  </si>
  <si>
    <t>Smith, David/GQQ-8257-2022; Schmidt, Jörn Oliver/A-7714-2008; Criddle, Keith R./P-7080-2016; Elias, Dereje/GPF-8075-2022; Thebaud, Olivier/D-9792-2011; Link, Jason/HOF-3606-2023; Doyen, Luc/GXH-3424-2022; Kraan, Marloes L/M-2110-2016; Frusher, Stewart D/G-5117-2014; Poos, Jan Jaap/B-9940-2009; Pita, Cristina/E-4280-2015</t>
  </si>
  <si>
    <t>Schmidt, Jörn Oliver/0000-0002-4420-6532; Criddle, Keith R./0000-0001-9347-2944; Thebaud, Olivier/0000-0001-8665-3827; Link, Jason/0000-0003-2740-7161; Doyen, Luc/0000-0001-8272-6187; Kraan, Marloes L/0000-0003-4189-746X; Pita, Cristina/0000-0003-1824-3396</t>
  </si>
  <si>
    <t>OXFORD UNIV PRESS</t>
  </si>
  <si>
    <t>GREAT CLARENDON ST, OXFORD OX2 6DP, ENGLAND</t>
  </si>
  <si>
    <t>1054-3139</t>
  </si>
  <si>
    <t>1095-9289</t>
  </si>
  <si>
    <t>ICES J MAR SCI</t>
  </si>
  <si>
    <t>ICES J. Mar. Sci.</t>
  </si>
  <si>
    <t>10.1093/icesjms/fsx130</t>
  </si>
  <si>
    <t>Fisheries; Marine &amp; Freshwater Biology; Oceanography</t>
  </si>
  <si>
    <t>Science Citation Index Expanded (SCI-EXPANDED); Social Science Citation Index (SSCI); Conference Proceedings Citation Index - Science (CPCI-S)</t>
  </si>
  <si>
    <t>FI9FD</t>
  </si>
  <si>
    <t>WOS:000412309400011</t>
  </si>
  <si>
    <t>Smith, DC; Fulton, EA; Apfel, P; Cresswell, ID; Gillanders, BM; Haward, M; Sainsbury, KJ; Smith, ADM; Vince, J; Ward, TM</t>
  </si>
  <si>
    <t>Smith, David C.; Fulton, Elizabeth A.; Apfel, Petrina; Cresswell, Ian D.; Gillanders, Bronwyn M.; Haward, Marcus; Sainsbury, Keith J.; Smith, Anthony D. M.; Vince, Joanna; Ward, Tim M.</t>
  </si>
  <si>
    <t>Implementing marine ecosystem-based management: lessons from Australia</t>
  </si>
  <si>
    <t>Australia; case studies; ecosystem-based management; implementation; marine management</t>
  </si>
  <si>
    <t>GREAT-BARRIER-REEF; FISHERIES-MANAGEMENT; OCEANS-POLICY; SUPPORT; CONSERVATION; ASSESSMENTS; CHALLENGES; FRAMEWORK; OUTCOMES; FUTURE</t>
  </si>
  <si>
    <t>Ecosystem-based management (EBM) is now widely accepted as the best means of managing the complex interactions in marine systems. However, progress towards implementing and operationalizing it has been slow. We take a pragmatic approach to EBM. Our simple definition is balancing human activities and environmental stewardship in a multiple-use context. In this paper, we present case studies on the development and implementation of EBM in Australia. The case studies (Australia's Ocean Policy, the Great Barrier Reef, New South Wales (NSW) marine estate, Gladstone Harbour, and South Australia and Spencer Gulf) span different spatial scales, from national to regional to local. They also cover different levels of governance or legislated mandate. We identify the key learnings, necessary components and future needs to support better implementation. These include requirements for clearly identified needs and objectives, stakeholder ownership, well defined governance frameworks, and scientific tools to deal with conflicts and trade-offs. Without all these components, multi-sector management will be difficult and there will be a tendency to maintain a focus on single sectors. While the need to manage individual sectors remains important and is often challenging, this alone will not necessarily ensure sustainable management of marine systems confronted by increasing cumulative impacts.</t>
  </si>
  <si>
    <t>[Smith, David C.; Fulton, Elizabeth A.; Smith, Anthony D. M.] CSIRO Oceans &amp; Atmosphere, Hobart, Tas 7001, Australia; [Smith, David C.; Fulton, Elizabeth A.; Haward, Marcus; Sainsbury, Keith J.; Smith, Anthony D. M.; Vince, Joanna] Univ Tasmania, Ctr Marine Socioecol, Hobart, Tas 7001, Australia; [Apfel, Petrina] NSW Dept Primary Ind, GPO Box 5477, Sydney, NSW 2001, Australia; [Cresswell, Ian D.] CSIRO Land &amp; Water, Hobart, Tas 7001, Australia; [Gillanders, Bronwyn M.] Univ Adelaide, Sch Biol Sci, Southern Seas Ecol Labs, Adelaide, SA 5005, Australia; [Gillanders, Bronwyn M.] Univ Adelaide, Inst Environm, Adelaide, SA 5005, Australia; [Haward, Marcus] Univ Tasmania, Inst Marine &amp; Antarctic Studies, Oceans &amp; Cryosphere Ctr, Private Bag 129, Hobart, Tas 7001, Australia; [Sainsbury, Keith J.] Univ Tasmania, Inst Marine &amp; Antarctic Studies, Taroona, Tas 7053, Australia; [Vince, Joanna] Univ Tasmania, Sch Social Sci, Polit &amp; Int Relat Program, Launceston, Tas 7250, Australia; [Ward, Tim M.] South Australian Res &amp; Dev Inst, POB 120, Henley Beach, SA 5022, Australia</t>
  </si>
  <si>
    <t>Commonwealth Scientific &amp; Industrial Research Organisation (CSIRO); University of Tasmania; NSW Department of Primary Industries; Commonwealth Scientific &amp; Industrial Research Organisation (CSIRO); University of Adelaide; University of Adelaide; University of Tasmania; University of Tasmania; University of Tasmania; South Australian Research &amp; Development Institute (SARDI)</t>
  </si>
  <si>
    <t>Smith, DC (corresponding author), CSIRO Oceans &amp; Atmosphere, Hobart, Tas 7001, Australia.;Smith, DC (corresponding author), Univ Tasmania, Ctr Marine Socioecol, Hobart, Tas 7001, Australia.</t>
  </si>
  <si>
    <t>david.c.smith@csiro.au</t>
  </si>
  <si>
    <t>Fulton, Beth/AAJ-1398-2021; Vince, Joanna Zofia/J-7465-2014; Fulton, Beth/A-2871-2008; Smith, David/GQQ-8257-2022; WARD, Timothy Mark/KDN-7596-2024; Haward, Marcus/G-3369-2014; Vince, Joanna/O-6901-2019; Cresswell, Ian/M-1648-2015; Gillanders, Bronwyn/B-4218-2013</t>
  </si>
  <si>
    <t>Fulton, Beth/0000-0002-5904-7917; Vince, Joanna Zofia/0000-0002-4469-7634; WARD, Timothy Mark/0000-0002-9003-2772; Vince, Joanna/0000-0002-4469-7634; Cresswell, Ian/0000-0002-2759-3737; Gillanders, Bronwyn/0000-0002-7680-2240</t>
  </si>
  <si>
    <t>10.1093/icesjms/fsx113</t>
  </si>
  <si>
    <t>WOS:000412309400015</t>
  </si>
  <si>
    <t>Jech, JM; Lawson, GL; Lavery, AC</t>
  </si>
  <si>
    <t>Jech, J. Michael; Lawson, Gareth L.; Lavery, Andone C.</t>
  </si>
  <si>
    <t>Wideband (15-260 kHz) acoustic volume backscattering spectra of Northern krill (Meganyctiphanes norvegica) and butterfish (Peprilus triacanthus)</t>
  </si>
  <si>
    <t>acoustic backscatter; broadband; fish; zooplankton</t>
  </si>
  <si>
    <t>ANTARCTIC KRILL; RESONANCE CLASSIFICATION; SPECIES IDENTIFICATION; OCEAN MEASUREMENTS; ATLANTIC MACKEREL; BROAD-BANDWIDTH; FISH; SCATTERING; SOUND; ABSORPTION</t>
  </si>
  <si>
    <t>Measurements of acoustic backscatter made over a wide frequency band have the potential for improved classification relative to traditional narrowband methods, by characterizing more fully the frequency response of scatterers. In January 2014, five wideband transceivers [Simrad EK80 Wideband Transceivers (WBTs)] and split-beam transducers with nominal centre frequencies of 18, 38, 70, 120, and 200 kHz were used to collect acoustic data spanning a nearly continuous 15-260 kHz bandwidth. The acoustic samples were from ca. 2 m below the surface to the seabed in an area along the US continental shelf break. Bottom trawls and zooplankton nets were also used to sample scatterers contributing to selected features of the acoustic backscatter. Measurements of frequency-dependent volume backscattering strength (i.e. volume backscattering spectra) from aggregations of euphausiids (mostly Northern krill, Meganyctiphanes norvegica) clearly resolved the transition from Rayleigh to geometric scattering, consistent with modelled backscatter from the type and length of animals sampled with bongo nets. Volume backscattering spectra from aggregations dominated by butterfish (Peprilus triacanthus) revealed a frequency response that was suggestive of superimposed scattering by soft tissue and bone. Backscatter predicted by Kirchhoff ray mode models of butterfish corresponded to trends in the measured spectra, supporting the assumption that acoustic scattering by butterfish is dominated by soft tissue and vertebrae.</t>
  </si>
  <si>
    <t>[Jech, J. Michael] NOAA, Northeast Fisheries Sci Ctr, Woods Hole, MA 02543 USA; [Lawson, Gareth L.] Woods Hole Oceanog Inst, Biol Dept, Woods Hole, MA 02543 USA; [Lavery, Andone C.] Woods Hole Oceanog Inst, Dept Appl Ocean Phys &amp; Engn, Woods Hole, MA 02543 USA</t>
  </si>
  <si>
    <t>National Oceanic Atmospheric Admin (NOAA) - USA; Woods Hole Oceanographic Institution; Woods Hole Oceanographic Institution</t>
  </si>
  <si>
    <t>Jech, JM (corresponding author), NOAA, Northeast Fisheries Sci Ctr, Woods Hole, MA 02543 USA.</t>
  </si>
  <si>
    <t>michael.jech@noaa.gov</t>
  </si>
  <si>
    <t>NOAA Advanced Sampling Technology Working Group (ASTWG); NOAA through the NOAA Fisheries Quantitative Ecology and Socioeconomics Training (QUEST) programme [NA09OAR4320129, NA14OAR4320158]</t>
  </si>
  <si>
    <t>NOAA Advanced Sampling Technology Working Group (ASTWG); NOAA through the NOAA Fisheries Quantitative Ecology and Socioeconomics Training (QUEST) programme</t>
  </si>
  <si>
    <t>NOAA Advanced Sampling Technology Working Group (ASTWG) provided support for this project. GLL was partially supported by NOAA Cooperative Agreements NA09OAR4320129 and NA14OAR4320158 through the NOAA Fisheries Quantitative Ecology and Socioeconomics Training (QUEST) programme.</t>
  </si>
  <si>
    <t>10.1093/icesjms/fsx050</t>
  </si>
  <si>
    <t>FJ4KR</t>
  </si>
  <si>
    <t>WOS:000412707000018</t>
  </si>
  <si>
    <t>Mokhov, II</t>
  </si>
  <si>
    <t>Mokhov, I. I.</t>
  </si>
  <si>
    <t>Russian climate studies in 2011-2014</t>
  </si>
  <si>
    <t>IZVESTIYA ATMOSPHERIC AND OCEANIC PHYSICS</t>
  </si>
  <si>
    <t>CASPIAN SEA-LEVEL; GLOBAL WETLAND EXTENT; EURO-ATLANTIC REGION; LONG-TERM VARIATIONS; ANTARCTIC ICE-SHEET; NORTHERN-HEMISPHERE; AIR-TEMPERATURE; CYCLONE ACTIVITY; CARBON-CYCLE; SUBMARINE PERMAFROST</t>
  </si>
  <si>
    <t>The results of Russian climate studies (published in 2011-2014) based on the review prepared for the National Report on Meteorology and Atmospheric Sciences submitted to the 26th General Assembly of the International Union of Geodesy and Geophysics (Prague, June 22-July 2, 2015)(1) are presented.</t>
  </si>
  <si>
    <t>[Mokhov, I. I.] Russian Acad Sci, Obukhov Inst Atmospher Phys, Moscow 119017, Russia; [Mokhov, I. I.] Moscow MV Lomonosov State Univ, Moscow 119991, Russia</t>
  </si>
  <si>
    <t>Russian Academy of Sciences; Obukhov Institute of Atmospheric Physics of Russian Academy of Sciences; Lomonosov Moscow State University</t>
  </si>
  <si>
    <t>Mokhov, II (corresponding author), Russian Acad Sci, Obukhov Inst Atmospher Phys, Moscow 119017, Russia.;Mokhov, II (corresponding author), Moscow MV Lomonosov State Univ, Moscow 119991, Russia.</t>
  </si>
  <si>
    <t>mokhov@ifaran.ru</t>
  </si>
  <si>
    <t>Mokhov, Igor/U-9564-2019</t>
  </si>
  <si>
    <t>MAIK NAUKA/INTERPERIODICA/SPRINGER</t>
  </si>
  <si>
    <t>233 SPRING ST, NEW YORK, NY 10013-1578 USA</t>
  </si>
  <si>
    <t>0001-4338</t>
  </si>
  <si>
    <t>1555-628X</t>
  </si>
  <si>
    <t>IZV ATMOS OCEAN PHY+</t>
  </si>
  <si>
    <t>Izv. Atmos. Ocean. Phys.</t>
  </si>
  <si>
    <t>10.1134/S0001433817050097</t>
  </si>
  <si>
    <t>FJ7AO</t>
  </si>
  <si>
    <t>WOS:000412909400009</t>
  </si>
  <si>
    <t>Lagun, VE; Klepikov, AV; Danilov, AI</t>
  </si>
  <si>
    <t>Lagun, V. E.; Klepikov, A. V.; Danilov, A. I.</t>
  </si>
  <si>
    <t>Polar meteorology: Results of Russian research in 2011-2014</t>
  </si>
  <si>
    <t>Arctic; Antarctic; climate change; International Polar Year; warming; natural variability</t>
  </si>
  <si>
    <t>ATLANTIC MULTIDECADAL OSCILLATION; ARCTIC-OCEAN; SEA-ICE; SUBMARINE PERMAFROST; NORTHERN-HEMISPHERE; SEASONAL-VARIATIONS; RADIOSONDE LAUNCH; CLIMATE CHANGES; TEMPERATURE; 21ST-CENTURY</t>
  </si>
  <si>
    <t>A review of the results of Russian polar research performed in 2011-2014 is provided. It is based on material prepared by the Commission on Polar Meteorology of the National Geophysical Committee, Russian Academy of Sciences, for the National Report on Meteorology and Atmospheric Sciences submitted to General Assembly XXVI of the International Union of Geodesy and Geophysics(1) [1].</t>
  </si>
  <si>
    <t>[Lagun, V. E.; Klepikov, A. V.; Danilov, A. I.] Arctic &amp; Antarctic Res Inst, St Petersburg 199397, Russia</t>
  </si>
  <si>
    <t>Arctic &amp; Antarctic Research Institute</t>
  </si>
  <si>
    <t>Klepikov, AV (corresponding author), Arctic &amp; Antarctic Res Inst, St Petersburg 199397, Russia.</t>
  </si>
  <si>
    <t>klep@aari.ru</t>
  </si>
  <si>
    <t>10.1134/S0001433817050073</t>
  </si>
  <si>
    <t>WOS:000412909400010</t>
  </si>
  <si>
    <t>Lee, EH; Lee, DY; Park, MY</t>
  </si>
  <si>
    <t>Lee, Eun Hee; Lee, Dae-Young; Park, Mi-Young</t>
  </si>
  <si>
    <t>Climate Events and Cycles During the Last Glacial-Interglacial Transition</t>
  </si>
  <si>
    <t>JOURNAL OF ASTRONOMY AND SPACE SCIENCES</t>
  </si>
  <si>
    <t>Climate events; Bolling-Allerod; Younger Dryas; de Vries cycle; Eddy cycle; Heinrich cycle</t>
  </si>
  <si>
    <t>RECORD; OCEAN</t>
  </si>
  <si>
    <t>During the last glacial-interglacial transition, there were multiple intense climatic events such as the Bolling-Allerod warming and Younger Dryas cooling. These events show abrupt and rapid climatic changes. In this study, the climate events and cycles during this interval are examined through wavelet analysis of Arctic and Antarctic ice-core 18O and tropical marine C-14 records. The results show that periods of similar to 1383-1402, similar to 1029-1043, similar to 726-736, similar to 441-497 and similar to 202-247 years are dominant in the Arctic region, whereas periods of similar to 1480, similar to 765, similar to 518, similar to 311, and similar to 207 years are prominent in the Antarctic TALDICE. In addition, cycles of similar to 1019, similar to 515, and similar to 209 years are distinct in the tropical region. Among these variations, the de Vries cycle of similar to 202-209 years, correlated with variations in solar activity, was detected globally. In particular, this cycle shows a strong signal in the Antarctic between about 13,000 and 10,500 yr before present (BP). In contrast, the Eddy cycle of similar to 1019-1043 years was prominent in Greenland and the tropical region, but was not detected in the Antarctic TALDICE records. Instead, these records showed that the Heinrich cycle of similar to 1480 year was very strong and significant throughout the last glacial-interglacial interval.</t>
  </si>
  <si>
    <t>[Lee, Eun Hee] Yonsei Univ Observ, Seoul 03722, South Korea; [Lee, Dae-Young] Chungbuk Natl Univ, Dept Astron &amp; Space Sci, Cheongju 28644, South Korea; [Park, Mi-Young] SELab Inc, Seoul 06049, South Korea</t>
  </si>
  <si>
    <t>Chungbuk National University</t>
  </si>
  <si>
    <t>Lee, EH (corresponding author), Yonsei Univ Observ, Seoul 03722, South Korea.</t>
  </si>
  <si>
    <t>ehl77@naver.com</t>
  </si>
  <si>
    <t>Korean government through a National Research Foundation of Korea Grant [NRF-2013-R1A1A3012194]</t>
  </si>
  <si>
    <t>Korean government through a National Research Foundation of Korea Grant(National Research Foundation of Korea)</t>
  </si>
  <si>
    <t>This work was supported by the Korean government through a National Research Foundation of Korea Grant (NRF-2013-R1A1A3012194).</t>
  </si>
  <si>
    <t>KOREAN SPACE SCIENCE SOC</t>
  </si>
  <si>
    <t>SEOUL</t>
  </si>
  <si>
    <t>134 SINCHON-DONG, SEODAEMUN-GU, SEOUL, 120-749, SOUTH KOREA</t>
  </si>
  <si>
    <t>2093-5587</t>
  </si>
  <si>
    <t>2093-1409</t>
  </si>
  <si>
    <t>J ASTRON SPACE SCI</t>
  </si>
  <si>
    <t>J. Astron. Space Sci.</t>
  </si>
  <si>
    <t>10.5140/JASS.2017.34.3.207</t>
  </si>
  <si>
    <t>FK5ZE</t>
  </si>
  <si>
    <t>WOS:000413581500003</t>
  </si>
  <si>
    <t>Chen, C; Chu, XZ</t>
  </si>
  <si>
    <t>Chen, Cao; Chu, Xinzhao</t>
  </si>
  <si>
    <t>Two-dimensional Morlet wavelet transform and its application to wave recognition methodology of automatically extracting two-dimensional wave packets from lidar observations in Antarctica</t>
  </si>
  <si>
    <t>JOURNAL OF ATMOSPHERIC AND SOLAR-TERRESTRIAL PHYSICS</t>
  </si>
  <si>
    <t>12th Workshop on Layered Phenomena in the Mesopause Region (LPMR)</t>
  </si>
  <si>
    <t>AUG 10-13, 2015</t>
  </si>
  <si>
    <t>Univ Colorado Boulder, Boulder, CO</t>
  </si>
  <si>
    <t>Univ Colorado Boulder</t>
  </si>
  <si>
    <t>2-D wavelet transform; Wave pattern recognition; Persistent inertia-gravity waves; Antarctic lidar observation</t>
  </si>
  <si>
    <t>INERTIA-GRAVITY WAVES; UPPER MESOSPHERE; LOWER STRATOSPHERE; LOWER THERMOSPHERE; MIDDLE ATMOSPHERE; MACQUARIE ISLAND; SAMPLING THEORY; LONG-TERM; MU RADAR; PROPAGATION</t>
  </si>
  <si>
    <t>Waves in the atmosphere and ocean are inherently intermittent, with amplitudes, frequencies, or wavelengths varying in time and space. Most waves exhibit wave packet-like properties, propagate at oblique angles, and are often observed in two-dimensional (2-D) datasets. These features make the wavelet transforms, especially the 2D wavelet approach, more appealing than the traditional windowed Fourier analysis, because the former allows adaptive time-frequency window width (i.e., automatically narrowing window size at high frequencies and widening at low frequencies), while the latter uses a fixed envelope function. This study establishes the mathematical formalism of modified 1-D and 2-D Morlet wavelet transforms, ensuring that the power of the wavelet transform in the frequency/wavenumber domain is equivalent to the mean power of its counterpart in the time/space domain. Consequently, the modified wavelet transforms eliminate the bias against highfrequency/small-scale waves in the conventional wavelet methods and many existing codes. Based on the modified 2-D Morlet wavelet transform, we put forward a wave recognition methodology that automatically identifies and extracts 2-D quasi-monochromatic wave packets and then derives their wave properties including wave periods, wavelengths, phase speeds, and time/space spans. A step-by-step demonstration of this methodology is given on analyzing the lidar data taken during 28-30 June 2014 at McMurdo, Antarctica. The newly developed wave recognition methodology is then applied to two more lidar observations in May and July 2014, to analyze the recently discovered persistent gravity waves in Antarctica. The decomposed inertia-gravity wave characteristics are consistent with the conclusion in Chen et al. (2016a) that the 3-10 h waves are persistent and dominant, and exhibit lifetimes of multiple days. They have vertical wavelengths of 20-30 km, vertical phase speeds of 0.5-2 m/s, and horizontal wavelengths up to several thousands kilometers in the mesosphere and lower thermosphere (MLT). The variations in the extracted wave properties from different months in winter indicate a month-to-month variability in the gravity wave activities in the Antarctic MLT region.</t>
  </si>
  <si>
    <t>[Chen, Cao; Chu, Xinzhao] Univ Colorado, Cooperat Inst Res Environm Sci, CIRES, 216 UCB, Boulder, CO 80309 USA; Univ Colorado, CIRES, Dept Aerosp Engn Sci, 216 UCB, Boulder, CO 80309 USA</t>
  </si>
  <si>
    <t>University of Colorado System; University of Colorado Boulder; University of Colorado System; University of Colorado Boulder</t>
  </si>
  <si>
    <t>Chen, C; Chu, XZ (corresponding author), Univ Colorado, Cooperat Inst Res Environm Sci, CIRES, 216 UCB, Boulder, CO 80309 USA.</t>
  </si>
  <si>
    <t>Cao.Chen@Colorado.edu; Xinzhao.Chu@Colorado.edu</t>
  </si>
  <si>
    <t>Chen, Cao/D-9851-2016; CHU, XINZHAO/I-5670-2015</t>
  </si>
  <si>
    <t>Chen, Cao/0000-0002-7780-2787; CHU, XINZHAO/0000-0001-6147-1963</t>
  </si>
  <si>
    <t>National Science Foundation (NSF) [PLR-1246405, AGS-1136272, AGS-1452351]; NSF [AGS-1136272]; CIRES Graduate Student Research Award; Directorate For Geosciences; Office of Polar Programs (OPP) [1246405] Funding Source: National Science Foundation; Div Atmospheric &amp; Geospace Sciences; Directorate For Geosciences [1452351, 1136272] Funding Source: National Science Foundation</t>
  </si>
  <si>
    <t>National Science Foundation (NSF)(National Science Foundation (NSF)); NSF(National Science Foundation (NSF)); CIRES Graduate Student Research Award; Directorate For Geosciences; Office of Polar Programs (OPP)(National Science Foundation (NSF)NSF - Directorate for Geosciences (GEO)); Div Atmospheric &amp; Geospace Sciences; Directorate For Geosciences(National Science Foundation (NSF)NSF - Directorate for Geosciences (GEO))</t>
  </si>
  <si>
    <t>We sincerely acknowledge Dr. Ian Grooms and Dr. Jens Oberheide for valuable discussions on the mathematical formalism of wavelet transforms. We are grateful to Dr. John A. Smith for his English edits, and to Dr. Vladimir Papitashvili for his guidance. We appreciate the staff of the United States Antarctic Program, McMurdo Station, Antarctica New Zealand, and Scott Base for their superb support of the McMurdo lidar campaign. This work was supported by National Science Foundation (NSF) grants PLR-1246405, AGS-1136272, and AGS-1452351. Cao Chen was partially supported by NSF grant AGS-1136272 and a CIRES Graduate Student Research Award during this work. The MATLAB codes and data used in this paper are available upon request.</t>
  </si>
  <si>
    <t>1364-6826</t>
  </si>
  <si>
    <t>1879-1824</t>
  </si>
  <si>
    <t>J ATMOS SOL-TERR PHY</t>
  </si>
  <si>
    <t>J. Atmos. Sol.-Terr. Phys.</t>
  </si>
  <si>
    <t>10.1016/j.jastp.2016.10.016</t>
  </si>
  <si>
    <t>Geochemistry &amp; Geophysics; Meteorology &amp; Atmospheric Sciences</t>
  </si>
  <si>
    <t>FI5PO</t>
  </si>
  <si>
    <t>WOS:000412036500004</t>
  </si>
  <si>
    <t>Lübken, FJ; Latteck, R; Becker, E; Höffner, J; Murphy, D</t>
  </si>
  <si>
    <t>Luebken, Franz-Josef; Latteck, Ralph; Becker, Erich; Hoeffner, Josef; Murphy, Damian</t>
  </si>
  <si>
    <t>Using polar mesosphere summer echoes and stratospheric/mesospheric winds to explain summer mesopause jumps in Antarctica</t>
  </si>
  <si>
    <t>Polar mesosphere; Polar mesosphere summer echoes (PMSE); Winter/summer circulation transition; Summer mesopause</t>
  </si>
  <si>
    <t>HEMISPHERIC-DIFFERENCES; TEMPERATURE; PMSE</t>
  </si>
  <si>
    <t>Recent high resolution temperature measurements by resonance lidar occasionally showed a sudden mesopause altitude increase by similar to 5 km and an associated mesopause temperature decrease by similar to 10 K at Davis (69 degrees S). In this paper we present further observations which are closely related to this 'mesopause jump', namely the increase of mean height of polar mesospheric summer echoes (PMSE) observed by a VHF radar, very strong westward winds in the upper mesosphere measured by an MF radar, and relatively large eastward winds in the stratosphere taken from reanalysis. We present a detailed explanation of mesopause jumps. They occur only when stratospheric winds are moderately eastward and mesospheric winds are strongly westward. Under these conditions, gravity waves with comparatively large eastward phase speeds can pass the stratosphere and propagate to the lower thermosphere because their vertical wavelengths in the mesosphere are rather large which implies enhanced dynamical stability. When finally breaking in the lower thermosphere, these waves drive an enhanced residual circulation that causes a cold and high-altitude mesopause. The conditions for a mesopause jump occur only in the Southern Hemisphere (SH) and are associated with the late breakdown of the polar vortex. Mesopause jumps are primarily, but not only, observed prior and close to solstice. Our study also shows that during the onset of PMSE in the SH, stratospheric zonal winds are still eastward (up to 30 m/s), and that the onset is not closely related to the transition of the stratospheric circulation. Unlike previously published results with polar mesospheric clouds, we find an overall poor correlation between PMSE onset and the date of the vortex breakdown. (C) 2016 Elsevier Ltd. All rights reserved.</t>
  </si>
  <si>
    <t>[Luebken, Franz-Josef; Latteck, Ralph; Becker, Erich; Hoeffner, Josef] Leibniz Inst Atmospher Phys, Schloss Str 6, D-18225 Kuhiungsborn, Germany; [Murphy, Damian] Australian Antarctic Div, Kingston, Tas, Australia</t>
  </si>
  <si>
    <t>Leibniz Institut fur Atmospharenphysik e.V. an der Universitat Rostock (IAP); Australian Antarctic Division</t>
  </si>
  <si>
    <t>Lübken, FJ (corresponding author), Leibniz Inst Atmospher Phys, Schloss Str 6, D-18225 Kuhiungsborn, Germany.</t>
  </si>
  <si>
    <t>luebken@iap-kborn.de</t>
  </si>
  <si>
    <t>TIMA-project of the BMBF research initiative ROMIC; PACOG-project of DFG; Australian Antarctic Science [674, 2325, 4025]</t>
  </si>
  <si>
    <t>TIMA-project of the BMBF research initiative ROMIC; PACOG-project of DFG(German Research Foundation (DFG)); Australian Antarctic Science</t>
  </si>
  <si>
    <t>Data from MERRA were taken from http://gmao.gsfc.nasa.gov/ merra/. We thank Peter Hoffmann for providing the MF radar winds from ALOMAR and Jens Fiedler and Gerd Baumgarten for their support in retrieving MERRA data. This paper is partly supported by the TIMA-project of the BMBF research initiative ROMIC and by the PACOG-project of DFG. The Davis radars are supported under Australian Antarctic Science projects 674, 2325 and 4025.</t>
  </si>
  <si>
    <t>10.1016/j.jastp.2016.06.008</t>
  </si>
  <si>
    <t>WOS:000412036500010</t>
  </si>
  <si>
    <t>Davies, D; Bingham, RG; Graham, AGC; Spagnolo, M; Dutrieux, P; Vaughan, DG; Jenkins, A; Nitsche, FO</t>
  </si>
  <si>
    <t>Davies, D.; Bingham, R. G.; Graham, A. G. C.; Spagnolo, M.; Dutrieux, P.; Vaughan, D. G.; Jenkins, A.; Nitsche, F. O.</t>
  </si>
  <si>
    <t>High-resolution sub-ice-shelf seafloor records of twentieth century ungrounding and retreat of Pine Island Glacier, West Antarctica</t>
  </si>
  <si>
    <t>Pine Island Glacier; West Antarctic Ice Sheet; autonomous underwater vehicle; ice sheet dynamics; bed forms; marine geophysics</t>
  </si>
  <si>
    <t>AUTONOMOUS UNDERWATER VEHICLE; NORWEGIAN-GREENLAND SEA; GROUNDING LINE RETREAT; CENTRAL BARENTS SEA; SEDIMENTARY PROCESSES; ROSS SEA; SUBGLACIAL BATHYMETRY; DISTRIBUTION BENEATH; GEOMORPHIC FEATURES; SUBMARINE LANDFORMS</t>
  </si>
  <si>
    <t>Pine Island Glacier Ice Shelf (PIGIS) has been thinning rapidly over recent decades, resulting in a progressive drawdown of the inland ice and an upstream migration of the grounding line. The resultant ice loss from Pine Island Glacier (PIG) and its neighboring ice streams presently contributes an estimated approximate to 10% to global sea level rise, motivating efforts to constrain better the rate of future ice retreat. One route toward gaining a better understanding of the processes required to underpin physically based projections is provided by examining assemblages of landforms and sediment exposed over recent decades by the ongoing ungrounding of PIG. Here we present high-resolution bathymetry and sub-bottom-profiler data acquired by autonomous underwater vehicle (AUV) surveys beneath PIGIS in 2009 and 2014, respectively. We identify landforms and sediments associated with grounded ice flow, proglacial and subglacial sediment transport, overprinting of lightly grounded ice-shelf keels, and stepwise grounding line retreat. The location of a submarine ridge (Jenkins Ridge) coincides with a transition from exposed crystalline bedrock to abundant sediment cover potentially linked to a thick sedimentary basin extending upstream of the modern grounding line. The capability of acquiring high-resolution data from AUV platforms enables observations of landforms and understanding of processes on a scale that is not possible in standard offshore geophysical surveys.</t>
  </si>
  <si>
    <t>[Davies, D.; Bingham, R. G.] Univ Edinburgh, Sch GeoSci, Edinburgh, Midlothian, Scotland; [Graham, A. G. C.] Univ Exeter, Coll Life &amp; Environm Sci, Exeter, Devon, England; [Spagnolo, M.] Univ Aberdeen, Sch Geosci, Aberdeen, Scotland; [Spagnolo, M.] Univ Calif Berkeley, Earth &amp; Planetary Sci Dept, Berkeley, CA 94720 USA; [Dutrieux, P.; Nitsche, F. O.] Columbia Univ, Lamont Doherty Earth Observ, Palisades, NY USA; [Vaughan, D. G.; Jenkins, A.] British Antarctic Survey, Cambridge, England</t>
  </si>
  <si>
    <t>University of Edinburgh; University of Exeter; University of Aberdeen; University of California System; University of California Berkeley; Columbia University; UK Research &amp; Innovation (UKRI); Natural Environment Research Council (NERC); NERC British Antarctic Survey</t>
  </si>
  <si>
    <t>Davies, D (corresponding author), Univ Edinburgh, Sch GeoSci, Edinburgh, Midlothian, Scotland.</t>
  </si>
  <si>
    <t>D.Davies@ed.ac.uk</t>
  </si>
  <si>
    <t>Spagnolo, Matteo/G-2415-2011; Vaughan, David/C-8348-2011; Nitsche, Frank O/A-9343-2009; Jenkins, Adrian/IUN-2406-2023; Bingham, Robert G/G-3576-2017; Dutrieux, Pierre/B-7568-2012</t>
  </si>
  <si>
    <t>Spagnolo, Matteo/0000-0002-2753-338X; Nitsche, Frank O/0000-0002-4137-547X; Jenkins, Adrian/0000-0002-9117-0616; Davies, Damon/0000-0002-6793-9480; Bingham, Robert G/0000-0002-0630-2021; Vaughan, David/0000-0002-9065-0570; Dutrieux, Pierre/0000-0002-8066-934X</t>
  </si>
  <si>
    <t>UK Natural Environment Research Council (NERC) iSTAR Programme [NE/J005665/2, NE/J005770/1]; NERC grant [NE/G001367/1]; NERC Training grant [NE/K011189/1]; NSF [ANT-838735]; NERC [NE/J004766/1]; Natural Environment Research Council [1365732, NE/J005770/1, bas0100033, NE/J005754/1, NE/J004766/1, NE/J005665/1, NE/J005665/2, NE/G001367/1] Funding Source: researchfish; NERC [bas0100033, NE/J005665/1, NE/J005770/1, NE/J005665/2, NE/G001367/1, NE/J004766/1, NE/J005754/1] Funding Source: UKRI</t>
  </si>
  <si>
    <t>UK Natural Environment Research Council (NERC) iSTAR Programme(UK Research &amp; Innovation (UKRI)Natural Environment Research Council (NERC)); NERC grant(UK Research &amp; Innovation (UKRI)Natural Environment Research Council (NERC)); NERC Training grant; NSF(National Science Foundation (NSF)); NERC(UK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</si>
  <si>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supported by funding from the UK Natural Environment Research Council (NERC) iSTAR Programme grants NE/J005665/2 and NE/J005770/1 and NERC grant NE/G001367/1. D.D. was supported by NERC Training grant NE/K011189/1. F.O.N. was supported by NSF grant ANT-838735. M.S. was supported by NERC grant NE/J004766/1. We thank the Autosub technical teams led by Steve McPhail and the Captain and cruise participants of RRS James Clark Ross cruise JR294/295 and RVIB Nathaniel B. Palmer cruise NBP09-01 for conducting the AUV operations. We thank Julian Dowdeswell and two anonymous reviewers for constructive reviews which improved the clarity of the manuscript. Data used in this article can be obtained from the UK Polar Data Centre and the iSTAR programme web-GIS repository gis.istar.ac.uk.</t>
  </si>
  <si>
    <t>10.1002/2017JF004311</t>
  </si>
  <si>
    <t>FJ7IL</t>
  </si>
  <si>
    <t>WOS:000412930400008</t>
  </si>
  <si>
    <t>Verdy, A; Mazloff, MR</t>
  </si>
  <si>
    <t>Verdy, A.; Mazloff, M. R.</t>
  </si>
  <si>
    <t>A data assimilating model for estimating Southern Ocean biogeochemistry</t>
  </si>
  <si>
    <t>Southern Ocean; state estimation; biogeochemistry</t>
  </si>
  <si>
    <t>NET COMMUNITY PRODUCTION; GLOBAL OCEAN; ECOSYSTEM MODEL; CARBON-DIOXIDE; STATION PAPA; DATA PRODUCT; SYSTEM; TRENDS; SEA; PCO(2)</t>
  </si>
  <si>
    <t>A Biogeochemical Southern Ocean State Estimate (B-SOSE) is introduced that includes carbon and oxygen fields as well as nutrient cycles. The state estimate is constrained with observations while maintaining closed budgets and obeying dynamical and thermodynamic balances. Observations from profiling floats, shipboard data, underway measurements, and satellites are used for assimilation. The years 2008-2012 are chosen due to the relative abundance of oxygen observations from Argo floats during this time. The skill of the state estimate at fitting the data is assessed. The agreement is best for fields that are constrained with the most observations, such as surface pCO(2) in Drake Passage (44% of the variance captured) and oxygen profiles (over 60% of the variance captured at 200 and 1000 m). The validity of adjoint method optimization for coupled physical-biogeochemical state estimation is demonstrated with a series of gradient check experiments. The method is shown to be mature and ready to synthesize in situ biogeochemical observations as they become more available. Documenting the B-SOSE configuration and diagnosing the strengths and weaknesses of the solution informs usage of this product as both a climate baseline and as a way to test hypotheses. Transport of Intermediate Waters across 32 degrees S supplies significant amounts of nitrate to the Atlantic Ocean (5.57 +/- 2.94 Tmol yr(-1)) and Indian Ocean (5.09 +/- 3.06 Tmol yr(-1)), but much less nitrate reaches the Pacific Ocean (1.78 +/- 1.91 Tmol yr(-1)). Estimates of air-sea carbon dioxide fluxes south of 50 degrees S suggest a mean uptake of 0.18 Pg C/yr for the time period analyzed.</t>
  </si>
  <si>
    <t>[Verdy, A.; Mazloff, M. R.] Scripps Inst Oceanog, La Jolla, CA 92037 USA</t>
  </si>
  <si>
    <t>Verdy, A (corresponding author), Scripps Inst Oceanog, La Jolla, CA 92037 USA.</t>
  </si>
  <si>
    <t>averdy@ucsd.edu</t>
  </si>
  <si>
    <t>Mazloff, Matthew/AAG-6463-2019; Verdy, Ariane/B-6470-2008</t>
  </si>
  <si>
    <t>Mazloff, Matthew/0000-0002-1650-5850; Verdy, Ariane/0000-0002-2774-2691</t>
  </si>
  <si>
    <t>NSF's Southern Ocean Carbon and Climate Observations and Modeling (SOCCOM) [PLR-1425989]; Cnes; National Ocean Partnership Program; Office of Naval Research; U.S. Navy; Office of Polar Programs (OPP); Directorate For Geosciences [1425989] Funding Source: National Science Foundation</t>
  </si>
  <si>
    <t>NSF's Southern Ocean Carbon and Climate Observations and Modeling (SOCCOM); Cnes(Centre National D'etudes Spatiales); National Ocean Partnership Program; Office of Naval Research(Office of Naval Research); U.S. Navy(United States Department of Defense); Office of Polar Programs (OPP); Directorate For Geosciences(National Science Foundation (NSF)NSF - Directorate for Geosciences (GEO))</t>
  </si>
  <si>
    <t>This work was sponsored by NSF's Southern Ocean Carbon and Climate Observations and Modeling (SOCCOM) Project under the NSF award PLR-1425989. Logistical support for this project in Antarctica was provided by the U.S. National Science Foundation through the U.S. Antarctic Program. We thank Joellen Russell and the University of Arizona for providing the computing resources to produce BSOSE. We acknowledge use of multiple data products, referenced in the text. The MDT_CNES-CLS13 product used was produced by CLS Space Oceanography Division and distributed by Aviso, with support from Cnes (http://www.aviso.altimetry.fr). HYCOM output used was produced with funding provided by the National Ocean Partnership Program and the Office of Naval Research. Data assimilative products using HYCOM are funded by the U.S. Navy. Computer time was made available by the DoD High Performance Computing Modernization Program; the output is publicly available at http://hycom.org. The Surface Ocean CO2 Atlas (SOCAT) is an international effort, endorsed by the International Ocean Carbon Coordination Project (IOCCP), the Surface Ocean Lower Atmosphere Study (SOLAS), and the Integrated Marine Biogeochemistry and Ecosystem Research program (IMBER), to deliver a uniformly quality-controlled surface ocean CO2 database. The many researchers and funding agencies responsible for the collection of data and quality control are thanked for their contributions to SOCAT. Argo data were collected and made freely available by the International Argo Program and the national programs that contribute to it (http://www.argo.ucsd.edu, http://argo.jcommops.org). The Argo Program is part of the Global Ocean Observing System (http://doi.org/10.17882/42182). We thank Matthew Long, John Dunne, and Eric Galbraith for helpful discussions and advice on biogeochemical modeling, and Roberta Hotinski for logistical support. The input of two anonymous reviewers greatly improved this manuscript.</t>
  </si>
  <si>
    <t>10.1002/2016JC012650</t>
  </si>
  <si>
    <t>FK0JX</t>
  </si>
  <si>
    <t>WOS:000413167200001</t>
  </si>
  <si>
    <t>St-Laurent, P; Yager, PL; Sherrell, RM; Stammerjohn, SE; Dinniman, MS</t>
  </si>
  <si>
    <t>St-Laurent, P.; Yager, P. L.; Sherrell, R. M.; Stammerjohn, S. E.; Dinniman, M. S.</t>
  </si>
  <si>
    <t>Pathways and supply of dissolved iron in the Amundsen Sea (Antarctica)</t>
  </si>
  <si>
    <t>polynyas; ice shelves; Antarctica</t>
  </si>
  <si>
    <t>PINE ISLAND GLACIER; ROSS SEA; OCEAN CIRCULATION; ICE SHELVES; MELTWATER; VARIABILITY; TOPOGRAPHY; RESOLUTION; HELIUM; MELT</t>
  </si>
  <si>
    <t>Numerous coastal polynyas fringe the Antarctic continent and strongly influence the productivity of Antarctic shelf systems. Of the 46 Antarctic coastal polynyas documented in a recent study, the Amundsen Sea Polynya (ASP) stands out as having the highest net primary production per unit area. Incubation experiments suggest that this productivity is partly controlled by the availability of dissolved iron (dFe). As a first step toward understanding the iron supply of the ASP, we introduce four plausible sources of dFe and simulate their steady spatial distribution using conservative numerical tracers. The modeled distributions replicate important features from observations including dFe maxima at the bottom of deep troughs and enhanced concentrations near the ice shelf fronts. A perturbation experiment with an idealized draw-down mimicking summertime biological uptake and subsequent resupply suggests that glacial meltwater and sediment-derived dFe are the main contributors to the prebloom dFe inventory in the top 100 m of the ASP. The sediment-derived dFe depends strongly on the buoyancy-driven overturning circulation associated with the melting ice shelves (the meltwater pump) to add dFe to the upper 300 m of the water column. The results support the view that ice shelf melting plays an important direct and indirect role in the dFe supply and delivery to polynyas such as the ASP.</t>
  </si>
  <si>
    <t>[St-Laurent, P.; Dinniman, M. S.] Old Dominion Univ, Ctr Coastal Phys Oceanog, Norfolk, VA 23529 USA; [Yager, P. L.] Univ Georgia, Dept Marine Sci, Athens, GA 30602 USA; [Sherrell, R. M.] Rutgers State Univ, Dept Marine &amp; Coastal Sci, New Brunswick, NJ USA; [Sherrell, R. M.] Rutgers State Univ, Dept Earth &amp; Planetary Sci, New Brunswick, NJ USA; [Stammerjohn, S. E.] Univ Colorado, Inst Arctic &amp; Alpine Res, Boulder, CO 80309 USA</t>
  </si>
  <si>
    <t>Old Dominion University; University System of Georgia; University of Georgia; Rutgers University System; Rutgers University New Brunswick; Rutgers University System; Rutgers University New Brunswick; University of Colorado System; University of Colorado Boulder</t>
  </si>
  <si>
    <t>St-Laurent, P (corresponding author), Old Dominion Univ, Ctr Coastal Phys Oceanog, Norfolk, VA 23529 USA.</t>
  </si>
  <si>
    <t>pstlaure@odu.edu</t>
  </si>
  <si>
    <t>Yager, Patricia/K-8020-2014</t>
  </si>
  <si>
    <t>Yager, Patricia/0000-0002-8462-6427; Dinniman, Michael/0000-0001-7519-9278; St-Laurent, Pierre/0000-0002-1700-9509; STAMMERJOHN, SHARON/0000-0002-1697-8244</t>
  </si>
  <si>
    <t>National Science Foundation Office of Polar Programs [1443657, 1443604, 1443315, 1443569]; Turing High Performance Computing cluster at Old Dominion University; Directorate For Geosciences; Office of Polar Programs (OPP) [1443657, 1443604, 1440435] Funding Source: National Science Foundation; Office of Polar Programs (OPP); Directorate For Geosciences [1443315, 1443569] Funding Source: National Science Foundation</t>
  </si>
  <si>
    <t>National Science Foundation Office of Polar Programs(National Science Foundation (NSF)NSF - Directorate for Geosciences (GEO)); Turing High Performance Computing cluster at Old Dominion University; Directorate For Geosciences; Office of Polar Programs (OPP)(National Science Foundation (NSF)NSF - Directorate for Geosciences (GEO)); Office of Polar Programs (OPP); Directorate For Geosciences(National Science Foundation (NSF)NSF - Directorate for Geosciences (GEO))</t>
  </si>
  <si>
    <t>This research was supported by the National Science Foundation Office of Polar Programs (collaborative grants 1443657,1443604,1443315, and 1443569) and by the Turing High Performance Computing cluster at Old Dominion University. We thank the reviewers for their helpful comments. The authors are also grateful for helpful suggestions provided by H. Oliver. We thank the crew and scientific personnel involved in the collection of the data during ASPIRE. AMPS atmospheric data were provided by Ohio State University. The data used in the manuscript will be permanently archived at BCO-DMO (http://www.bco-dmo.org/) after the manuscript is accepted.</t>
  </si>
  <si>
    <t>10.1002/2017JC013162</t>
  </si>
  <si>
    <t>WOS:000413167200010</t>
  </si>
  <si>
    <t>Shadwick, EH; Tilbrook, B; Currie, KI</t>
  </si>
  <si>
    <t>Shadwick, E. H.; Tilbrook, B.; Currie, K. I.</t>
  </si>
  <si>
    <t>Late-summer biogeochemistry in the Mertz Polynya: East Antarctica</t>
  </si>
  <si>
    <t>CO2 system; Mertz Polynya; East Antarctica; glacier calving; ocean sink for CO2</t>
  </si>
  <si>
    <t>NET COMMUNITY PRODUCTION; ROSS SEA; BIOLOGICAL PRODUCTION; CARBONATE CHEMISTRY; OCEAN ACIDIFICATION; NORTH WATER; DYNAMICS; SYSTEMS; RATIOS; FLUXES</t>
  </si>
  <si>
    <t>A marked reconfiguration of the Mertz Polynya following the 2010 calving of the Mertz Glacier Tongue has been associated with a decrease in the size and activity of the polynya. We report observations of the oceanic carbonate (CO2) system in late-summer 2013, the third post-calving summer season. Estimates of seasonal net community production (NCP) based on inorganic carbon deficits and the oxygen-argon ratio indicate that the waters on the shelf to the east of Commonwealth Bay (adjacent to the Mertz Glacier) remain productive compared to pre-calving conditions. The input of residual or excess alkalinity from melting sea ice is found to contribute to the seasonal enhancement of carbonate saturation state and pH in shelf waters. Mean rates of NCP in 2012-2013 are more than twice as large as those observed in the pre-calving summers of 2001 and 2008 and suggest that the new (post-calving) configuration of the polynya favors enhanced net community production and a stronger surface ocean sink for atmospheric CO2 due at least in part to the redistribution of sea ice and associated changes in summer surface stratification.</t>
  </si>
  <si>
    <t>[Shadwick, E. H.] Virginia Inst Marine Sci, Coll William &amp; Mary, Gloucester Point, VA 23062 USA; [Shadwick, E. H.; Tilbrook, B.] Univ Tasmania, Antarctic Climate &amp; Ecosyst Cooperat Res Ctr, Hobart, Tas, Australia; [Tilbrook, B.] CSIRO Oceans &amp; Atmosphere, Hobart, Tas, Australia; [Currie, K. I.] Univ Otago, Ctr Chem &amp; Phys Oceanog, Natl Inst Water &amp; Atmospher Res, Dunedin, New Zealand</t>
  </si>
  <si>
    <t>William &amp; Mary; Virginia Institute of Marine Science; University of Tasmania; Antarctic Climate &amp; Ecosystems Cooperative Research Centre (ACE CRC); Commonwealth Scientific &amp; Industrial Research Organisation (CSIRO); National Institute of Water &amp; Atmospheric Research (NIWA) - New Zealand; University of Otago</t>
  </si>
  <si>
    <t>Shadwick, EH (corresponding author), Virginia Inst Marine Sci, Coll William &amp; Mary, Gloucester Point, VA 23062 USA.;Shadwick, EH (corresponding author), Univ Tasmania, Antarctic Climate &amp; Ecosyst Cooperat Res Ctr, Hobart, Tas, Australia.</t>
  </si>
  <si>
    <t>shadwick@vims.edu</t>
  </si>
  <si>
    <t>Tilbrook, Bronte/W-4007-2019</t>
  </si>
  <si>
    <t>Tilbrook, Bronte/0000-0001-9385-3827; Shadwick, Elizabeth/0000-0003-4008-3333</t>
  </si>
  <si>
    <t>Australian Government's Cooperative Research Centres Program, through Antarctic Climate and Ecosystems Cooperative Research Centre (ACE CRC); Department of Climate Change and Energy Efficiency through Australian Climate Change Science Program; Integrated Marine Observing System; Scientific Committee on Antarctic Research (SCAR); NASA/HQ</t>
  </si>
  <si>
    <t>Australian Government's Cooperative Research Centres Program, through Antarctic Climate and Ecosystems Cooperative Research Centre (ACE CRC)(Australian GovernmentDepartment of Industry, Innovation and ScienceCooperative Research Centres (CRC) Programme); Department of Climate Change and Energy Efficiency through Australian Climate Change Science Program; Integrated Marine Observing System; Scientific Committee on Antarctic Research (SCAR); NASA/HQ</t>
  </si>
  <si>
    <t>This work was supported by the Australian Government's Cooperative Research Centres Program, through the Antarctic Climate and Ecosystems Cooperative Research Centre (ACE CRC), the Department of Climate Change and Energy Efficiency through the Australian Climate Change Science Program, and the Integrated Marine Observing System. E. H. Shadwick received fellowship support from the Scientific Committee on Antarctic Research (SCAR). We thank K. Berry, her contribution to the collection and analysis of CO2 system data, Steve Rintoul and Mark Rosenberg for the CTD bottle data, the CSIRO Hydrochemistry Group for the analysis nutrient samples, and the captain and crew of the RV Tangaroa. We acknowledge the use of data products or imagery from the Land, Atmosphere Near real-time Capability for EOS (LANCE) system operated by the NASA/GSFC/Earth Science Data and Information System (ESDIS) with funding provided by NASA/HQ. The underway fCO2 data are archived at the Australian Integrated Marine Observing Network portal (http://www.imos.org.au/sots.html); discrete CO2 system are available from GLODAPv2 database at http://cdiac.ornl.gov/oceans/GLODAPv2. We are grateful to E. M. Jones and an anonymous reviewer for comments that helped to improve the manuscript. This paper is contribution 3644 of the Virginia Institute of Marine Science, College of William and Mary.</t>
  </si>
  <si>
    <t>10.1002/2017JC013015</t>
  </si>
  <si>
    <t>WOS:000413167200023</t>
  </si>
  <si>
    <t>Kamenkovich, I; Haza, A; Gray, AR; Dufour, CO; Garraffo, Z</t>
  </si>
  <si>
    <t>Kamenkovich, Igor; Haza, Angelique; Gray, Alison R.; Dufour, Carolina O.; Garraffo, Zulema</t>
  </si>
  <si>
    <t>Observing System Simulation Experiments for an array of autonomous biogeochemical profiling floats in the Southern Ocean</t>
  </si>
  <si>
    <t>OSSE; SOCCOM array; biogeochemical tracers</t>
  </si>
  <si>
    <t>ANTARCTIC CIRCUMPOLAR CURRENT; MOORED INSTRUMENT ARRAY; INDIAN-OCEAN; MESOSCALE EDDIES; DESIGN; ASSIMILATION; CLIMATE; MODEL; HEAT</t>
  </si>
  <si>
    <t>This study uses Observing System Simulation Experiments (OSSEs) to examine the reconstruction of biogeochemical variables in the Southern Ocean from an array of autonomous profiling floats. In these OSSEs, designed to be relevant to the Southern Ocean Carbon and Climate Observation and Modeling (SOCCOM) project, the simulated floats move with oceanic currents and sample dissolved oxygen and inorganic carbon. The annual mean and seasonal cycle of these fields are then reconstructed and compared to the original model fields. The reconstruction skill is quantified with the reconstruction error (RErr), defined as the difference between the reconstructed and actual model fields, weighted by a local measure of the spatiotemporal variability. The square of the RErr is small (&lt;0.5) for 150 floats in most of the domain, which is interpreted to mean that the reconstruction skill is high. An idealized analytical study demonstrates that the RErr depends on the magnitude of the seasonal cycle, spatial gradients, speed of float movement, amplitude of mesoscale variability, and number of floats. These factors explain a large part of the spatial variability in the RErr and can be used to predict the reconstruction skill of the SOCCOM array. Furthermore, our results demonstrate that an array size of 150 floats is a reasonable choice for reconstruction of surface properties and annual-mean 2000 m inventories, with the exception of the seasonal cycle in parts of the Indo-Atlantic, and that doubling this number to 300 results in a very modest increase in the reconstruction skill for dissolved oxygen.</t>
  </si>
  <si>
    <t>[Kamenkovich, Igor; Haza, Angelique] Univ Miami, RSMAS, Miami, FL 33146 USA; [Gray, Alison R.; Dufour, Carolina O.] Princeton Univ, Program Atmospher &amp; Ocean Sci, Princeton, NJ 08544 USA; [Gray, Alison R.] Univ Washington, Sch Oceanog, Seattle, WA 98195 USA; [Dufour, Carolina O.] McGill Univ, Dept Atmospher &amp; Ocean Sci, Montreal, PQ, Canada; [Garraffo, Zulema] NOAA, EMC, IMSG, College Pk, MD USA</t>
  </si>
  <si>
    <t>University of Miami; National Oceanic Atmospheric Admin (NOAA) - USA; Princeton University; University of Washington; University of Washington Seattle; McGill University; National Oceanic Atmospheric Admin (NOAA) - USA</t>
  </si>
  <si>
    <t>Kamenkovich, I (corresponding author), Univ Miami, RSMAS, Miami, FL 33146 USA.</t>
  </si>
  <si>
    <t>ikamenkovich@miami.edu</t>
  </si>
  <si>
    <t>Kamenkovich, Igor/AAG-3451-2019; Dufour, Carolina/GZA-9986-2022</t>
  </si>
  <si>
    <t>Dufour, Carolina/0000-0002-1441-3880; Gray, Alison/0000-0002-1644-7654; Kamenkovich, Igor/0000-0001-6228-5599</t>
  </si>
  <si>
    <t>NSF's Southern Ocean Carbon and Climate Observations and Modeling (SOCCOM) Project under NSF Award [PLR-1425989]; NOAA; NASA; NOAA Climate Program Office, Climate Observation Division; NOAA Climate and Global Change Postdoctoral Fellowship; National Aeronautics and Space Administration (NASA) [NNX14AL40G]; Princeton Environmental Institute (PEI) Grand Challenge initiative</t>
  </si>
  <si>
    <t>NSF's Southern Ocean Carbon and Climate Observations and Modeling (SOCCOM) Project under NSF Award; NOAA(National Oceanic Atmospheric Admin (NOAA) - USA); NASA(National Aeronautics &amp; Space Administration (NASA)); NOAA Climate Program Office, Climate Observation Division(National Oceanic Atmospheric Admin (NOAA) - USA); NOAA Climate and Global Change Postdoctoral Fellowship(National Oceanic Atmospheric Admin (NOAA) - USA); National Aeronautics and Space Administration (NASA)(National Aeronautics &amp; Space Administration (NASA)); Princeton Environmental Institute (PEI) Grand Challenge initiative</t>
  </si>
  <si>
    <t>We thank two anonymous reviewers for their valuable comments that helped to improve this paper. This work was sponsored by NSF's Southern Ocean Carbon and Climate Observations and Modeling (SOCCOM) Project under the NSF Award PLR-1425989, with additional support from NOAA and NASA. Igor Kamenkovich acknowledges the support by NOAA Climate Program Office, Climate Observation Division during the initial stages of this study. Alison Gray was supported by a NOAA Climate and Global Change Postdoctoral Fellowship. Carolina Dufour was supported by the National Aeronautics and Space Administration (NASA) under Award NNX14AL40G and by the Princeton Environmental Institute (PEI) Grand Challenge initiative. We are thankful to NRL/NAVO and HYCOM consortium for making their model output publicly available and Joe Metzger for his guidance and support in using these data. The real Argo float profile locations and times were downloaded from the Argo Global Data Assimilation Centre (doi:10.17882/42182). These data were collected and made freely available by the International Argo Program and the national programs that contribute to it. The Argo Program is part of the Global Ocean Observing System. SAF locations were downloaded from http://gcmd.nasa.gov/records/AADCsouthernoceanfronts.html. Model data used to produce figures in this study are available from doi:10.5072/FK2TH8JZ3Z; additional data are available upon request from ikamenkovich@miami.edu.</t>
  </si>
  <si>
    <t>10.1002/2017JC012819</t>
  </si>
  <si>
    <t>WOS:000413167200035</t>
  </si>
  <si>
    <t>Behera, JK; Sinha, AK; Vichare, G; Bhaskar, A; Honary, F; Rawat, R; Singh, R</t>
  </si>
  <si>
    <t>Behera, Jayanta K.; Sinha, Ashwini K.; Vichare, Geeta; Bhaskar, Ankush; Honary, Farideh; Rawat, Rahul; Singh, Rajesh</t>
  </si>
  <si>
    <t>Enhancement and modulation of cosmic noise absorption in the afternoon sector at subauroral location (L=5) during the recovery phase of 17 March 2015 geomagnetic storm</t>
  </si>
  <si>
    <t>imaging riometer; VLF-hiss; geomagnetic pulsation; transfer entropy method; wave-particle interaction; auroral electrojets</t>
  </si>
  <si>
    <t>WAVE-PARTICLE INTERACTIONS; ST PATRICKS DAY; ENERGETIC ELECTRON-PRECIPITATION; EQUATORWARD BOUNDARY; MAGNETIC PULSATIONS; AURORAL OVAL; ELF HISS; CHORUS; RIOMETER; MAGNETOSPHERE</t>
  </si>
  <si>
    <t>The present study has focused on the intense production of cosmic noise absorption (CNA) at Maitri, Antarctica (L = 5; CGM -62 degrees S, 55 degrees E) during the early recovery phase of the largest storm of the current solar cycle commenced on 17 March 2015 St. Patrick's Day. The enhancement of CNA during 15-18 UT(14-17magnetic local time (MLT); MLT = UT - 1 at Maitri) was as large as the CNA enhancement occurred during the main phase of the storm. During this time the CNA pattern also exhibits oscillation in the Pc5 (2-7 mHz) range and is in simultaneity with geomagnetic pulsations in the same frequency range. We observed the amplitude of CNA pulsation is well correlated with the level of CNA production. High-amplitude Pc5 oscillations were observed in the vicinity of auroral oval near Maitri. Absence of electromagnetic ion cyclotron (EMIC) waves is marked suggesting the possible role of VLF waves in precipitation. The reason for the intense CNA production is found to be the precipitation caused mainly by hiss-driven subrelativistic electrons. The CNA enhancement event is located well inside the dusk plasmaspheric bulge region as suggested by Tsurutani et al. (2015). Signature of enhanced eastward electrojet at Maitri during 14-17MLT could be an additional factor for such large CNA. In order to establish the cause and effect relationship between the geomagnetic and CNA oscillations at Maitri, transfer entropy method has been used, which confirmed the modulation of CNA by geomagnetic pulsations.</t>
  </si>
  <si>
    <t>[Behera, Jayanta K.; Sinha, Ashwini K.; Vichare, Geeta; Bhaskar, Ankush; Rawat, Rahul] Indian Inst Geomagnetism, New Bombay, India; [Behera, Jayanta K.] Pillai HOC Coll Arts Sci &amp; Commerce, Rasayani, India; [Honary, Farideh] Univ Lancaster, Dept Phys, Lancaster, England; [Singh, Rajesh] Dr KS Krishnan Geomagnet Res Lab KSKGRL, Allahabad, Uttar Pradesh, India</t>
  </si>
  <si>
    <t>Department of Science &amp; Technology (India); Indian Institute of Geomagnetism (IIG); Lancaster University; Department of Science &amp; Technology (India); Indian Institute of Geomagnetism (IIG)</t>
  </si>
  <si>
    <t>Behera, JK (corresponding author), Indian Inst Geomagnetism, New Bombay, India.;Behera, JK (corresponding author), Pillai HOC Coll Arts Sci &amp; Commerce, Rasayani, India.</t>
  </si>
  <si>
    <t>jayanta.sssj@gmail.com</t>
  </si>
  <si>
    <t>Honary, Farideh/0000-0002-7998-5628; Sinha, Ashwini Kumar/0000-0003-1329-6579; Singh, Rajesh/0000-0002-7545-3333; Rawat, Rahul/0000-0002-7275-8895; Bhaskar, Ankush/0000-0003-4281-1744</t>
  </si>
  <si>
    <t>Department of Science and Technology, Government of India; NERC [NE/J007773/1] Funding Source: UKRI</t>
  </si>
  <si>
    <t>Department of Science and Technology, Government of India(Department of Science &amp; Technology (India)); NERC(UK Research &amp; Innovation (UKRI)Natural Environment Research Council (NERC))</t>
  </si>
  <si>
    <t>We sincerely acknowledge NASA OMNIWEB (http://omniweb.gsfc.nasa.gov/ow_min.html) for providing high-resolution interplanetary data and WDC, Kyoto (http://wdc.kugi.kyoto-u.ac.jp/wdc/Sec3.html) for ground geomagnetic indices, respectively. We extend our acknowledgment to IMAGE for allowing us to use magnetometers data from the IMAGE chain stations. Thanks also to GOES (Space Environment Center, H. Singer) (http://satdat.ngdc.noaa.gov/sem/goes/). We extend our thanks to British Antarctic Survey(BAS) (https://www.bas.ac.uk/) for providing VLF signal data for the study. The authors are thankful to Gurubax Lakhina (INSA Senior Scientist) for the valuable suggestions and inputs. The authors also acknowledge the logistic support of National Center for Antarctic and Ocean Research, Ministry of Earth Sciences, Government of India. The Department of Science and Technology, Government of India is sincerely acknowledged for the financial support. We are sincerely thankful to I.I.G. for his support.</t>
  </si>
  <si>
    <t>10.1002/2017JA024226</t>
  </si>
  <si>
    <t>FK4UG</t>
  </si>
  <si>
    <t>WOS:000413491700030</t>
  </si>
  <si>
    <t>Guarnieri, F; Moon, W; Wettlaufer, JS</t>
  </si>
  <si>
    <t>Guarnieri, F.; Moon, W.; Wettlaufer, J. S.</t>
  </si>
  <si>
    <t>Solution of the Fokker-Planck equation with a logarithmic potential and mixed eigenvalue spectrum</t>
  </si>
  <si>
    <t>JOURNAL OF MATHEMATICAL PHYSICS</t>
  </si>
  <si>
    <t>ARCTIC SEA-ICE; REGULATED BROWNIAN-MOTION; THICKNESS DISTRIBUTION; TRANSIENT-BEHAVIOR; BESSEL PROCESSES; MODEL; MECHANICS</t>
  </si>
  <si>
    <t>Motivated by a problem in climate dynamics, we investigate the solution of a Bessel-like process with a negative constant drift, described by a Fokker-Planck equation with a potential V(x) = -[b ln(x) + a x], for b &gt; 0 and a &lt; 0. The problem belongs to a family of Fokker-Planck equations with logarithmic potentials closely related to the Bessel process that has been extensively studied for its applications in physics, biology, and finance. The Bessel-like process we consider can be solved by seeking solutions through an expansion into a complete set of eigenfunctions. The associated imaginary-time Schrodinger equation exhibits a mix of discrete and continuous eigenvalue spectra, corresponding to the quantum Coulomb potential describing the bound states of the hydrogen atom. We present a technique to evaluate the normalization factor of the continuous spectrum of eigenfunctions that relies solely upon their asymptotic behavior. We demonstrate the technique by solving the Brownian motion problem and the Bessel process both with a constant negative drift. We conclude with a comparison to other analytical methods and with numerical solutions. Published by AIP Publishing.</t>
  </si>
  <si>
    <t>[Guarnieri, F.; Moon, W.; Wettlaufer, J. S.] Nord Inst Theoret Phys NORDITA, S-10691 Stockholm, Sweden; [Moon, W.] British Antarctic Survey, High Cross,Madingley Rd, Cambridge CB3 0ET, England; [Moon, W.] Stockholm Univ, Dept Math, S-10691 Stockholm, Sweden; [Wettlaufer, J. S.] Yale Univ, New Haven, CT 06520 USA; [Wettlaufer, J. S.] Univ Oxford, Math Inst, Oxford OX2 6GG, England</t>
  </si>
  <si>
    <t>Nordic Institute for Theoretical Physics; UK Research &amp; Innovation (UKRI); Natural Environment Research Council (NERC); NERC British Antarctic Survey; Stockholm University; Yale University; University of Oxford</t>
  </si>
  <si>
    <t>Guarnieri, F (corresponding author), Nord Inst Theoret Phys NORDITA, S-10691 Stockholm, Sweden.</t>
  </si>
  <si>
    <t>filippo.guarnieri@mpg-alumni.de; woosok.moon@gmail.com; john.wettlaufer@yale.edu</t>
  </si>
  <si>
    <t>Wettlaufer, John/AAZ-9949-2021</t>
  </si>
  <si>
    <t>NASA Graduate Research Fellowship; Herchel-Smith postdoctoral fellowship; NASA [NNH13ZDA001N-CRYO]; Swedish Research Council [638-2013-9243]; Royal Society Wolfson Research Merit Award; National Science Foundation; Office of Naval Research [OCE-1332750]; Natural Environment Research Council [bas0100032] Funding Source: researchfish; NERC [bas0100032] Funding Source: UKRI</t>
  </si>
  <si>
    <t>NASA Graduate Research Fellowship; Herchel-Smith postdoctoral fellowship; NASA(National Aeronautics &amp; Space Administration (NASA)); Swedish Research Council(Swedish Research Council); Royal Society Wolfson Research Merit Award(Royal Society); National Science Foundation(National Science Foundation (NSF)); Office of Naval Research(Office of Naval Research); Natural Environment Research Council(UK Research &amp; Innovation (UKRI)Natural Environment Research Council (NERC)); NERC(UK Research &amp; Innovation (UKRI)Natural Environment Research Council (NERC))</t>
  </si>
  <si>
    <t>We thank S. Agarwal, F. Mancarella, M. Testa, and S. Toppaladoddi for useful discussions. W.M. acknowledges a NASA Graduate Research Fellowship and a Herchel-Smith postdoctoral fellowship for support. J.S.W. acknowledges NASA Grant No. NNH13ZDA001N-CRYO, Swedish Research Council Grant No. 638-2013-9243, and a Royal Society Wolfson Research Merit Award for support. All authors acknowledge the 2015 Geophysical Fluid Dynamics Summer Study Program at the Woods Hole Oceanographic Institution, which is supported by the National Science Foundation and the Office of Naval Research under No. OCE-1332750.</t>
  </si>
  <si>
    <t>AMER INST PHYSICS</t>
  </si>
  <si>
    <t>MELVILLE</t>
  </si>
  <si>
    <t>1305 WALT WHITMAN RD, STE 300, MELVILLE, NY 11747-4501 USA</t>
  </si>
  <si>
    <t>0022-2488</t>
  </si>
  <si>
    <t>1089-7658</t>
  </si>
  <si>
    <t>J MATH PHYS</t>
  </si>
  <si>
    <t>J. Math. Phys.</t>
  </si>
  <si>
    <t>10.1063/1.5000386</t>
  </si>
  <si>
    <t>Physics, Mathematical</t>
  </si>
  <si>
    <t>Physics</t>
  </si>
  <si>
    <t>FI6JZ</t>
  </si>
  <si>
    <t>WOS:000412102600025</t>
  </si>
  <si>
    <t>Kotzakoulakis, K; George, SC</t>
  </si>
  <si>
    <t>Kotzakoulakis, Konstantinos; George, Simon C.</t>
  </si>
  <si>
    <t>A simple and flexible correlation for predicting the viscosity of crude oils</t>
  </si>
  <si>
    <t>JOURNAL OF PETROLEUM SCIENCE AND ENGINEERING</t>
  </si>
  <si>
    <t>Viscosity correlation; Crude oil; Oil spill modelling; Petroleum properties; Oil weathering; Walther equation</t>
  </si>
  <si>
    <t>UNDEFINED PETROLEUM FRACTIONS; TEMPERATURE CORRELATION; KINEMATIC VISCOSITY; LIQUID HYDROCARBONS; MIXTURES; FLUIDS; MODEL</t>
  </si>
  <si>
    <t>A simple and flexible correlation has been developed for the prediction of the kinematic viscosity of crude oils based on the Walther equation (1931). The correlation was developed in order to improve on the accuracy of existing correlations and to assist oil spill weathering models, reservoir models and other models where the knowledge of viscosity of uncharacterised crude oils is required. The data used to build the correlation consist of measurements from 137 crude oils from various locations around the world, with 254 viscosity measurements taken at two temperatures, 0 degrees C and 15 degrees C, resulting in kinematic viscosity values ranging from 2 cSt to 9,000,000 cSt. The correlation can be used in three different ways depending on the available data. When a single viscosity measurement is available, it can predict the viscosity at a different temperature with an average absolute deviation (AAD) of 13.7% for the studied temperature range. When the specific gravity (SG) and the 50% mass boiling point is available it can give a viscosity estimation with an AAD of 52.9%, which is an improvement in accuracy by a factor of two compared to previously published correlations with the same inputs. Finally, when only the 50% mass boiling point is available, we have improved the accuracy of the Mehrotra (1995) correlation by 10%.</t>
  </si>
  <si>
    <t>[Kotzakoulakis, Konstantinos] Macquarie Univ, Dept Earth &amp; Planetary Sci, N Ryde, NSW 2109, Australia; Macquarie Univ, Marine Res Ctr, N Ryde, NSW 2109, Australia</t>
  </si>
  <si>
    <t>Macquarie University; Macquarie University</t>
  </si>
  <si>
    <t>Kotzakoulakis, K (corresponding author), Macquarie Univ, Dept Earth &amp; Planetary Sci, N Ryde, NSW 2109, Australia.</t>
  </si>
  <si>
    <t>konstantinos.kotzakoulakis@gmail.com</t>
  </si>
  <si>
    <t>George, Simon Christopher/G-7134-2015</t>
  </si>
  <si>
    <t>George, Simon Christopher/0000-0001-6534-3846</t>
  </si>
  <si>
    <t>Australian Antarctic Division [3054, 4142]; Endeavour PhD scholarship [3122_2012]</t>
  </si>
  <si>
    <t>Australian Antarctic Division; Endeavour PhD scholarship</t>
  </si>
  <si>
    <t>We thank the Australian Antarctic Division for funding (AAS grants 3054 and 4142). Konstantinos Kotzakoulakis was the recipient of an Endeavour PhD scholarship (3122_2012), for which he is very grateful. We thank several individuals who have worked with us as part of the bigger project team and have contributed ideas, including Peter Harrison, Catherine King, Kathryn Brown and Frances Alexander.</t>
  </si>
  <si>
    <t>0920-4105</t>
  </si>
  <si>
    <t>1873-4715</t>
  </si>
  <si>
    <t>J PETROL SCI ENG</t>
  </si>
  <si>
    <t>J. Pet. Sci. Eng.</t>
  </si>
  <si>
    <t>10.1016/j.petrol.2017.08.058</t>
  </si>
  <si>
    <t>Energy &amp; Fuels; Engineering, Petroleum</t>
  </si>
  <si>
    <t>Energy &amp; Fuels; Engineering</t>
  </si>
  <si>
    <t>FL4DZ</t>
  </si>
  <si>
    <t>WOS:000414179100033</t>
  </si>
  <si>
    <t>Katsumata, K</t>
  </si>
  <si>
    <t>Katsumata, Katsuro</t>
  </si>
  <si>
    <t>Eddies Observed by Argo Floats. Part II: Form Stress and Streamline Length in the Southern Ocean</t>
  </si>
  <si>
    <t>ANTARCTIC CIRCUMPOLAR CURRENT; VORTICITY BALANCE; MOMENTUM BALANCE; WIND-DRIVEN; CIRCULATION; VARIABILITY; MODEL; AUSTRALIA; PACIFIC; CHANNEL</t>
  </si>
  <si>
    <t>Argo floats measure horizontal current velocities at the parking depth and vertical profiles of temperature and salinity. These data were used to study the roles that eddies play in the dynamics of the Antarctic Circumpolar Current (ACC) in the Southern Ocean. A zonal momentum budget was quantified in a box spanning the latitudes of the Drake Passage and bounded by the sea surface and the 1000-dbar depth. The input of eastward zonal momentum from the wind (17.1 x 10(11) N) was approximately twice the downward transfer of eastward momentum across the isopycnal whose mean depth was 1000 dbar, which was mediated via form stress carried by eddies [(8.1 +/- 1.9) x 10(11) N]. The zonal momentum budget was closed to within uncertainty, meaning that the momentum not accounted for by eddies was explained by the Coriolis term associated with meridional transport. The form stress was spatially concentrated near meridional ridges, particularly on their eastern flanks. The localization was extreme: 7% of the total area contributed about 90% of the form stress. Lengths of streamlines were stretched around steady standing meanders. Seven major meanders were found at large topographic barriers along the ACC, with cyclonic meander collocated with the peaks of the topographic barriers. Eddies were found to lengthen the streamlines mostly on the eastern flanks of the meridional ridges, where the eddy transport was southward. Poleward eddy transport on the eastern flanks of meridional ridges is thus highlighted in the ACC dynamics in transferring eastward zonal momentum downward and in adjusting to wind changes by stretching streamlines.</t>
  </si>
  <si>
    <t>[Katsumata, Katsuro] Japan Agcy Marine Earth Sci &amp; Technol, Res &amp; Dev Ctr Global Change, Yokosuka, Kanagawa, Japan</t>
  </si>
  <si>
    <t>Japan Agency for Marine-Earth Science &amp; Technology (JAMSTEC)</t>
  </si>
  <si>
    <t>Katsumata, K (corresponding author), Japan Agcy Marine Earth Sci &amp; Technol, Res &amp; Dev Ctr Global Change, Yokosuka, Kanagawa, Japan.</t>
  </si>
  <si>
    <t>k.katsumata@jam-stec.go.jp</t>
  </si>
  <si>
    <t>Katsumata, Katsuro/AAR-5034-2020</t>
  </si>
  <si>
    <t>Katsumata, Katsuro/0000-0002-4683-7610</t>
  </si>
  <si>
    <t>Japan Society for the Promotion of Science (KAKENHI) [24540475]; Grants-in-Aid for Scientific Research [24540475] Funding Source: KAKEN</t>
  </si>
  <si>
    <t>Japan Society for the Promotion of Science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</si>
  <si>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The Ssalto/Duacs altimeter products were produced and distributed by the Copernicus Marine and Environment Monitoring Service (CMEMS; http://marine.copernicus.eu/copernicus.eu). Computing software for the International Thermodynamic Equation of Seawater-2010 (TEOS-10) is available online (at http://www.teos-10.org/software.htm). I very much appreciate the community efforts to maintain the availability of these data. This work was supported by the Japan Society for the Promotion of Science (KAKENHI) Grant Number 24540475.</t>
  </si>
  <si>
    <t>10.1175/JPO-D-17-0072.1</t>
  </si>
  <si>
    <t>FI6OO</t>
  </si>
  <si>
    <t>WOS:000412116100005</t>
  </si>
  <si>
    <t>Armbrecht, LH; Eriksen, R; Leventer, A; Armand, LK</t>
  </si>
  <si>
    <t>Armbrecht, Linda H.; Eriksen, Ruth; Leventer, Amy; Armand, Leanne K.</t>
  </si>
  <si>
    <t>First observations of living sea-ice diatom agglomeration to tintinnid loricae in East Antarctica</t>
  </si>
  <si>
    <t>JOURNAL OF PLANKTON RESEARCH</t>
  </si>
  <si>
    <t>diatom; tintinnid; Fragilariopsis curta; Fragilariopsis cylindrus; Fragilariopsis pseudonana; Fragilariopsis rhombica; Laackmanniella naviculaefera; Codonellopsis gaussi; sea-ice; Antarctica</t>
  </si>
  <si>
    <t>MICROBIAL COMMUNITIES; MARINE PLANKTON; SOUTHERN-OCEAN; ANNUAL CYCLE; WEDDELL SEA; EDGE ZONE; ABUNDANCE; MICROZOOPLANKTON; PHYTOPLANKTON; AGGLUTINATION</t>
  </si>
  <si>
    <t>Tintinnid ciliates are an important link in marine food webs as they feed on phytoplankton and bacteria while providing nutrients to higher trophic levels. Tintinnids are known to agglutinate mineral particles or dead biogenic material such as diatom frustules to their shell-like housing (lorica), however, reasons for this agglutination remain questioned. We report on our observation of agglomeration of the living diatoms Fragilariopsis curta, F. cylindrus, F. pseudonana and F. rhombica to loricae of the Antarctic tintinnid ciliates Laackmanniella naviculaefera and Codonellopsis gaussi. These unusual associations between living diatoms and tintinnids were exclusively observed south of 63.59 degrees S. We discuss the significance of our new finding and generate hypotheses to be tested by future research. It remains unclear where these living diatom-tintinnid associations are initially formed (in or near sea ice or also further north when abundances of L. naviculaefera, C. gaussi, F. curta, F. cylindrus,F. pseudonana and F. rhombica happen to be relatively high); who the beneficiary is in this association; what the exact benefits are; and how they might influence the Southern Ocean carbon cycle. Nevertheless, our observation provides a key step forward towards illuminating the largely unknown ecology of two Southern Ocean-endemic tintinnid species.</t>
  </si>
  <si>
    <t>[Armbrecht, Linda H.; Armand, Leanne K.] Macquarie Univ, Dept Biol Sci, MQ Marine Res Ctr, N Ryde, NSW 2109, Australia; [Eriksen, Ruth] Univ Tasmania, Antarctic Climate &amp; Ecosyst CRC, Hobart, Tas 7001, Australia; [Eriksen, Ruth] CSIRO Oceans &amp; Atmosphere, Hobart, Tas 7000, Australia; [Leventer, Amy] Colgate Univ, Dept Geol, Hamilton, NY 13346 USA</t>
  </si>
  <si>
    <t>Macquarie University; University of Tasmania; Commonwealth Scientific &amp; Industrial Research Organisation (CSIRO); Colgate University</t>
  </si>
  <si>
    <t>Armbrecht, LH (corresponding author), Macquarie Univ, Dept Biol Sci, MQ Marine Res Ctr, N Ryde, NSW 2109, Australia.</t>
  </si>
  <si>
    <t>Linda.Armbrecht@mq.edu.au</t>
  </si>
  <si>
    <t>Armand, Leanne K/C-9004-2009; Armbrecht, Linda/GZB-0547-2022; Eriksen, Ruth/J-7760-2014</t>
  </si>
  <si>
    <t>Leventer, Amy/0000-0001-9401-0987; Armand, Leanne/0000-0003-3995-308X; Eriksen, Ruth/0000-0002-5184-2465</t>
  </si>
  <si>
    <t>Macquarie University Safety Net (MQSN) Grant [GT-00503]; U.S. National Science Foundation's Polar Program-Antarctic Integrated System Science (NSF Division of Polar Programs Award) [1143836]; Australian Antarctic Science Kerguelen Axis project [AAS-4344]; Directorate For Geosciences; Office of Polar Programs (OPP) [1143836] Funding Source: National Science Foundation</t>
  </si>
  <si>
    <t>Macquarie University Safety Net (MQSN) Grant; U.S. National Science Foundation's Polar Program-Antarctic Integrated System Science (NSF Division of Polar Programs Award)(National Science Foundation (NSF)NSF - Directorate for Geosciences (GEO)); Australian Antarctic Science Kerguelen Axis project; Directorate For Geosciences; Office of Polar Programs (OPP)(National Science Foundation (NSF)NSF - Directorate for Geosciences (GEO))</t>
  </si>
  <si>
    <t>Macquarie University Safety Net (MQSN) Grant (Grant # GT-00503); the U.S. National Science Foundation's Polar Program-Antarctic Integrated System Science (NSF Division of Polar Programs Award # 1143836); the Australian Antarctic Science Kerguelen Axis project (AAS-4344).</t>
  </si>
  <si>
    <t>0142-7873</t>
  </si>
  <si>
    <t>1464-3774</t>
  </si>
  <si>
    <t>J PLANKTON RES</t>
  </si>
  <si>
    <t>J. Plankton Res.</t>
  </si>
  <si>
    <t>10.1093/plankt/fbx036</t>
  </si>
  <si>
    <t>FI9CA</t>
  </si>
  <si>
    <t>WOS:000412300100004</t>
  </si>
  <si>
    <t>Leroy, EC; Samaran, F; Bonnel, J; Royer, JY</t>
  </si>
  <si>
    <t>Leroy, Emmanuelle C.; Samaran, Flore; Bonnel, Julien; Royer, Jean-Yves</t>
  </si>
  <si>
    <t>Identification of two potential whale calls in the southern Indian Ocean, and their geographic and seasonal occurrence</t>
  </si>
  <si>
    <t>JOURNAL OF THE ACOUSTICAL SOCIETY OF AMERICA</t>
  </si>
  <si>
    <t>PYGMY BLUE WHALES; BALAENOPTERA-MUSCULUS; FREQUENCY; SOUND; TERM; VOCALIZATIONS; HEMISPHERE; BEHAVIOR; NOISE; SONG</t>
  </si>
  <si>
    <t>Since passive acoustic monitoring is widely used, unidentified acoustic signals from marine mammals are commonly reported. The signal characteristics and emission patterns are the main clues to identify the possible sources. In this study, the authors describe two previously unidentified sounds, recorded at up to five widely-spaced sites (30 x 30 degree area) in the southern Indian Ocean, in 2007 and between 2010 and 2015. The first reported signal (M-call) consists of a single tonal unit near 22 Hz and lasting about 10 s, repeated with an interval longer than 2 min. This signal is only detected in 2007. The second signal (P-call) is also a tonal unit of 10 s, repeated every 160 s, but at a frequency near 27 Hz. Its yearly number increased greatly between 2007 and 2010, and moderately since then. Based on their characteristics and seasonal patterns, this study shows that both signals are clearly distinct from any known calls of blue whale subspecies and populations dwelling in the southern Indian Ocean. However, they display similarities with blue whale vocalizations. More particularly, the P-call can be mistaken for the first tonal unit of the Antarctic blue whale Z-call. (C) 2017 Acoustical Society of America.</t>
  </si>
  <si>
    <t>[Leroy, Emmanuelle C.] Univ Brest, F-29280 Plouzane, France; [Leroy, Emmanuelle C.] Inst Univ Europeen Mer, CNRS, Lab Geosci Ocean, F-29280 Plouzane, France; [Samaran, Flore; Bonnel, Julien] Ecole Natl Super Tech Avancees, CNRS, Lab STICC, Unite Mixte Rech 6285, F-29806 Brest, France; [Royer, Jean-Yves] CNRS, F-29280 Plouzane, France; [Royer, Jean-Yves] Univ Brest, Inst Univ Europeen Mer, Lab Geosci Ocean, F-29280 Plouzane, France</t>
  </si>
  <si>
    <t>Universite de Bretagne Occidentale; Universite de Bretagne Occidentale; Institut Universitaire Europeen de la Mer (IUEM); Centre National de la Recherche Scientifique (CNRS); Centre National de la Recherche Scientifique (CNRS); Universite de Bretagne Occidentale; Universite de Bretagne Occidentale; Centre National de la Recherche Scientifique (CNRS); Universite de Bretagne Occidentale; Institut Universitaire Europeen de la Mer (IUEM)</t>
  </si>
  <si>
    <t>Royer, JY (corresponding author), CNRS, F-29280 Plouzane, France.;Royer, JY (corresponding author), Univ Brest, Inst Univ Europeen Mer, Lab Geosci Ocean, F-29280 Plouzane, France.</t>
  </si>
  <si>
    <t>jean-yves.royer@univ-brest.fr</t>
  </si>
  <si>
    <t>Leroy, Emmanuelle/Q-9995-2019; Royer, Jean-Yves/B-4312-2010</t>
  </si>
  <si>
    <t>Leroy, Emmanuelle/0000-0002-6469-1758; Royer, Jean-Yves/0000-0002-7653-7715</t>
  </si>
  <si>
    <t>ACOUSTICAL SOC AMER AMER INST PHYSICS</t>
  </si>
  <si>
    <t>STE 1 NO 1, 2 HUNTINGTON QUADRANGLE, MELVILLE, NY 11747-4502 USA</t>
  </si>
  <si>
    <t>0001-4966</t>
  </si>
  <si>
    <t>1520-8524</t>
  </si>
  <si>
    <t>J ACOUST SOC AM</t>
  </si>
  <si>
    <t>J. Acoust. Soc. Am.</t>
  </si>
  <si>
    <t>10.1121/1.5001056</t>
  </si>
  <si>
    <t>Acoustics; Audiology &amp; Speech-Language Pathology</t>
  </si>
  <si>
    <t>FI6JI</t>
  </si>
  <si>
    <t>WOS:000412100700037</t>
  </si>
  <si>
    <t>Castillo, P; Fanning, CM; Pankhurst, RJ; Hervé, F; Rapela, CW</t>
  </si>
  <si>
    <t>Castillo, Paula; Fanning, C. Mark; Pankhurst, Robert J.; Herve, Francisco; Rapela, Carlos W.</t>
  </si>
  <si>
    <t>Zircon O- and Hf-isotope constraints on the genesis and tectonic significance of Permian magmatism in Patagonia</t>
  </si>
  <si>
    <t>JOURNAL OF THE GEOLOGICAL SOCIETY</t>
  </si>
  <si>
    <t>ARCHAEOCYATHAN LIMESTONE BLOCKS; U-PB GEOCHRONOLOGY; LU-HF; ARGENTINA IMPLICATIONS; CONTINENTAL COLLISION; ACCRETIONARY COMPLEX; SOUTHWESTERN MARGIN; ELLSWORTH MOUNTAINS; ANTARCTIC PENINSULA; SIERRAS PAMPEANAS</t>
  </si>
  <si>
    <t>The genesis of Permian magmatism in southern South America is actively debated, particularly in relation to the origin of Patagonia. U-Pb zircon ages of c. 255 Ma for igneous rocks from the basement of Tierra del Fuego are the first evidence for southerly prolongation of this magmatism. Zircon in these rocks has epsilon Hf-t values &lt;-1 and delta O-18 &gt; 7.4 parts per thousand, indicating recycling of Cambrian rocks. Permian granites in the north of the North Patagonian Massif record mantle-like delta O-18 magmatic input at c. 280 and 255 Ma, but reworking of upper crust between these two events, paralleling the recognized deformational history. In northwestern Patagonia, Early Permian granitic rocks have zircon with epsilon Hf-t values ranging from +0.1 to -7.2, and delta O-18 &gt; 6.2%, suggesting continuity of the Permian magmatic belt along the western margin of South America farther north. Comparison with a sample from the Sierra de la Ventana suggests melting of similar crust on both sides of the Patagonia-South American hypothetical suture. These features, together with other geological considerations, are consistent with an autochthonous or parautochthonous origin of northern Patagonia and connection between southern Patagonia and the Antarctic Peninsula in late Palaeozoic time.</t>
  </si>
  <si>
    <t>[Castillo, Paula; Fanning, C. Mark] Australian Natl Univ, Res Sch Earth Sci, Canberra, ACT 0200, Australia; [Pankhurst, Robert J.] British Geol Survey, Keyworth NG12 5GG, Notts, England; [Herve, Francisco] Univ Andres Bello, Carrera Geol, Sazie 2119, Santiago, Chile; [Rapela, Carlos W.] Ctr Invest Geol, Diagonal 113,Calle 64, RA-1900 La Plata, Buenos Aires, Argentina</t>
  </si>
  <si>
    <t>Australian National University; UK Research &amp; Innovation (UKRI); Natural Environment Research Council (NERC); NERC British Geological Survey; Universidad Andres Bello</t>
  </si>
  <si>
    <t>Castillo, P (corresponding author), Australian Natl Univ, Res Sch Earth Sci, Canberra, ACT 0200, Australia.</t>
  </si>
  <si>
    <t>paula.castillo@anu.edu.au</t>
  </si>
  <si>
    <t>Fanning, C. Mark/I-6449-2016; Herve, Francisco/HDO-6628-2022</t>
  </si>
  <si>
    <t>Rapela, Carlos/0000-0002-3478-2229</t>
  </si>
  <si>
    <t>Anillo Antartico [ACT-105]; BecasChile; Natural Environment Research Council [nigl010001] Funding Source: researchfish; NERC [nigl010001] Funding Source: UKRI</t>
  </si>
  <si>
    <t>Anillo Antartico(Comision Nacional de Investigacion Cientifica y Tecnologica (CONICYT)CONICYT PIA/ANILLOS); BecasChile; Natural Environment Research Council(UK Research &amp; Innovation (UKRI)Natural Environment Research Council (NERC)); NERC(UK Research &amp; Innovation (UKRI)Natural Environment Research Council (NERC))</t>
  </si>
  <si>
    <t>This work was supported by the Anillo Antartico ACT-105 and BecasChile.</t>
  </si>
  <si>
    <t>GEOLOGICAL SOC PUBL HOUSE</t>
  </si>
  <si>
    <t>BATH</t>
  </si>
  <si>
    <t>UNIT 7, BRASSMILL ENTERPRISE CENTRE, BRASSMILL LANE, BATH BA1 3JN, AVON, ENGLAND</t>
  </si>
  <si>
    <t>0016-7649</t>
  </si>
  <si>
    <t>2041-479X</t>
  </si>
  <si>
    <t>J GEOL SOC LONDON</t>
  </si>
  <si>
    <t>J. Geol. Soc.</t>
  </si>
  <si>
    <t>10.1144/jgs2016-152</t>
  </si>
  <si>
    <t>FJ4IF</t>
  </si>
  <si>
    <t>WOS:000412699500002</t>
  </si>
  <si>
    <t>Servetto, N; Rossi, S; Fuentes, V; Alurralde, G; Lagger, C; Sahade, R</t>
  </si>
  <si>
    <t>Servetto, N.; Rossi, S.; Fuentes, V.; Alurralde, G.; Lagger, C.; Sahade, R.</t>
  </si>
  <si>
    <t>Seasonal trophic ecology of the dominant Antarctic coral Malacobelemnon daytoni (Octocorallia, Pennatulacea, Kophobelemnidae)</t>
  </si>
  <si>
    <t>Pennatulacea; Antarctica; Biochemical composition; Fatty acid; Stable isotopes</t>
  </si>
  <si>
    <t>FATTY-ACID-COMPOSITION; SCLERACTINIAN CLADOCORA-CAESPITOSA; STABLE-ISOTOPE ANALYSES; EASTERN WEDDELL SEA; KING GEORGE ISLAND; BIOCHEMICAL-COMPOSITION; PARAMURICEA-CLAVATA; RED CORAL; FOOD WEBS; TETRACOSAPOLYENOIC ACIDS</t>
  </si>
  <si>
    <t>Antarctic ecosystems present highly marked seasonal patterns in energy input, which in turn determines the biology and ecology of marine invertebrate species. This relationship is stronger at lower levels of the food web, while upper levels may be less dependent on primary production pulses. The pennatulid Malacobelemnon daytoni, is one of the most abundant species in Potter Cove, Antarctica. In order to assess its trophic ecology and energetic strategies, its biochemical (carbohydrates, proteins and lipids), Fatty Acid (FA) and Stable Isotope (SI) (delta N-15 and delta C-13) compositions were studied over a year-round period. The FA and SI profiles suggest an omnivorous diet and opportunistic feeding strategy for the species. These results, together with biochemical analysis (higher lipid and carbohydrate concentration observed in July and October 2009), support the hypothesis that resuspension events may be an important source of energy, reducing the seasonality of food depletion periods in winter. The evidence presented here gives us a better insight into the success that this species has in Potter Cove and under the current environmental changes experienced by the Antarctic Peninsula. (C) 2017 Elsevier Ltd. All rights reserved.</t>
  </si>
  <si>
    <t>[Servetto, N.; Alurralde, G.; Lagger, C.; Sahade, R.] CONICET UNC, Inst Diversidad &amp; Ecol Anim, Av Velez Sarsfield 299, RA-5000 Cordoba, Argentina; [Servetto, N.; Alurralde, G.; Lagger, C.; Sahade, R.] Univ Nacl Cordoba, Fac Ciencias Exactas Fis &amp; Nat, Av Velez Sarsfield 299, RA-5000 Cordoba, Argentina; [Rossi, S.] Univ Autonoma Barcelona, Inst Ciencia &amp; Tecnol Ambientals, Cerdanyola Del Valles, Spain; [Rossi, S.] Univ Salento, DiSTeBA, I-73100 Lecce, Italy; [Fuentes, V.] CSIC, ICM, Barcelona, Spain</t>
  </si>
  <si>
    <t>National University of Cordoba; Consejo Nacional de Investigaciones Cientificas y Tecnicas (CONICET); National University of Cordoba; Autonomous University of Barcelona; University of Salento; Consejo Superior de Investigaciones Cientificas (CSIC); CSIC - Centro Mediterraneo de Investigaciones Marinas y Ambientales (CMIMA); CSIC - Instituto de Ciencias del Mar (ICM)</t>
  </si>
  <si>
    <t>Servetto, N (corresponding author), CONICET UNC, Inst Diversidad &amp; Ecol Anim, Av Velez Sarsfield 299, RA-5000 Cordoba, Argentina.;Servetto, N (corresponding author), Univ Nacl Cordoba, Fac Ciencias Exactas Fis &amp; Nat, Av Velez Sarsfield 299, RA-5000 Cordoba, Argentina.</t>
  </si>
  <si>
    <t>biol.nataliaservetto@gmail.com</t>
  </si>
  <si>
    <t>Alurralde, Gastón/IVV-4732-2023</t>
  </si>
  <si>
    <t>Alurralde, Gastón/0000-0002-0332-3978; Servetto, Natalia/0000-0002-3713-9116; Sahade, Ricardo/0000-0001-5650-8135; Rossi, Sergio/0000-0003-4402-3418</t>
  </si>
  <si>
    <t>Consejo Nacional de Investigaciones Cientificas y Tecnicas (CONICET); Fundacion Carolina; Direction Nacional del Antartico (DNA)/Instituto Antartico Argentino (IAA); Universidad Nacional de Cordoba; Intitute of Marine Science (ICM); PICTO [2010 - 0019]; PIP CONICET [11220100100089]; SECyT [05/1602]; ESF-IMCOAST; EU project IMCONet [319718]</t>
  </si>
  <si>
    <t>Consejo Nacional de Investigaciones Cientificas y Tecnicas (CONICET)(Consejo Nacional de Investigaciones Cientificas y Tecnicas (CONICET)); Fundacion Carolina; Direction Nacional del Antartico (DNA)/Instituto Antartico Argentino (IAA); Universidad Nacional de Cordoba; Intitute of Marine Science (ICM); PICTO; PIP CONICET(Consejo Nacional de Investigaciones Cientificas y Tecnicas (CONICET)); SECyT(Secretaria de Ciencia y Tecnologia (SECYT)); ESF-IMCOAST; EU project IMCONet</t>
  </si>
  <si>
    <t>The authors want to particularly thank the members of the Carlini (former Jubany) station. This study was supported by the Consejo Nacional de Investigaciones Cientificas y Tecnicas (CONICET), Fundacion Carolina, Direction Nacional del Antartico (DNA)/Instituto Antartico Argentino (IAA), Universidad Nacional de Cordoba and Intitute of Marine Science (ICM). The work was partially funded by PICTO 2010 - 0019 (ANPCyT-DNA), PIP CONICET No 11220100100089, SECyT (05/1602), ESF-IMCOAST associated work package of AP-4 of Dr. Sahade and the EU project IMCONet (FP7 404 IRSES, action no. 319718). This work is contributing to the ICTA Unit of Excellence (MinECo, MDM2015-0552).</t>
  </si>
  <si>
    <t>10.1016/j.marenvres.2017.08.003</t>
  </si>
  <si>
    <t>FK3JY</t>
  </si>
  <si>
    <t>WOS:000413382600029</t>
  </si>
  <si>
    <t>Waters, JM; Craw, D</t>
  </si>
  <si>
    <t>Waters, Jonathan M.; Craw, Dave</t>
  </si>
  <si>
    <t>Large kelp-rafted rocks as potential dropstones in the Southern Ocean</t>
  </si>
  <si>
    <t>Dropstone; Kelp-rafting; Barnacle; Conglomerate; Sandstone; Chatham Rise; Southern Ocean</t>
  </si>
  <si>
    <t>NEW-ZEALAND; DURVILLAEA-ANTARCTICA; SOUTHLAND CURRENT; RAFTING EVENTS; SNOWBALL EARTH; SEA-ICE; DISPERSAL; CONNECTIVITY; HYPOTHESIS</t>
  </si>
  <si>
    <t>Cyclonic winds in April 2017 forced oceanic kelp rafts onshore in southeastern New Zealand, providing a 'snapshot' of ongoing kelp-rock transport. About 10% of observed southern bull kelp (Durvillaea antarctica) holdfasts contain substantial remnants of their original rocky substrates. The largest rock weighs 7 kg, and was derived from the Mesozoic sedimentary Murihiku Terrane of southern New Zealand, &gt; 100 km from the beach where it was deposited. Several other rafted rocks were derived from the same general source area, including a conglomerate clast with 10 cm igneous cobbles. Genetic sequencing of the kelp specimens confirmed their southern New Zealand derivation, which is distinct from sub-Antarctic or northern New Zealand clades. The floating rocks had been colonised by goose barnacles (Lepas australis), the largest of which were approximately 5 mm long, implying that the rocks had been floating for approximately 16 days before being blown ashore. The rocks may have travelled up to 200 km in that time in a northeasterly directed ocean current that flows at 10-15 km/day. If these rock-bearing kelp rafts had not been blown ashore in the cyclonic weather event, they would likely have continued to travel northeast in the Subtropical Front zone where they would likely have been deposited as dropstones. Abundant dropstones noted on the nearby Chatham Rise and Campbell Plateau, have previously been assumed to have been ice-rafted. A component of these dropstones could have been derived by kelp rafting, especially on the Chatham Rise, where the Subtropical Front is deflected east. A thick weathering rind, and remnant organic veneer, if present, along with clast provenance, may be the best distinguishing features of kelp-rafted dropstones compared to ice-rafted dropstones.</t>
  </si>
  <si>
    <t>[Waters, Jonathan M.] Univ Otago, Zool Dept, POB 56, Dunedin 9054, New Zealand; [Craw, Dave] Univ Otago, Geol Dept, POB 56, Dunedin 9054, New Zealand</t>
  </si>
  <si>
    <t>University of Otago; University of Otago</t>
  </si>
  <si>
    <t>Waters, JM (corresponding author), Univ Otago, Zool Dept, POB 56, Dunedin 9054, New Zealand.</t>
  </si>
  <si>
    <t>jon.waters@otago.ac.nz; dave.craw@otago.ac.nz</t>
  </si>
  <si>
    <t>Waters, Jonathan/B-4983-2009</t>
  </si>
  <si>
    <t>Waters, Jonathan/0000-0002-1514-7916</t>
  </si>
  <si>
    <t>Department of Zoology, University of Otago</t>
  </si>
  <si>
    <t>This research was funded by a PBRF allocation to JMW from the Department of Zoology, University of Otago. Sampling advice was provided by Chris Garden, and field assistance was provided by Mei Peng. Technical assistance was provided by Tania King (Zoology Department) and Brent Pooley (Geology Department). The MS was improved by constructive comments from two anonymous reviewers.</t>
  </si>
  <si>
    <t>10.1016/j.margeo.2017.07.016</t>
  </si>
  <si>
    <t>FK3KQ</t>
  </si>
  <si>
    <t>WOS:000413384400002</t>
  </si>
  <si>
    <t>Voigt, I; Cruz, APS; Mulitza, S; Chiessi, CM; Mackensen, A; Lippold, J; Antz, B; Zabel, M; Zhang, Y; Barbosa, CF; Tisserand, AA</t>
  </si>
  <si>
    <t>Voigt, I.; Cruz, A. P. S.; Mulitza, S.; Chiessi, C. M.; Mackensen, A.; Lippold, J.; Antz, B.; Zabel, M.; Zhang, Y.; Barbosa, C. F.; Tisserand, A. A.</t>
  </si>
  <si>
    <t>Variability in mid-depth ventilation of the western Atlantic Ocean during the last deglaciation</t>
  </si>
  <si>
    <t>western equatorial Atlantic (similar to 1000-3000m); negative stable carbon isotopic (C-13) excursions; Heinrich Stadial 1 and Younger Dryas</t>
  </si>
  <si>
    <t>MERIDIONAL OVERTURNING CIRCULATION; ANTARCTIC INTERMEDIATE WATER; HEINRICH STADIAL 1; NORTH-ATLANTIC; DEEP-WATER; BENTHIC FORAMINIFERA; THERMOHALINE CIRCULATION; TROPICAL ATLANTIC; CARBON ISOTOPES; NORTHEASTERN BRAZIL</t>
  </si>
  <si>
    <t>Negative stable carbon isotopic excursions have been observed throughout most of the mid-depth (similar to 1000-3000m) Atlantic Ocean during Heinrich Stadial 1 (HS1) and the Younger Dryas (YD). Although there is an agreement that these mid-depth excursions were in some way associated with a slowdown of the Atlantic Meridional Overturning Circulation (AMOC), there is still no consensus on the precise mechanism(s). Here we present benthic stable carbon and oxygen isotopic (C-13 and O-18) records from five cores from the western equatorial Atlantic (WEA). Together with published benthic isotopic records from nearby cores, we produced a WEA depth transect (similar to 800-2500m). We compare HS1 and YD data from this transect with data from previously published North and South Atlantic cores and demonstrate that the largest negative C-13 excursions occurred in the WEA during these times. Moreover, our benthic O-18 records require the presence of two water masses flowing from the Southern Ocean, bisected by a Northern Component Water (NCW). Given that O-18 is a conservative water mass tracer, we suggest that C-13 was decoupled from water mass composition and does not correspond to simple alternations between northern and southern sourced waters. Instead, C-13 behaved non-conservatively during HS1 and the YD. Consistently with our new Pa-231/Th-230 record from the WEA transect, that allowed the reconstruction of AMOC strength, we hypothesize that the negative C-13 excursions reflect an increase in the residence time of NCW in response to a weakened AMOC, allowing for a marked accumulation of C-13-depleted respired carbon at the mid-depth WEA.</t>
  </si>
  <si>
    <t>[Voigt, I.; Mulitza, S.; Zabel, M.; Zhang, Y.] Univ Bremen, MARUM Ctr Marine Environm Sci, Bremen, Germany; [Cruz, A. P. S.; Barbosa, C. F.] Univ Fed Fluminense, Programa Posgrad Geoquim, Outeiro Sao Joao Batista S-No, Niteroi, RJ, Brazil; [Chiessi, C. M.] Univ Sao Paulo, Sch Arts Sci &amp; Humanities, Sao Paulo, Brazil; [Mackensen, A.] Alfred Wegener Inst, Bremerhaven, Germany; [Lippold, J.] Heidelberg Univ, Inst Earth Sci, Heidelberg, Germany; [Antz, B.] Heidelberg Univ, Inst Environm Phys, Heidelberg, Germany; [Tisserand, A. A.] Bjerknes Ctr Climate Res, Uni Res Climate, Bergen, Norway</t>
  </si>
  <si>
    <t>University of Bremen; Universidade Federal Fluminense; Universidade de Sao Paulo; Helmholtz Association; Alfred Wegener Institute, Helmholtz Centre for Polar &amp; Marine Research; Ruprecht Karls University Heidelberg; Ruprecht Karls University Heidelberg; Bjerknes Centre for Climate Research</t>
  </si>
  <si>
    <t>Voigt, I (corresponding author), Univ Bremen, MARUM Ctr Marine Environm Sci, Bremen, Germany.</t>
  </si>
  <si>
    <t>ivoigt@marum.de</t>
  </si>
  <si>
    <t>Chiessi, Cristiano Mazur/E-1916-2012; Chiessi, Cristiano Mazur/JAZ-0806-2023; Zabel, Matthias/E-5044-2011; Mulitza, Stefan/G-5357-2011; Mackensen, Andreas/J-8600-2013; Barbosa, Catia/H-8284-2016</t>
  </si>
  <si>
    <t>Chiessi, Cristiano Mazur/0000-0003-3318-8022; Chiessi, Cristiano Mazur/0000-0003-3318-8022; Zabel, Matthias/0000-0003-4681-1821; Mulitza, Stefan/0000-0002-3842-1447; Mackensen, Andreas/0000-0002-5024-4455; Barbosa, Catia/0000-0002-7973-460X; Soares Cruz, Anna Paula/0000-0002-4890-0580; Zhang, Yancheng/0000-0002-4001-2634; Lippold, Jorg/0000-0003-1976-5065; Tisserand, Amandine/0000-0002-3679-6077</t>
  </si>
  <si>
    <t>DFG-Research Center/Cluster of Excellence The Ocean in the Earth System; DFG grant [VO2094/1-1]; FAPESP [2012/17517-3]; CAPES [1976/2014, 564/2015]; DFG grants [Li1815/4, MA821/43, Fr1341/2]</t>
  </si>
  <si>
    <t>DFG-Research Center/Cluster of Excellence The Ocean in the Earth System(German Research Foundation (DFG)); DFG grant(German Research Foundation (DFG)); FAPESP(Fundacao de Amparo a Pesquisa do Estado de Sao Paulo (FAPESP)); CAPES(Coordenacao de Aperfeicoamento de Pessoal de Nivel Superior (CAPES)); DFG grants(German Research Foundation (DFG))</t>
  </si>
  <si>
    <t>We thank two anonymous reviewers for constructive comments that greatly improved this manuscript. This study was funded through DFG-Research Center/Cluster of Excellence The Ocean in the Earth System. This study is a contribution to the Helmholtz Climate Initiative REKLIM, a joint research project of the Helmholtz Association of German Research Centres (HGF). I.V. further acknowledges the support from DFG grant VO2094/1-1. C.M.C. acknowledges the support from FAPESP (grant 2012/17517-3) and CAPES (grants 1976/2014 and 564/2015). A.P.S.C. acknowledges the Programa de Pos-Graduacao em Geoquimica, Universidade Federal Fluminense, Niteroi, Brazilpos. Thanks to Brazilian Navy for the authorization for sampling in the Brazilian EEZ during AMADEUS cruise. J.L. and B.A. have been supported by DFG grants Li1815/4, MA821/43, and Fr1341/2. Sample material has been provided by the GeoB Core Repository at the MARUM-Center for Marine Environmental Sciences, University of Bremen, Germany. The data reported in this paper are archived in Pangaea (www.pangaea.de).</t>
  </si>
  <si>
    <t>10.1002/2017PA003095</t>
  </si>
  <si>
    <t>FJ7FQ</t>
  </si>
  <si>
    <t>WOS:000412923100001</t>
  </si>
  <si>
    <t>Liggett, D; Frame, B; Gilbert, N; Morgan, F</t>
  </si>
  <si>
    <t>Liggett, Daniela; Frame, Bob; Gilbert, Neil; Morgan, Fraser</t>
  </si>
  <si>
    <t>Is it all going south? Four future scenarios for Antarctica</t>
  </si>
  <si>
    <t>POLAR RECORD</t>
  </si>
  <si>
    <t>CLIMATE-CHANGE RESEARCH; TOURISM; CONSERVATION; MANAGEMENT; FRAMEWORK</t>
  </si>
  <si>
    <t>The future is uncertain for Antarctica, with many possibilities - some more plausible, others more preferable. Indeed, the region and its governance regime may be reaching (or may have reached) a crossroads moment as a result of a series of challenges, including the changing Antarctic climate and environment, increasing human activity, shifting values among Antarctic states and a low-cost, somewhat benign governance regime (the Antarctic Treaty System). Within this context there are a number of interdependent drivers that are likely to influence Antarctica's future over, say, 25 years: global environmental and socio-economic developments; Antarctic governance; Antarctic research, including national Antarctic programme operations; and Antarctic tourism. The research presented here involved a thorough examination of Antarctic literature on current Antarctic developments and challenges, and an assessment of global trends. Scenarios were developed through a facilitated workshop process. From these, four future scenarios were developed based on interactions between these drivers. The resulting scenarios provide a dynamic, evolving possibility space to be explored as a means of understanding where Antarctic issues might evolve, depending on the growth or diminishing importance of drivers. In turn these suggest that more structured polar futures are needed based on formal quantitative and qualitative data.</t>
  </si>
  <si>
    <t>[Liggett, Daniela] Univ Canterbury, Gateway Antarctica, Private Bag 4800, Christchurch 8140, New Zealand; [Frame, Bob] Landcare Res, POB 69040, Lincoln 7640, New Zealand; [Gilbert, Neil] Constantia Consulting, 310 Papanui Rd, Christchurch 8052, New Zealand; [Morgan, Fraser] Auckland Mail Ctr, Landcare Res, Private Bag 92170, Auckland 1142, New Zealand</t>
  </si>
  <si>
    <t>University of Canterbury; Landcare Research - New Zealand; Landcare Research - New Zealand</t>
  </si>
  <si>
    <t>Frame, B (corresponding author), Landcare Res, POB 69040, Lincoln 7640, New Zealand.</t>
  </si>
  <si>
    <t>frameb@landcareresearch.co.nz</t>
  </si>
  <si>
    <t>Frame, Bob I/A-2876-2008; Gilbert, Neil/AAD-7842-2022</t>
  </si>
  <si>
    <t>Gilbert, Neil/0000-0003-2055-4249; Frame, Bob/0000-0003-2447-4174; Morgan, Fraser/0000-0002-7964-3361; Liggett, Daniela/0000-0003-4184-5205</t>
  </si>
  <si>
    <t>Ross Sea Region Terrestrial Data Analysis research programme - Ministry of Business and Innovation, New Zealand [C09X1413]; New Zealand Ministry of Business, Innovation &amp; Employment (MBIE) [C09X1413] Funding Source: New Zealand Ministry of Business, Innovation &amp; Employment (MBIE)</t>
  </si>
  <si>
    <t>Ross Sea Region Terrestrial Data Analysis research programme - Ministry of Business and Innovation, New Zealand; New Zealand Ministry of Business, Innovation &amp; Employment (MBIE)(New Zealand Ministry of Business, Innovation and Employment (MBIE))</t>
  </si>
  <si>
    <t>The work presented in this paper builds on earlier work commissioned and funded by the Antarctic Office, Christchurch, New Zealand, and would not have been possible without the Antarctic Office's support. This research was also supported by the Ross Sea Region Terrestrial Data Analysis research programme, funded by the Ministry of Business and Innovation, New Zealand, with contract number C09X1413. The authors also wish to thank Jana Newman for her comments when developing the scenarios in 2016 and Ray Prebble for his support in editing the manuscript.</t>
  </si>
  <si>
    <t>0032-2474</t>
  </si>
  <si>
    <t>1475-3057</t>
  </si>
  <si>
    <t>POLAR REC</t>
  </si>
  <si>
    <t>POLAR REC.</t>
  </si>
  <si>
    <t>10.1017/S0032247417000390</t>
  </si>
  <si>
    <t>FK0KT</t>
  </si>
  <si>
    <t>WOS:000413169400001</t>
  </si>
  <si>
    <t>Tonami, A</t>
  </si>
  <si>
    <t>Tonami, Aki</t>
  </si>
  <si>
    <t>Influencing the imagined 'polar regions': the politics of Japan's Arctic and Antarctic policies</t>
  </si>
  <si>
    <t>COLD-WAR; WHALES</t>
  </si>
  <si>
    <t>How does a state that is not a 'natural' Arctic or Antarctic state perceive the polar regions, interpret their roles in its foreign policy and translate this into actual polar policy? This paper seeks to answer these questions by comparing the Arctic and Antarctic policies of Japan. The paper shows that Japan's national image of the polar regions as a combined region began before World War II due to its imperial past of joining the race to the Antarctic and the Arctic. However, from a policy point of view, the polar regions for Japan long meant primarily Antarctica. Japan, as a defeated power and a late-comer to the international system established after World War II, takes a liberal position in the governance of Antarctica. Having and maintaining a capability to conduct scientific research in the Antarctic via international decision-making institutions has been considered an important status marker associated with great power identity. Regarding the Arctic, Japan attempts to replicate the general success of its Antarctic policy, backed by tools of science and technological diplomacy, the purpose of which is to revive its domestic economy. Japan's scientific whaling in the Antarctic is primarily a domestic, identity-based political conflict between a nostalgia for Japan's imperial past and its more modern, liberal identity of today.</t>
  </si>
  <si>
    <t>[Tonami, Aki] Univ Tsukuba, Fac Business Sci, Tsukuba, Ibaraki, Japan; [Tonami, Aki] Univ Copenhagen, Nord Inst Asia Studies, Copenhagen, Denmark</t>
  </si>
  <si>
    <t>University of Tsukuba; University of Copenhagen</t>
  </si>
  <si>
    <t>Tonami, A (corresponding author), Univ Tsukuba, Fac Business Sci, Tsukuba, Ibaraki, Japan.;Tonami, A (corresponding author), Univ Copenhagen, Nord Inst Asia Studies, Copenhagen, Denmark.</t>
  </si>
  <si>
    <t>tonami.aki.ka@u.tsukuba.ac.jp</t>
  </si>
  <si>
    <t>Tonami, Aki/Q-7073-2019</t>
  </si>
  <si>
    <t>Tonami, Aki/0000-0001-8394-5226</t>
  </si>
  <si>
    <t>Asian Dynamics Initiative, University of Copenhagen; Japan Society for the Promotion of Science [FY2016]; Grants-in-Aid for Scientific Research [17K03576] Funding Source: KAKEN</t>
  </si>
  <si>
    <t>Asian Dynamics Initiative, University of Copenhagen; 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</si>
  <si>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The author wishes to acknowledge the financial support provided by the Asian Dynamics Initiative, University of Copenhagen and by the Japan Society for the Promotion of Science (Global Initiatives FY2016 - Designing Social Infrastructure for Multicultural Democracy: International Joint Research for Institutions, Structure and Norms).</t>
  </si>
  <si>
    <t>10.1017/S0032247417000419</t>
  </si>
  <si>
    <t>WOS:000413169400003</t>
  </si>
  <si>
    <t>Hawkes, C; Norris, K</t>
  </si>
  <si>
    <t>Hawkes, Clare; Norris, Kimberley</t>
  </si>
  <si>
    <t>Time-dependent mood fluctuations in Antarctic personnel: a meta-analysis</t>
  </si>
  <si>
    <t>PSYCHOLOGICAL ADJUSTMENT; WINTER; ENVIRONMENTS; NETWORKS; EXTREME; STRESS</t>
  </si>
  <si>
    <t>The third-quarter phenomenon is the dominant theoretical model to explain the psychological impacts of deployment in Antarctica on personnel. It posits that detrimental symptoms to functioning, such as negative mood, increase gradually throughout deployment and peak at the third-quarter point, regardless of overall deployment length. However, there is equivocal support for the model. The current meta-analysis included data from 21 studies (involving 1,826 participants) measuring negative mood during deployment to elucidate this discrepancy. Across studies analyses were conducted on three data types: stratified by month using repeated-measured all time points meta-analytic techniques and pre/post-deployment data for summer/winter deployment seasons. Our results did not support the proposed parameters of the third-quarter phenomenon, as negative mood did not peak at the third-quarter point (August/September) of deployment. Overall effect sizes indicated that negative mood was greater at baseline than the end of deployment for summer and winter deployment seasons. These findings have theoretical and practical implications and should be used to guide future research, assisting in the development and modification of pre-existing prevention and intervention programmes to improve well-being and functioning of personnel during Antarctic deployment.</t>
  </si>
  <si>
    <t>[Hawkes, Clare; Norris, Kimberley] Univ Tasmania, Sch Med Psychol, Private Bag 30, Hobart, Tas 7001, Australia</t>
  </si>
  <si>
    <t>Hawkes, C (corresponding author), Univ Tasmania, Sch Med Psychol, Private Bag 30, Hobart, Tas 7001, Australia.</t>
  </si>
  <si>
    <t>chawkes@utas.edu.au</t>
  </si>
  <si>
    <t>Norris, Kimberley/J-7260-2014</t>
  </si>
  <si>
    <t>Norris, Kimberley/0000-0003-3661-2749; Hawkes, Clare/0000-0001-5326-1886</t>
  </si>
  <si>
    <t>10.1017/S003224741700050X</t>
  </si>
  <si>
    <t>WOS:000413169400007</t>
  </si>
  <si>
    <t>Bakunov, NA; Bol'shiyanov, DY; Makarov, AS</t>
  </si>
  <si>
    <t>Bakunov, N. A.; Bol'shiyanov, D. Yu.; Makarov, A. S.</t>
  </si>
  <si>
    <t>Cesium-137 of Chernobyl origin in lake-river systems of Eastern Fennoscandia: 30 years after the accident</t>
  </si>
  <si>
    <t>RADIOCHEMISTRY</t>
  </si>
  <si>
    <t>cesium-137; lake; river; concentration; migration; water clearance</t>
  </si>
  <si>
    <t>CS-137; SR-90</t>
  </si>
  <si>
    <t>Contamination of waters of lake-river systems after many-year migration of Cs-137 in water bodies was studied. In lakes with the Cs-137 fallout density lower than 8 kBq m(-2), the radionuclide concentrations in water after 24-29 years did not exceed 2-3 Bq m(-3), and at a fallout level of 37 kBq m(-2) it was in the range 11-34 Bq m(-3). The natural half-clearance time D cent of lake waters from Cs-137 was 6-7 years at the exposure of up to 20 years. The Cs-137 migration in the lake-river systems that occurred during similar to 30 years did not lead to structural changes in the water contamination: The initially low Cs-137 level in lake waters did not become high, and vice versa. Among rivers feeding Lake Ladoga, the Cs-137 level in the Vuoksa River is similar to 3 times higher than in waters of the Volkhov and Svir rivers. During the period 1988-2015, 21.3 TBq of Cs-137 was supplied to Lake Ladoga with Vuoksa waters. The Vuoksa source from the Saima lake system with increased contamination with Cs-137 of Chernobyl origin leads to long-term supply of this radionuclide to Lake Ladoga.</t>
  </si>
  <si>
    <t>[Bakunov, N. A.; Bol'shiyanov, D. Yu.; Makarov, A. S.] Arctic &amp; Antarctic Res Inst, Ul Beringa 38, St Petersburg 199397, Russia</t>
  </si>
  <si>
    <t>Makarov, AS (corresponding author), Arctic &amp; Antarctic Res Inst, Ul Beringa 38, St Petersburg 199397, Russia.</t>
  </si>
  <si>
    <t>makarov@aari.ru</t>
  </si>
  <si>
    <t>Bakunov, Nikolay/AAB-4832-2019; Bolshiyanov, Dmitriy D.Yu./N-2254-2015</t>
  </si>
  <si>
    <t>1066-3622</t>
  </si>
  <si>
    <t>1608-3288</t>
  </si>
  <si>
    <t>RADIOCHEMISTRY+</t>
  </si>
  <si>
    <t>Radiochemistry</t>
  </si>
  <si>
    <t>10.1134/S1066362217050174</t>
  </si>
  <si>
    <t>Chemistry, Analytical; Chemistry, Inorganic &amp; Nuclear</t>
  </si>
  <si>
    <t>FK4IZ</t>
  </si>
  <si>
    <t>WOS:000413458000017</t>
  </si>
  <si>
    <t>Cheng, Z; Pang, XP; Zhao, X; Tan, C</t>
  </si>
  <si>
    <t>Cheng, Zian; Pang, Xiaoping; Zhao, Xi; Tan, Cheng</t>
  </si>
  <si>
    <t>Spatio-Temporal Variability and Model Parameter Sensitivity Analysis of Ice Production in Ross Ice Shelf Polynya from 2003 to 2015</t>
  </si>
  <si>
    <t>REMOTE SENSING</t>
  </si>
  <si>
    <t>polynya; thermodynamic model; ice production; Ross Sea; sensitivity test</t>
  </si>
  <si>
    <t>SEA-ICE; COASTAL POLYNYAS; AMSR-E; WEDDELL SEA; CHUKCHI SEA; HEAT; ANTARCTICA; THICKNESS; WATER; IMAGERY</t>
  </si>
  <si>
    <t>Antarctic sea ice formation is strongly influenced by polynyas occurring in austral winter. The sea ice production of Ross Ice Shelf Polynya (RISP) located in the Ross Sea is the highest among coastal polynyas around the Southern Ocean. In this paper, daily sea ice production distribution of RISP in wintertime is estimated during 2003- 2015, and the spatial and temporal trends of ice production are explored. Moreover, the sensitivity of the ice production model to parameterization is tested. To define the extent of RISP, this study uses sea ice concentration (SIC) maps mainly derived from the Advanced Microwave Scanning Radiometer for Earth Observing System (AMSRE) and the Advanced Microwave Scanning Radiometer 2 (AMSR2) by ARTIST (Arctic Radiation and Turbulence Interaction Study) sea ice algorithm (ASI) and constrains the ice production estimation to areas with SIC less than 75%. ERA- Interim reanalysis meteorological data are applied to a thermodynamic model to estimate daily ice production distribution between April and October during 2003- 2015 for the open water fractions within the polynya. This estimation is conducted under the assumption that the meteorological data represent the reality. We further analyzed the spatial variability, monthly trend, and interannual trend for wintertime of the total RISP sea ice production. The results show that the ocean surface produces ice at a high rate within the distance of 20- 30 km from the ice shelf front. In most high production areas, the ice production significantly increases. Some local regions show a contrarily significant decreasing trend as a result of ice shelf expansion and iceberg events. The monthly total RISP ice production ranges from 14 to 76 km3, showing substantial fluctuations in each month during 2003- 2015. The seasonal variation of each year also shows substantial fluctuations. The wintertime total ice productions of RISP for 2003- 2015 range 164- 313 km3 with an average of 219 km3, showing no obvious temporal trend. More importantly, we conducted ten sensitivity tests, aiming to illustrate the sensitivity of the ice production model to parameterization. The output of the ice production model is sensitive to the value of the bulk transfer coefficients (Cs and Ce), latent heat of sea ice fusion (Lf), and the threshold of SIC for RISP extent definition. Cs and Ce have the greatest influence, leading to a variation of average wintertime total RISP ice production results as high as 87.1%. A set of optimal local parameter values are recommended, including Cs and Ce =0.002 and Lf =2.79 +/- 105 J +/- kg 1. Lf is calculated by the salinity and temperature of sea ice, the value of which may lead to potential influence to the value of Lf and the following ice production results.</t>
  </si>
  <si>
    <t>[Cheng, Zian; Pang, Xiaoping; Zhao, Xi] Wuhan Univ, Chinese Antarctic Ctr Surveying &amp; Mapping, Wuhan 430079, Peoples R China; [Pang, Xiaoping; Zhao, Xi] Natl Adm Surveying Mapping &amp; Geoinformat, Key Lab Polar Surveying &amp; Mapping, Wuhan 430079, Peoples R China; [Tan, Cheng] Wuhan Univ, Comp Sch, Wuhan 430072, Peoples R China</t>
  </si>
  <si>
    <t>Wuhan University; Wuhan University</t>
  </si>
  <si>
    <t>Zhao, X (corresponding author), Wuhan Univ, Chinese Antarctic Ctr Surveying &amp; Mapping, Wuhan 430079, Peoples R China.;Zhao, X (corresponding author), Natl Adm Surveying Mapping &amp; Geoinformat, Key Lab Polar Surveying &amp; Mapping, Wuhan 430079, Peoples R China.</t>
  </si>
  <si>
    <t>chengzian@whu.edu.cn; pxp@whu.edu.cn; xi.zhao@whu.edu.cn; cheng_tan@whu.edu.cn</t>
  </si>
  <si>
    <t>zhao, xi/HJY-6017-2023</t>
  </si>
  <si>
    <t>Zhao, Xi/0000-0003-2274-891X; Cheng, Zian/0000-0003-2201-5775</t>
  </si>
  <si>
    <t>National Natural Science Foundation of China [41576188, 41606215]</t>
  </si>
  <si>
    <t>National Natural Science Foundation of China(National Natural Science Foundation of China (NSFC))</t>
  </si>
  <si>
    <t>This work was supported by the National Natural Science Foundation of China (No. 41576188 and 41606215). The authors want to thank the Institute of Environmental Physics (IEP), University of Bremen, Germany, for providing ASI concentration data; the European Center for Medium-Range Weather Forecasts (ECMWF) for providing the ERA-Interim reanalysis data; and Kern et al. in the University of Hamburg and the National Snow and Ice Data Center (NSIDC) for providing landmask data. We also thank three anonymous referees for their valuable comments and suggestions during the review, as well as editors for the editorial comments.</t>
  </si>
  <si>
    <t>MDPI AG</t>
  </si>
  <si>
    <t>2072-4292</t>
  </si>
  <si>
    <t>REMOTE SENS-BASEL</t>
  </si>
  <si>
    <t>Remote Sens.</t>
  </si>
  <si>
    <t>10.3390/rs9090934</t>
  </si>
  <si>
    <t>Environmental Sciences; Geosciences, Multidisciplinary; Remote Sensing; Imaging Science &amp; Photographic Technology</t>
  </si>
  <si>
    <t>Environmental Sciences &amp; Ecology; Geology; Remote Sensing; Imaging Science &amp; Photographic Technology</t>
  </si>
  <si>
    <t>FL3QT</t>
  </si>
  <si>
    <t>WOS:000414138700064</t>
  </si>
  <si>
    <t>Yuchechen, A; Lakkis, SG; Canziani, P</t>
  </si>
  <si>
    <t>Yuchechen, Adrian; Gabriela Lakkis, Susan; Canziani, Pablo</t>
  </si>
  <si>
    <t>Linear and Non-Linear Trends for Seasonal NO2 and SO2 Concentrations in the Southern Hemisphere (2004-2016)</t>
  </si>
  <si>
    <t>nitrogen dioxide; sulphur dioxide; concentrations; linear trends; non-linear trends; Mann-Kendall test; Southern Hemisphere</t>
  </si>
  <si>
    <t>SULFUR-DIOXIDE; AIR-POLLUTION; ANTARCTIC OZONE; EMISSIONS; LAND; OSCILLATION; OXIDATION; SANTIAGO; GROWTH</t>
  </si>
  <si>
    <t>In order to address the behaviour of nitrogen dioxide (NO2) and sulphur dioxide (SO2) in the context of a changing climate, linear and non-linear trends for the concentrations of these two trace gases were estimated over their seasonal standardised variables in the Southern Hemispherebetween the Equator and 60 degrees Susing data retrieved by the Ozone Monitoring Instrument, for the period 2004-2016. A rescaling was applied to the calculated linear trends so that they are expressed in Dobson units (DU) per decade. Separately, the existence of monotonicnot necessarily lineartrends was addressed by means of the Mann-Kendall test. Results indicate that the SO2 exhibits significant linear trends in the planetary boundary layer only; they are present in all the analysed seasons but just in a small number of grid cells that are generally located over the landmasses or close to them. The SO2 concentrations in the quarterly time series exhibit, on average, a linear trend that is just below 0.08 DU decade(-1) when significant and not significant values are considered altogether, but this figure increases to 0.80 DU decade(-1) when only the significant trends are included. On the other hand, an important number of pixels in the lower troposphere, the middle troposphere, and the lower stratosphere have significant monotonic upward or downward trends. As for the NO2, no significant linear trends were found either in the troposphere or in the stratosphere, yet monotonic upward and downward trends were observed in the former and latter layers, respectively. Unlike the linear trends, semi-linear and non-linear trends were seen over the continents and in remote regions over the oceans. This suggests that pollutants are transported away from their sources by large-scale circulation and redistributed hemispherically. The combination of regional meteorological phenomena with atmospheric chemistry was raised as a possible explanation for the observed trends. If extrapolated, these trends are in an overall contradiction with the projected emissions of both gases for the current century.</t>
  </si>
  <si>
    <t>[Yuchechen, Adrian; Canziani, Pablo] UTN, FRBA, CONICET, UIDI, C1407IVT, Buenos Aires, DF, Argentina; [Gabriela Lakkis, Susan] Pontificia Univ Catolica Argentina, Fac Ingn &amp; Ciencias Agr, C1107AAZ, Buenos Aires, DF, Argentina; [Gabriela Lakkis, Susan] UTN, FRBA, UIDI, C1407IVT, Buenos Aires, DF, Argentina</t>
  </si>
  <si>
    <t>Consejo Nacional de Investigaciones Cientificas y Tecnicas (CONICET); Pontificia Universidad Catolica Argentina</t>
  </si>
  <si>
    <t>Yuchechen, A (corresponding author), UTN, FRBA, CONICET, UIDI, C1407IVT, Buenos Aires, DF, Argentina.</t>
  </si>
  <si>
    <t>aeyuchechen@frba.utn.edu.ar; gabylakkis@uca.edu.ar; pocanziani@frba.utn.edu.ar</t>
  </si>
  <si>
    <t>Lakkis, Susan Gabriela/GSI-5163-2022; Yuchechen, Adrián/AAU-2011-2020</t>
  </si>
  <si>
    <t>Lakkis, Susan Gabriela/0000-0001-7562-8204; Yuchechen, Adrian/0000-0002-3823-2291</t>
  </si>
  <si>
    <t>PIP [0075]; PICT [2012-2927]; PIDDEF [26]; Facultad Regional Buenos Aires of the Universidad Tecnologica Nacional</t>
  </si>
  <si>
    <t>PIP; PICT(ANPCyT); PIDDEF; Facultad Regional Buenos Aires of the Universidad Tecnologica Nacional</t>
  </si>
  <si>
    <t>We gratefully acknowledge the academic editor and three anonymous reviewers for their valuable comments and suggestions. PIP 2012-2014 No 0075, PICT 2012-2927 and PIDDEF 2014 No 26 grants partly funded this paper. The funds for covering the costs to publish in open access were provided by the Facultad Regional Buenos Aires of the Universidad Tecnologica Nacional.</t>
  </si>
  <si>
    <t>10.3390/rs9090891</t>
  </si>
  <si>
    <t>WOS:000414138700021</t>
  </si>
  <si>
    <t>Aase, JG</t>
  </si>
  <si>
    <t>Aase, Johnny Groneng</t>
  </si>
  <si>
    <t>The Ortelius Incident in the Hinlopen StraitA Case Study on How Satellite-Based AIS Can Support Search and Rescue Operations in Remote Waters</t>
  </si>
  <si>
    <t>RESOURCES-BASEL</t>
  </si>
  <si>
    <t>tourism; polar; search and rescue; SAR; Arctic; Svalbard; AISSat-1; Ortelius</t>
  </si>
  <si>
    <t>In this paper, Automatic Identification System (AIS) data collected from space is used to demonstrate how the data can support search and rescue (SAR) operations in remote waters. The data was recorded by the Norwegian polar orbiting satellite AISSat-1. This is a case study discussing the Ortelius incident in Svalbard in early June 2016. The tourist vessel flying the flag of Cyprus experienced engine failure in a remote part of the Arctic Archipelago. The passengers and crew were not harmed. There were no Norwegian Coast Guard vessels in the vicinity. The Governor of Svalbard had to deploy her vessel Polarsyssel to assist the Ortelius. The paper shows that satellite-based AIS enables SAR coordination centers to swiftly determine the identity and precise location of vessels in the vicinity of the troubled ship. This knowledge makes it easier to coordinate SAR operations.</t>
  </si>
  <si>
    <t>[Aase, Johnny Groneng] Univ Tasmania, Inst Marine &amp; Antarctic Studies, Private Bag 129, Hobart, Tas 7001, Australia; [Aase, Johnny Groneng] Norwegian Def Cyber Acad, Dept Res &amp; Dev, POB 800, NO-2617 Lillehammer, Norway</t>
  </si>
  <si>
    <t>Aase, JG (corresponding author), Univ Tasmania, Inst Marine &amp; Antarctic Studies, Private Bag 129, Hobart, Tas 7001, Australia.;Aase, JG (corresponding author), Norwegian Def Cyber Acad, Dept Res &amp; Dev, POB 800, NO-2617 Lillehammer, Norway.</t>
  </si>
  <si>
    <t>johnny.aase@utas.edu.au</t>
  </si>
  <si>
    <t>Aase, Johnny/J-4100-2015</t>
  </si>
  <si>
    <t>Aase, Johnny/0000-0003-4793-6749</t>
  </si>
  <si>
    <t>Befalets Fellesorganisasjon</t>
  </si>
  <si>
    <t>The author wishes to thank Oystein Helleren at Forsvarets Forskningsinstitutt for providing the data sets, and Befalets Fellesorganisasjon for a generous financial grant.</t>
  </si>
  <si>
    <t>2079-9276</t>
  </si>
  <si>
    <t>Resources-Basel</t>
  </si>
  <si>
    <t>10.3390/resources6030035</t>
  </si>
  <si>
    <t>Green &amp; Sustainable Science &amp; Technology; Environmental Sciences</t>
  </si>
  <si>
    <t>Science &amp; Technology - Other Topics; Environmental Sciences &amp; Ecology</t>
  </si>
  <si>
    <t>FJ1UN</t>
  </si>
  <si>
    <t>WOS:000412505500013</t>
  </si>
  <si>
    <t>Watson, SA; Morley, SA; Peck, LS</t>
  </si>
  <si>
    <t>Watson, Sue-Ann; Morley, Simon A.; Peck, Lloyd S.</t>
  </si>
  <si>
    <t>Latitudinal trends in shell production cost from the tropics to the poles</t>
  </si>
  <si>
    <t>BIVALVE LATERNULA ELLIPTICA; OCEAN ACIDIFICATION; STABLE-ISOTOPES; CLIMATE-CHANGE; YOLDIA-EIGHTSI; METABOLIC-RATE; ENERGY BUDGET; GROWTH STRIAE; SIGNY ISLAND; BODY-SIZE</t>
  </si>
  <si>
    <t>The proportion of body mass devoted to skeleton in marine invertebrates decreases along latitudinal gradients from large proportions in the tropics to small proportions in polar regions. A historical hypothesis-that latitudinal differences in shell production costs explain these trends-remains untested. Using field-collected specimens spanning a 79(circle)N to 68(circle)S latitudinal gradient (16,300 km), we conducted a taxonomically controlled evaluation of energetic costs of shell production as a proportion of the total energy budget in mollusks. Shell production cost was fairly low across latitudes at &lt; 10% of the energy budget and predominately &lt; 5% in gastropods and &lt; 4% in bivalves. Throughout life, shell cost tended to be lower in tropical species and increased slightly toward the poles. However, shell cost also varied with life stage, with the greatest costs found in young tropical gastropods. Low shell production costs on the energy budget suggest that shell cost may play only a small role in influencing proportional skeleton size gradients across latitudes relative to other ecological factors, such as predation in present-day oceans. However, any increase in the cost of calcium carbonate (CaCO3) deposition, including from ocean acidification, may lead to a projected similar to 50 to 70% increase in the proportion of the total energy budget required for shell production for a doubling of the CaCO3 deposition cost. Changes in energy budget allocation to shell cost would likely alter ecological trade-offs between calcification and other drivers, such as predation, in marine ecosystems.</t>
  </si>
  <si>
    <t>[Watson, Sue-Ann] James Cook Univ, Australian Res Council Ctr Excellence Coral Reef, Townsville, Qld 4811, Australia; [Watson, Sue-Ann] Univ Southampton, Sch Ocean &amp; Earth Sci, Natl Oceanog Ctr, Southampton SO14 3ZH, Hants, England; [Morley, Simon A.; Peck, Lloyd S.] British Antarctic Survey, Nat Environm Res Council, Madingley Rd, Cambridge CB3 0ET, England</t>
  </si>
  <si>
    <t>James Cook University; University of Southampton; NERC National Oceanography Centre; UK Research &amp; Innovation (UKRI); Natural Environment Research Council (NERC); NERC British Antarctic Survey</t>
  </si>
  <si>
    <t>Watson, SA (corresponding author), James Cook Univ, Australian Res Council Ctr Excellence Coral Reef, Townsville, Qld 4811, Australia.;Watson, SA (corresponding author), Univ Southampton, Sch Ocean &amp; Earth Sci, Natl Oceanog Ctr, Southampton SO14 3ZH, Hants, England.</t>
  </si>
  <si>
    <t>sueann.watson@jcu.edu.au</t>
  </si>
  <si>
    <t>; Watson, Sue-Ann/C-3172-2013</t>
  </si>
  <si>
    <t>Morley, Simon/0000-0002-7761-660X; Watson, Sue-Ann/0000-0002-9818-7429</t>
  </si>
  <si>
    <t>NERC UK PhD studentship at the School of Ocean and Earth Science University of Southampton [NER/S/A/2005/13476]; British Antarctic Survey; Australian Research Council Centre of Excellence for Coral Reef Studies; Antarctic Funding Initiative Collaborative Gearing Scheme grant [CGS7/24]; NERC [bas0100036] Funding Source: UKRI; Natural Environment Research Council [bas0100036] Funding Source: researchfish</t>
  </si>
  <si>
    <t>NERC UK PhD studentship at the School of Ocean and Earth Science University of Southampton; British Antarctic Survey; Australian Research Council Centre of Excellence for Coral Reef Studies(Australian Research Council); Antarctic Funding Initiative Collaborative Gearing Scheme grant; NERC(UK Research &amp; Innovation (UKRI)Natural Environment Research Council (NERC)); Natural Environment Research Council(UK Research &amp; Innovation (UKRI)Natural Environment Research Council (NERC))</t>
  </si>
  <si>
    <t>This research was supported by a NERC UK PhD studentship (NER/S/A/2005/13476) at the School of Ocean and Earth Science University of Southampton and a Cooperative Award in Science and Engineering studentship from the British Antarctic Survey (to S.-A.W.), and by the Australian Research Council Centre of Excellence for Coral Reef Studies. Antarctic fieldwork was funded by an Antarctic Funding Initiative Collaborative Gearing Scheme grant (CGS7/24).</t>
  </si>
  <si>
    <t>e1701362</t>
  </si>
  <si>
    <t>10.1126/sciadv.1701362</t>
  </si>
  <si>
    <t>FI0DU</t>
  </si>
  <si>
    <t>Green Published, gold, Green Accepted</t>
  </si>
  <si>
    <t>WOS:000411592600054</t>
  </si>
  <si>
    <t>Graves, T; Gramacy, R; Watkins, N; Franzke, C</t>
  </si>
  <si>
    <t>Graves, Timothy; Gramacy, Robert; Watkins, Nicholas; Franzke, Christian</t>
  </si>
  <si>
    <t>A Brief History of Long Memory: Hurst, Mandelbrot and the Road to ARFIMA, 1951-1980</t>
  </si>
  <si>
    <t>ENTROPY</t>
  </si>
  <si>
    <t>long-range dependence; Hurst effect; fractionally differenced models; Mandelbrot</t>
  </si>
  <si>
    <t>FRACTIONAL GAUSSIAN-NOISE; RESCALED ADJUSTED RANGE; BROKEN LINE PROCESS; STREAMFLOW SIMULATION; STATISTICAL-MODEL; PARTIAL-SUMS; PRESERVATION; SENSITIVITY; R/S</t>
  </si>
  <si>
    <t>Long memory plays an important role in many fields by determining the behaviour and predictability of systems; for instance, climate, hydrology, finance, networks and DNA sequencing. In particular, it is important to test if a process is exhibiting long memory since that impacts the accuracy and confidence with which one may predict future events on the basis of a small amount of historical data. A major force in the development and study of long memory was the late Benoit B. Mandelbrot. Here, we discuss the original motivation of the development of long memory and Mandelbrot's influence on this fascinating field. We will also elucidate the sometimes contrasting approaches to long memory in different scientific communities.</t>
  </si>
  <si>
    <t>[Graves, Timothy; Gramacy, Robert] Univ Cambridge, Stat Lab, Cambridge CB3 0WB, England; [Watkins, Nicholas] Univ Warwick, Ctr Fus Space &amp; Astrophys, Coventry CV4 7AL, W Midlands, England; [Watkins, Nicholas] London Sch Econ &amp; Polit Sci, Ctr Anal Time Series, London WC2A 2AE, England; [Watkins, Nicholas] Open Univ, Fac Sci Technol Engn &amp; Math, Milton Keynes MK7 6AA, Bucks, England; [Franzke, Christian] Univ Hamburg, Inst Meteorol, Ctr Earth Syst Res &amp; Sustainabil, D-20146 Hamburg, Germany; [Graves, Timothy] Arup, London W1T 4BQ, England; [Gramacy, Robert] Virginia Polytech Inst &amp; State Univ, Dept Stat, Blacksburg, VA 24061 USA</t>
  </si>
  <si>
    <t>University of Cambridge; University of Warwick; University of London; London School Economics &amp; Political Science; Open University - UK; University of Hamburg; Virginia Polytechnic Institute &amp; State University</t>
  </si>
  <si>
    <t>Watkins, N (corresponding author), Univ Warwick, Ctr Fus Space &amp; Astrophys, Coventry CV4 7AL, W Midlands, England.;Watkins, N (corresponding author), London Sch Econ &amp; Polit Sci, Ctr Anal Time Series, London WC2A 2AE, England.;Watkins, N (corresponding author), Open Univ, Fac Sci Technol Engn &amp; Math, Milton Keynes MK7 6AA, Bucks, England.</t>
  </si>
  <si>
    <t>timgraves@cantab.net; rbg@vt.edu; nickwatkins62@physics.org; christian.franzke@uni-hamburg.de</t>
  </si>
  <si>
    <t>Atmosphere and Ocean, Collaborative Research Center TRR 181- Energy Transfers in/AAY-2721-2020; Watkins, Nicholas Wynn/C-5140-2008; Watkins, Nick/GPX-7439-2022</t>
  </si>
  <si>
    <t>Watkins, Nicholas Wynn/0000-0003-4484-6588; Watkins, Nick/0000-0003-4484-6588</t>
  </si>
  <si>
    <t>RCUK at the University of Warwick; EPSRC [EP/D065704/1]; German Science Foundation (DFG) [TRR181]; ONR NICOP [N62909-15-1-N143]; London Mathematical Laboratory; KLIMAFORSK [229754]</t>
  </si>
  <si>
    <t>RCUK at the University of Warwick; EPSRC(UK Research &amp; Innovation (UKRI)Engineering &amp; Physical Sciences Research Council (EPSRC)); German Science Foundation (DFG)(German Research Foundation (DFG)); ONR NICOP; London Mathematical Laboratory; KLIMAFORSK</t>
  </si>
  <si>
    <t>Open access publication was supported by funds from the RCUK at the University of Warwick. RBG acknowledges EPSRC funding at Cambridge Statslab under EPSRC: EP/D065704/1. CF was supported by the German Science Foundation (DFG) through the cluster of excellence CliSAP and the collaborative research center TRR181, while NWW has recently been supported by ONR NICOP grant N62909-15-1-N143 to Warwick. He also acknowledges support from the London Mathematical Laboratory and travel support from KLIMAFORSK project number 229754. NWW and CF acknowledge the stimulating environment of the British Antarctic Survey during the initial development of this paper. We thank Cosma Shalizi, Holger Kantz, and the participants in the 2013-4 International Space Science Institute programme on Self-Organized Criticality and Turbulence for discussions, and David Spiegelhalter for his help.</t>
  </si>
  <si>
    <t>1099-4300</t>
  </si>
  <si>
    <t>ENTROPY-SWITZ</t>
  </si>
  <si>
    <t>Entropy</t>
  </si>
  <si>
    <t>10.3390/e19090437</t>
  </si>
  <si>
    <t>Physics, Multidisciplinary</t>
  </si>
  <si>
    <t>FH9JP</t>
  </si>
  <si>
    <t>WOS:000411527100009</t>
  </si>
  <si>
    <t>D'Alessandro, G; de Bernardis, P; di Tano, S; Masi, S; Mele, L</t>
  </si>
  <si>
    <t>D'Alessandro, Giuseppe; de Bernardis, Paolo; di Tano, Silvio; Masi, Silvia; Mele, Lorenzo</t>
  </si>
  <si>
    <t>Polarizing beam-splitter rotation in Martin-Puplett interferometers for spectroscopic measurements at millimeter wavelengths</t>
  </si>
  <si>
    <t>INFRARED PHYSICS &amp; TECHNOLOGY</t>
  </si>
  <si>
    <t>Spectrometers and spectroscopic instrumentation; Spectroscopy, Fourier transforms; Spectroscopy, far infrared; Astronomy and astrophysics</t>
  </si>
  <si>
    <t>ASTRONOMICAL OBSERVATIONS; EMISSIVITY; SPECTRUM</t>
  </si>
  <si>
    <t>The spectroscopic measurement of the Cosmic Microwave Background at mm and sub-mm wavelengths received significant attention recently, aimed at measuring tiny spectral distortions of the Cosmic Microwave Background (CMB) relevant for cosmology. Several experiments, including OLIMPO (Masi et al. 2003), PRISM (Andre et al., 2014), MILLIMETRON (Smirnov and Baryshev, 2012), PIXIE (Kogut and Fixsen, 2011) are based on a Martin-Puplett Fourier-transform spectrometer. Its differential capabilities are the key to success in these difficult measurements. The polarizing beam splitter is the optical core of a Martin-Puplett interferometer. In this paper we analyze, analytically and experimentally, the systematic effects induced by a beam splitter orientation different from the canonical 45 degrees. These effects are potenitally important for the delicate measurements of CMB spectral distortions. We find an analytical formula describing the effect, and verify experimentally, in the range 150-600 GHz, that our formula correctly describes the results (with a C.L. of 88%). We also demonstrate that the rotation of the beam splitter does not induce distortions in the measured spectra. (C) 2017 Elsevier B.V. All rights reserved.</t>
  </si>
  <si>
    <t>[D'Alessandro, Giuseppe; de Bernardis, Paolo; di Tano, Silvio; Masi, Silvia; Mele, Lorenzo] Univ Sapienza Rome, Phys Dept, 00185 Piazz Aldo Moro 5, Rome, Italy</t>
  </si>
  <si>
    <t>Sapienza University Rome</t>
  </si>
  <si>
    <t>D'Alessandro, G (corresponding author), Univ Sapienza Rome, Phys Dept, 00185 Piazz Aldo Moro 5, Rome, Italy.</t>
  </si>
  <si>
    <t>giu.dalessandro@gmail.com</t>
  </si>
  <si>
    <t>Dalessandro, Giuseppe/AAN-4438-2020</t>
  </si>
  <si>
    <t>Dalessandro, Giuseppe/0000-0001-8717-0843; de Bernardis, Paolo/0000-0001-6547-6446; Mele, Lorenzo/0000-0001-8563-4835; D'Alessandro, Giuseppe/0000-0002-2580-043X</t>
  </si>
  <si>
    <t>ASI (Agenzia Spaziale Italiana); OLIMPO; Millimetron; PNRA grant BRAIN/QUBIC; Sapienza University of Rome</t>
  </si>
  <si>
    <t>ASI (Agenzia Spaziale Italiana)(Agenzia Spaziale Italiana (ASI)); OLIMPO; Millimetron; PNRA grant BRAIN/QUBIC; Sapienza University of Rome</t>
  </si>
  <si>
    <t>This work has been supported by ASI (Agenzia Spaziale Italiana), grants OLIMPO and Millimetron, by PNRA (Italian National Antarctic Research Program) grant BRAIN/QUBIC, and by Sapienza University of Rome research-startup funds.</t>
  </si>
  <si>
    <t>1350-4495</t>
  </si>
  <si>
    <t>1879-0275</t>
  </si>
  <si>
    <t>INFRARED PHYS TECHN</t>
  </si>
  <si>
    <t>Infrared Phys. Technol.</t>
  </si>
  <si>
    <t>10.1016/j.infrared.2017.05.015</t>
  </si>
  <si>
    <t>Instruments &amp; Instrumentation; Optics; Physics, Applied</t>
  </si>
  <si>
    <t>Instruments &amp; Instrumentation; Optics; Physics</t>
  </si>
  <si>
    <t>FH9QM</t>
  </si>
  <si>
    <t>WOS:000411546800013</t>
  </si>
  <si>
    <t>Weiss, MPM</t>
  </si>
  <si>
    <t>Weiss, Martin P. M.</t>
  </si>
  <si>
    <t>The last white Spots: European Antarctic Journeys around 1900</t>
  </si>
  <si>
    <t>ISIS</t>
  </si>
  <si>
    <t>[Weiss, Martin P. M.] German Maritime Museum, Bremerhaven, Germany</t>
  </si>
  <si>
    <t>Deutsche Schiffahrtsmuseum - Leibniz-Institut fur deutsche Schifffahrtsgeschichte</t>
  </si>
  <si>
    <t>Weiss, MPM (corresponding author), German Maritime Museum, Bremerhaven, Germany.</t>
  </si>
  <si>
    <t>0021-1753</t>
  </si>
  <si>
    <t>1545-6994</t>
  </si>
  <si>
    <t>Isis</t>
  </si>
  <si>
    <t>10.1086/693836</t>
  </si>
  <si>
    <t>History &amp; Philosophy Of Science</t>
  </si>
  <si>
    <t>Science Citation Index Expanded (SCI-EXPANDED); Social Science Citation Index (SSCI); Arts &amp; Humanities Citation Index (A&amp;HCI)</t>
  </si>
  <si>
    <t>History &amp; Philosophy of Science</t>
  </si>
  <si>
    <t>FH5CL</t>
  </si>
  <si>
    <t>WOS:000411180900062</t>
  </si>
  <si>
    <t>Follert, LC; Contreras, F; Quiroz, JC</t>
  </si>
  <si>
    <t>Chong Follert, Liu; Contreras M, Francisco; Carlos Quiroz, Juan</t>
  </si>
  <si>
    <t>Reproductive biology and population traits of tadpole codling (Salilota australis) off Chilean southern austral zone: fishery management considerations</t>
  </si>
  <si>
    <t>LATIN AMERICAN JOURNAL OF AQUATIC RESEARCH</t>
  </si>
  <si>
    <t>Spanish</t>
  </si>
  <si>
    <t>Salilota australis; length at maturity; spawning; fishery; southern Chile</t>
  </si>
  <si>
    <t>EEL GENYPTERUS-BLACODES; EVALUATING DIFFERENCES; GROWTH; SIZE</t>
  </si>
  <si>
    <t>The spawning period and proportion of length at maturity during the period 1984-2006 were investigated in a population of tadpole codling (Salilota australis) off southern austral zone, Chile. Macroscopic aspects and gonadosomatic index variability indicate the presence of mature individuals across the year with an important spawning period between August and September. Significant differences between sexes were detected in such processes, as maturity schedule and somatic growth, particularly in females which grow larger than males. Progressively S. australis has become an important target species for the austral demersal fleet in Chile, showing both an average catch length greater than the length at 50% maturity (LM) and high female fishery availability. In relation with the unknown vulnerability to overfishing of Salilota australis, the life history parameter analysis must be a priority needs within the monitoring fishing frameworks.</t>
  </si>
  <si>
    <t>[Chong Follert, Liu; Contreras M, Francisco; Carlos Quiroz, Juan] Inst Fomento Pesquero, Div Invest Pesquera, Valparaiso, Chile; [Carlos Quiroz, Juan] Univ Tasmania, Inst Marine &amp; Antarctic Studies, Hobart, Tas, Australia</t>
  </si>
  <si>
    <t>Instituto de Fomento Pesquero (Valparaiso); University of Tasmania</t>
  </si>
  <si>
    <t>Follert, LC (corresponding author), Inst Fomento Pesquero, Div Invest Pesquera, Valparaiso, Chile.</t>
  </si>
  <si>
    <t>liu.chong@ifop.cl</t>
  </si>
  <si>
    <t>Quiroz, JC/A-9938-2010</t>
  </si>
  <si>
    <t>UNIV CATOLICA DE VALPARAISO</t>
  </si>
  <si>
    <t>VALPARAISO</t>
  </si>
  <si>
    <t>AV BRASIL 2950, PO BOX 4059, VALPARAISO, CHILE</t>
  </si>
  <si>
    <t>0718-560X</t>
  </si>
  <si>
    <t>0717-7178</t>
  </si>
  <si>
    <t>LAT AM J AQUAT RES</t>
  </si>
  <si>
    <t>Lat. Am. J. Aquat. Res.</t>
  </si>
  <si>
    <t>10.3856/vol45-issue4-fulltext-14</t>
  </si>
  <si>
    <t>FG6YH</t>
  </si>
  <si>
    <t>Green Published, Green Submitted, gold, Green Accepted</t>
  </si>
  <si>
    <t>WOS:000410546100014</t>
  </si>
  <si>
    <t>Hicks, N; Green, A</t>
  </si>
  <si>
    <t>Hicks, Nigel; Green, Andrew</t>
  </si>
  <si>
    <t>A Mid-Miocene erosional unconformity from the Durban Basin, SE African margin: A combination of global eustatic sea level change, epeirogenic uplift, and ocean current initiation</t>
  </si>
  <si>
    <t>MARINE AND PETROLEUM GEOLOGY</t>
  </si>
  <si>
    <t>Passive margin; Epeirogenic uplift; Submarine canyon; Sequence boundary; South Africa; Durban Basin</t>
  </si>
  <si>
    <t>SOUTHWEST INDIAN-OCEAN; CONTINENTAL-MARGIN; NEW-JERSEY; SUBMARINE CANYONS; TRANSKEI BASIN; NATAL VALLEY; SEQUENCE STRATIGRAPHY; SEDIMENTARY BASIN; EVOLUTION; SHELF</t>
  </si>
  <si>
    <t>Erosional unconformity surfaces are key indicators for the variations in eustatic sea level, ocean dynamics and climatic conditions which significantly affect depositional environments of sedimentary successions. Using a dense grid of 2D seismic data, we present new evidence from a frontier basin, the offshore Durban Basin, of a mid-Miocene age erosional unconformity that can be correlated with analogous horizons around the entire southern African continental margin. In the Durban Basin, this unconformity is typified by the incision of a mixed carbonate-siliciclastic wedge and ramp margin by a series of submarine canyons. Epeirogenic uplift of southern Africa characterised this period, with erosion and sediment bypass offshore concomitant with increases in offshore sedimentation rates. Although epeirogenic uplift appears to be the dominant mechanism affecting formation of the identified sequence boundary, it is postulated that an interplay between global eustatic sea-level fall, expansion of the east Antarctic ice sheets, and changes in deep oceanic current circulation patterns may have substantially contributed to erosion during this period. (C) 2017 Published by Elsevier Ltd.</t>
  </si>
  <si>
    <t>[Hicks, Nigel] Council Geosci, 139 Jabu Ndlovu St, ZA-3200 Pietermaritzburg, South Africa; [Hicks, Nigel; Green, Andrew] Univ KwaZulu Natal, Discipline Geol Sci, Sch Agr Earth &amp; Environm Sci, Private Bag X54001, Westville, South Africa</t>
  </si>
  <si>
    <t>University of Kwazulu Natal</t>
  </si>
  <si>
    <t>Hicks, N (corresponding author), Council Geosci, 139 Jabu Ndlovu St, ZA-3200 Pietermaritzburg, South Africa.</t>
  </si>
  <si>
    <t>nhicks@geoscience.org.za</t>
  </si>
  <si>
    <t>South African Centre for Carbon Capture and Storage (SACCCS); division of the South African National Energy Development Institute (SANEDI); Council for Geoscience (CGS) [ST-2013-1183]; South African Centre for Carbon Capture and Storage; CGS; SANEDI/SACCCS; IHS Global Inc.</t>
  </si>
  <si>
    <t>South African Centre for Carbon Capture and Storage (SACCCS); division of the South African National Energy Development Institute (SANEDI); Council for Geoscience (CGS); South African Centre for Carbon Capture and Storage; CGS(China Geological Survey); SANEDI/SACCCS; IHS Global Inc.</t>
  </si>
  <si>
    <t>This research was funded by a PhD bursary from the South African Centre for Carbon Capture and Storage (SACCCS), a division of the South African National Energy Development Institute (SANEDI), as well as being part of a statutory programme (ST-2013-1183) at the Council for Geoscience (CGS). The financial assistance of the South African Centre for Carbon Capture and Storage towards this research is hereby acknowledged. Opinions expressed and conclusions arrived at, are those of the author and are not necessarily to be attributed to SACCCS. Mr Hicks would like to thank both the CGS and SANEDI/SACCCS for their financial and technical support towards the project. Petroleum Agency South Africa is thanked for supplying the data for the project. IHS Global Inc. is acknowledged for its support through an academic licence grant for Kingdom Suite 2015 software. We finally thank the three anonymous reviewers and associate editor Francisco Lobo, for their constructive comments and suggestions which helped to improve the manuscript.</t>
  </si>
  <si>
    <t>0264-8172</t>
  </si>
  <si>
    <t>1873-4073</t>
  </si>
  <si>
    <t>MAR PETROL GEOL</t>
  </si>
  <si>
    <t>Mar. Pet. Geol.</t>
  </si>
  <si>
    <t>10.1016/j.marpetgeo.2017.06.037</t>
  </si>
  <si>
    <t>FH6OM</t>
  </si>
  <si>
    <t>WOS:000411296600049</t>
  </si>
  <si>
    <t>Kumar, CPA; Balan, N; Panneerselvam, C; Victor, NJ; Selvaraj, C; Nair, KU; Elango, P; Jeeva, K; Akhila, JC; Gurubaran, S</t>
  </si>
  <si>
    <t>Kumar, C. P. Anil; Balan, N.; Panneerselvam, C.; Victor, N. Jeni; Selvaraj, C.; Nair, K. U.; Elango, P.; Jeeva, K.; Akhila, J. C.; Gurubaran, S.</t>
  </si>
  <si>
    <t>Investigation of the Influence of Galactic Cosmic Rays on Clouds and Climate in Antarctica</t>
  </si>
  <si>
    <t>PROCEEDINGS OF THE INDIAN NATIONAL SCIENCE ACADEMY</t>
  </si>
  <si>
    <t>ATMOSPHERIC MAXWELL CURRENT; ELECTRIC-FIELD; CONDENSATION NUCLEI; SOLAR-ACTIVITY; AEROSOL; FLUX; CONDUCTIVITY; STATION; MODEL; NUCLEATION</t>
  </si>
  <si>
    <t>This paper studies the effects of galactic cosmic rays on clouds and snow-fall rates in Antarctica using nine years of data (2001-2009) covering the long deep solar minimum (2007-2009) for the first time. Measurements of the fair-weather air earth current (Jz) at the Indian Antarctic station Maitri (70 degrees 45'S, 11 degrees 43' E), and equivalent galactic cosmic ray (GCR) flux from the neutron monitor measurements made at the American station McMurdo (77 degrees 51'S, 166 degrees 40'E) are used for the study. Meteorological data from the Antarctic stations Maitri, Vostok (78 degrees 27'S, 106 degrees 52'E), Scott Base (77 degrees 51'S, 166 degrees 46'E) and Antarctic Data base are also used. The results show that low level cloud coverage (pressure &gt; 680 hPa) is positively correlated to GCR flux with the maximum correlation (31%) being at the long solar minimum (2007-2009) when snow-fall increased by 14%. The observed link between cosmic rays and climate in Antarctica is discussed in terms of ion-aerosol clear-sky hypothesis and ion-aerosol near-cloud hypothesis. GCR enhanced the cloud formation, and the increased low level clouds have invigoration to reflect more heat back to space.</t>
  </si>
  <si>
    <t>[Kumar, C. P. Anil; Panneerselvam, C.; Victor, N. Jeni; Selvaraj, C.; Nair, K. U.; Elango, P.; Jeeva, K.; Gurubaran, S.] Indian Inst Geomagnetism, Equatorial Geophys Res Lab, Tirunelveli 627011, Tamil Nadu, India; [Balan, N.] INPE, Sao Jose Dose Campus, BR-12227010 Sao Jose Dos Campos, SP, Brazil; [Akhila, J. C.] MG Univ, Sch Pure &amp; Appl Phys, Kottayam 686560, Kerala, India; [Gurubaran, S.] Indian Inst Geomagnetism, New Panvel 410206, Navi Mumbai, India</t>
  </si>
  <si>
    <t>Department of Science &amp; Technology (India); Indian Institute of Geomagnetism (IIG); Instituto Nacional de Pesquisas Espaciais (INPE); Mahatma Gandhi University, Kerala; Department of Science &amp; Technology (India); Indian Institute of Geomagnetism (IIG)</t>
  </si>
  <si>
    <t>Kumar, CPA (corresponding author), Indian Inst Geomagnetism, Equatorial Geophys Res Lab, Tirunelveli 627011, Tamil Nadu, India.</t>
  </si>
  <si>
    <t>cpanil@iigs.iigm.res.in</t>
  </si>
  <si>
    <t>VICTOR, JENI/0000-0003-2867-3656</t>
  </si>
  <si>
    <t>Dept. of Science and Technology, Govt. of India</t>
  </si>
  <si>
    <t>Dept. of Science and Technology, Govt. of India(Department of Science &amp; Technology (India))</t>
  </si>
  <si>
    <t>We gratefully acknowledge the data obtained from different web sites cited in section 2, without which this work would not been feasible. The authors thank the Dept. of Science and Technology, Govt. of India for financial aid and National Centre for Antarctic and Ocean Research (NCAOR, Goa), Ministry of Earth Sciences for logistic support during the Indian Science expeditions to Antarctica. We also express our gratitude to Dr. D S Ramesh, Director, I I G, for his continued encouragement and support. CPA also thanks Prof. C Venugopal (Emeritus UGC-Professor) SPAP, Mahatma Gandhi University for his unstinted support during the difficult stages of this research work. The authors thank Indian and Foreign referees for their critical comments and evaluation of this paper.</t>
  </si>
  <si>
    <t>INDIAN NAT SCI ACAD</t>
  </si>
  <si>
    <t>NEW DELHI</t>
  </si>
  <si>
    <t>BAHADUR SHAH ZAFAR MARG, NEW DELHI 110002, INDIA</t>
  </si>
  <si>
    <t>0370-0046</t>
  </si>
  <si>
    <t>P INDIAN NATL SCI AC</t>
  </si>
  <si>
    <t>Proc. Indian Natl. Sci. Acad.</t>
  </si>
  <si>
    <t>10.16943/ptinsa/2017/49028</t>
  </si>
  <si>
    <t>FH4MP</t>
  </si>
  <si>
    <t>WOS:000411129100009</t>
  </si>
  <si>
    <t>Tahon, G; Willems, A</t>
  </si>
  <si>
    <t>Tahon, Guillaume; Willems, Anne</t>
  </si>
  <si>
    <t>Isolation and characterization of aerobic anoxygenic phototrophs from exposed soils from the Sof. Rondane Mountains, East Antarctica</t>
  </si>
  <si>
    <t>SYSTEMATIC AND APPLIED MICROBIOLOGY</t>
  </si>
  <si>
    <t>pufLM; AAP; Proteorhodopsin; Actinorhodopsin; Cultivation</t>
  </si>
  <si>
    <t>PHOTOSYNTHETIC REACTION CENTERS; CULTURABLE BACTERIAL DIVERSITY; SP-NOV.; FRESH-WATER; ACTINORHODOPSIN GENES; MARITIME ANTARCTICA; MICROBIAL DIVERSITY; HORIZONTAL TRANSFER; INTERACTIVE TREE; TAXONOMIC GROUPS</t>
  </si>
  <si>
    <t>This study investigated the culturable aerobic phototrophic bacteria present in soil samples collected in the proximity of the Belgian Princess Elisabeth Station in the Sot. Rondane Mountains, East Antarctica. Until recently, only oxygenic phototrophic bacteria (Cyanobacteria) were well known from Antarctic soils. However, more recent non-cultivation-based studies have demonstrated the presence of anoxygenic phototrophs and, particularly, aerobic anoxygenic phototrophic bacteria in these areas. Approximately 1000 isolates obtained after prolonged incubation under different growth conditions were studied and characterized by matrix-assisted laser desorption/ionization time-of-flight mass spectrometry. Representative strains were identified by sequence analysis of 16S rRNA genes. More than half of the isolates grouped among known aerobic anoxygenic phototrophic taxa, particularly with Sphingomonadaceae, Methylobacterium and Brevundimonas. In addition, a total of 330 isolates were tested for the ptesence of key phototrophy genes. While rhodopsin genes were not detected, multiple isolates possessed key genes of the bacteriochlorophyll synthesis pathway. The majority of these potential aerobic anoxygenic phototrophic strains grouped with Alphaproteobacteria (Sphingomonas,Methylobacterium, Brevundimonas and Polymorphobacter). (C)2017 The Authors. Published by Elsevier GmbH.</t>
  </si>
  <si>
    <t>[Tahon, Guillaume; Willems, Anne] Univ Ghent, Dept Biochem &amp; Microbiol, Lab Microbiol, KL Ledeganckstr 35, B-9000 Ghent, Belgium</t>
  </si>
  <si>
    <t>Ghent University</t>
  </si>
  <si>
    <t>Willems, A (corresponding author), Univ Ghent, Dept Biochem &amp; Microbiol, Lab Microbiol, KL Ledeganckstr 35, B-9000 Ghent, Belgium.</t>
  </si>
  <si>
    <t>Guillaume.Tahon@UGent.be; Anne.Willems@UGent.be</t>
  </si>
  <si>
    <t>; Willems, Anne/B-2872-2010</t>
  </si>
  <si>
    <t>, G/0000-0001-7020-4162; Willems, Anne/0000-0002-8421-2881</t>
  </si>
  <si>
    <t>Fund for Scientific Research - Flanders [G.0146.12]; Belgian Science Policy Office (project CCAMBIO); Ghent University; Hercules Foundation; Flemish Government - Department EWI</t>
  </si>
  <si>
    <t>Fund for Scientific Research - Flanders(FWO); Belgian Science Policy Office (project CCAMBIO); Ghent University(Ghent University); Hercules Foundation; Flemish Government - Department EWI</t>
  </si>
  <si>
    <t>This work was supported by the Fund for Scientific Research - Flanders (project G.0146.12). Additional support was obtained from the Belgian Science Policy Office (project CCAMBIO). The computational resources (Stevin Supercomputer Infrastructure) and services used in this work were provided by the Flemish Supercomputer Center (VSC) funded by Ghent University, the Hercules Foundation and the Flemish Government - Department EWI. This study was a contribution to the State of the Antarctic Ecosystem (AntEco) research program of the Scientific Committee on Antarctic Research (SCAR).</t>
  </si>
  <si>
    <t>ELSEVIER GMBH, URBAN &amp; FISCHER VERLAG</t>
  </si>
  <si>
    <t>JENA</t>
  </si>
  <si>
    <t>OFFICE JENA, P O BOX 100537, 07705 JENA, GERMANY</t>
  </si>
  <si>
    <t>0723-2020</t>
  </si>
  <si>
    <t>SYST APPL MICROBIOL</t>
  </si>
  <si>
    <t>Syst. Appl. Microbiol.</t>
  </si>
  <si>
    <t>10.1016/j.syapm.2017.05.007</t>
  </si>
  <si>
    <t>Biotechnology &amp; Applied Microbiology; Microbiology</t>
  </si>
  <si>
    <t>FH9NN</t>
  </si>
  <si>
    <t>WOS:000411539100006</t>
  </si>
  <si>
    <t>Nikitin, DA; Marfenina, OE; Kudinova, AG; Lysak, LV; Mergelov, NS; Dolgikh, AV; Lupachev, AV</t>
  </si>
  <si>
    <t>Nikitin, D. A.; Marfenina, O. E.; Kudinova, A. G.; Lysak, L. V.; Mergelov, N. S.; Dolgikh, A. V.; Lupachev, A. V.</t>
  </si>
  <si>
    <t>Microbial biomass and biological activity of soils and soil-like bodies in coastal oases of Antarctica</t>
  </si>
  <si>
    <t>EURASIAN SOIL SCIENCE</t>
  </si>
  <si>
    <t>Antarctic soils; microbial biomass; luminescent microscopy; fungi (mycelium and spores); bacteria; extreme conditions of pedogenesis</t>
  </si>
  <si>
    <t>EAST ANTARCTICA; WEST ANTARCTICA; LARSEMANN HILLS; DIVERSITY; FUNGAL; COMMUNITIES; POPULATION; SIBERIA; TAIGA; LAND</t>
  </si>
  <si>
    <t>The method of luminescent microscopy has been applied to study the structure of the microbial biomass of soils and soil-like bodies in East (the Thala Hills and Larsemann Hills oases) and West (Cape Burks, Hobbs coast) Antarctica. According to Soil Taxonomy, the studied soils mainly belong to the subgroups of Aquic Haploturbels, Typic Haploturbels, Typic Haplorthels, and Lithic Haplorthels. The major contribution to their microbial biomass belongs to fungi. The highest fungal biomass (up to 790 mu g C/g soil) has been found in the soils with surface organic horizons in the form of thin moss/lichen litters, in which the development of fungal mycelium is most active. A larger part of fungal biomass (70-98%) is represented by spores. For the soils without vegetation cover, the accumulation of bacterial and fungal biomass takes place in the horizons under surface desert pavements. In the upper parts of the soils without vegetation cover and in the organic soil horizons, the major part (&gt; 60%) of fungal mycelium contains protective melanin pigments. Among bacteria, the high portion (up to 50%) of small filtering forms is observed. A considerable increase (up to 290.2 +/- 27 mu g C/g soil) in the fungal biomass owing to the development of yeasts has been shown for gley soils (gleyzems) developing from sapropel sediments under subaquatic conditions and for the algal-bacterial mat on the bottom of the lake (920.7 +/- 46 mu g C/g soil). The production of carbon dioxide by the soils varies from 0.47 to 2.34 mu g C-CO2/(g day). The intensity of nitrogen fixation in the studied samples is generally low: from 0.08 to 55.85 ng D(2)De(4)/(g day). The intensity of denitrification varies from 0.09 to 19.28 mu g N-N2O/(g day).</t>
  </si>
  <si>
    <t>[Nikitin, D. A.; Marfenina, O. E.; Kudinova, A. G.; Lysak, L. V.] Lomonosov Moscow State Univ, Moscow 119991, Russia; [Mergelov, N. S.; Dolgikh, A. V.] Russian Acad Sci, Inst Geog, Per Staromonetnyi 29, Moscow 119017, Russia; [Lupachev, A. V.] Russian Acad Sci, Inst Physicochem &amp; Biol Problems Soil Sci, Ul Inst Skaya, Pushchino 142290, Moscow Oblast, Russia</t>
  </si>
  <si>
    <t>Lomonosov Moscow State University; Institute of Geography, Russian Academy of Sciences; Russian Academy of Sciences; Russian Academy of Sciences; Pushchino Scientific Center for Biological Research (PSCBI) of the Russian Academy of Sciences; Institute of Physicohemical &amp; Biological Problems of Soil Science</t>
  </si>
  <si>
    <t>Nikitin, DA (corresponding author), Lomonosov Moscow State Univ, Moscow 119991, Russia.</t>
  </si>
  <si>
    <t>dimnik90@mail.ru</t>
  </si>
  <si>
    <t>Lysak, Liudmila/AAR-3033-2020; Kudinova, Alina/ABC-7359-2021; Mergelov, Nikita S/D-2585-2015; Nikitin, Dmitry/X-1916-2019; Dolgikh, Andrey/D-2575-2015; Lupachev, Alexey/J-6466-2018</t>
  </si>
  <si>
    <t>Lysak, Liudmila/0000-0001-5348-8888; Dolgikh, Andrey/0000-0002-9316-9440; Nikitin, Dmitry/0000-0003-1842-1754</t>
  </si>
  <si>
    <t>Russian Science Foundation [14-50-00029, 14-27-00133]; Russian Foundation for Basic Research [15-29-02629ofi-M, 16-04-01050a, 16-04-01776a]</t>
  </si>
  <si>
    <t>Russian Science Foundation(Russian Science Foundation (RSF)); Russian Foundation for Basic Research(Russian Foundation for Basic Research (RFBR)Spanish Government)</t>
  </si>
  <si>
    <t>The studies of microbial biomass and bacterial activity of soils were supported by the Russian Science Foundation, project no. 14-50-00029. Soil sampling in the field, sample pretreatment, and chemical analyses of soils from the Larsemann Hills and Thala Hills oases were performed with support from the Russian Science Foundation, project no. 14-27-00133. Analogous works in the area of Russkaya station were supported by the Russian Foundation for Basic Research (project nos. 15-29-02629ofi-M and 16-04-01050a). Soils with hypolithic horizons were studied within the framework of project no. 16-04-01776a supported by the Russian Foundation for Basic Research. The authors are grateful to Candidate of Biological Sciences T. A. Belevich for valuable consultations and to Russian Antarctic Expedition for logistic support of field studies.</t>
  </si>
  <si>
    <t>1064-2293</t>
  </si>
  <si>
    <t>1556-195X</t>
  </si>
  <si>
    <t>EURASIAN SOIL SCI+</t>
  </si>
  <si>
    <t>Eurasian Soil Sci.</t>
  </si>
  <si>
    <t>10.1134/S1064229317070079</t>
  </si>
  <si>
    <t>Soil Science</t>
  </si>
  <si>
    <t>Agriculture</t>
  </si>
  <si>
    <t>FH4FG</t>
  </si>
  <si>
    <t>WOS:000411106900010</t>
  </si>
  <si>
    <t>Loftus, E; Sealy, J; Leng, MJ; Lee-Thorp, JA</t>
  </si>
  <si>
    <t>Loftus, E.; Sealy, J.; Leng, M. J.; Lee-Thorp, J. A.</t>
  </si>
  <si>
    <t>A late Quaternary record of seasonal sea surface temperatures off southern Africa</t>
  </si>
  <si>
    <t>Late Pleistocene; Holocene; Palaeoclimatology; Southern Africa; Agulhas Current; Oxygen isotopes; Mollusc shells; Westerly winds</t>
  </si>
  <si>
    <t>TURBO-SARMATICUS; KLASIES RIVER; CLIMATE; VARIABILITY; HOLOCENE; ARAGONITE; RAINFALL; COAST; FRACTIONATION; EXPLOITATION</t>
  </si>
  <si>
    <t>The southern Cape coastal region is important for understanding both the behavioural history of modern humans, and regional and global climate dynamics, because it boasts a long archaeological record and occupies a key geographical location near the intersection of two major oceans. The western boundary Agulhas Current, implicated in global heat exchange dynamics, is an important modulator of southern African climates and yet we understand its past behaviour only broadly as the Current itself scours the coastal shelf and marine sediment core records necessarily provide little detail. Numerous archaeological sites from both the late Pleistocene and Holocene provide the opportunity for reconstruction of near shore seasonal SST records, which respond both to localized wind-driven upwellings and Agulhas temperature shifts, corresponding in turn with terrestrial precipitation trends in the near-coastal and summer rainfall regions. Here we present a record of seasonal SSTs extending over MISS, MIS4, and the Holocene, from serial 8180 measurements of a single gastropod species, Turbo sannaticus. The results show that mean SST shifts accord well with global SST trends, although they are larger than those recorded in the Agulhas Current from coarser-scale marine sediment records. Comparison with a record of Antarctic sea-ice suggests that annual SST amplitude responds to Antarctic sea-ice extent, reflecting the positioning of the regional wind systems that drive upwelling dynamics along the coast. Thus, near shore SST seasonality reflects the relative dominance of the westerly and easterly wind systems. These data provide a new climate archive for an important but understudied climate system. (C) 2017 Elsevier Ltd. All rights reserved.</t>
  </si>
  <si>
    <t>[Loftus, E.; Lee-Thorp, J. A.] Univ Oxford, Res Lab Archaeol &amp; Hist Art, 1-2 South Parks Rd, Oxford OX1 3TG, England; [Sealy, J.] Univ Cape Town, Dept Archaeol, Private Bag X3, ZA-7701 Rondebosch, South Africa; [Leng, M. J.] British Geol Survey, NERC Isotope Geosci Facil, Nottingham NG12 5GG, England; [Leng, M. J.] Univ Nottingham, Sch Geog, Ctr Environm Geochem, Nottingham NG7 2RD, England</t>
  </si>
  <si>
    <t>University of Oxford; University of Cape Town; UK Research &amp; Innovation (UKRI); Natural Environment Research Council (NERC); NERC British Geological Survey; University of Nottingham</t>
  </si>
  <si>
    <t>Loftus, E (corresponding author), Univ Oxford, Res Lab Archaeol &amp; Hist Art, 1-2 South Parks Rd, Oxford OX1 3TG, England.</t>
  </si>
  <si>
    <t>emma.loftus@rlaha.ox.ac.uk</t>
  </si>
  <si>
    <t>Loftus, Emma/JLM-6933-2023</t>
  </si>
  <si>
    <t>Loftus, Emma Jessica/0000-0003-4442-8511; Sealy, Judith/0000-0001-5071-8211; Leng, Melanie/0000-0003-1115-5166</t>
  </si>
  <si>
    <t>South African Research Chairs Initiative of the Department of Science and Technology; National Research Foundation of South Africa; Merton College, Oxford; Quaternary Research Association New Research Worker's Award; Palaeontological Scientific Trust; NERC Isotopes Geosciences Facilities Steering Committee Award [IP-1543-0515]; NERC [nigl010001] Funding Source: UKRI; Natural Environment Research Council [nigl010001] Funding Source: researchfish</t>
  </si>
  <si>
    <t>South African Research Chairs Initiative of the Department of Science and Technology; National Research Foundation of South Africa(National Research Foundation - South Africa); Merton College, Oxford; Quaternary Research Association New Research Worker's Award; Palaeontological Scientific Trust; NERC Isotopes Geosciences Facilities Steering Committee Award; NERC(UK Research &amp; Innovation (UKRI)Natural Environment Research Council (NERC)); Natural Environment Research Council(UK Research &amp; Innovation (UKRI)Natural Environment Research Council (NERC))</t>
  </si>
  <si>
    <t>This work was supported by the South African Research Chairs Initiative of the Department of Science and Technology and the National Research Foundation of South Africa; Merton College, Oxford; a Quaternary Research Association New Research Worker's Award, the Palaeontological Scientific Trust and a NERC Isotopes Geosciences Facilities Steering Committee Award (grant number IP-1543-0515). Permissions for export and sampling were obtained from the curator of the archaeological collections at Iziko Museum, Heritage Western Cape (case number 14072110GT0730E) and the Eastern Cape Provincial Heritage Resources Agency (permit number 2/2/APM-PERMIT/14/09/003). Grateful acknowledgments to Curtis Marean and Sarah Wurz for help accessing the collections from PP5-6 and KRM. Thanks are also due to Gideon Henderson for access to sampling equipment in the Department of Earth Sciences, Oxford and especially to Chris Day, Peter Ditchfield, Hilary Sloane, Chris Richardson and Andy Gledhill for help with analyses.</t>
  </si>
  <si>
    <t>10.1016/j.quascirev.2017.07.003</t>
  </si>
  <si>
    <t>FH0ZO</t>
  </si>
  <si>
    <t>WOS:000410869400006</t>
  </si>
  <si>
    <t>Francis, OP; Yaremchuk, M; Panteleev, GG; Zhang, JL; Kulakov, M</t>
  </si>
  <si>
    <t>Francis, Oceana P.; Yaremchuk, Max; Panteleev, Gleb G.; Zhang, Jinlun; Kulakov, Mikhail</t>
  </si>
  <si>
    <t>Anomalous circulation in the Pacific sector of the Arctic Ocean in July-December 2008</t>
  </si>
  <si>
    <t>Arctic ocean circulation; Numerical modeling; 4Dvar data assimilation</t>
  </si>
  <si>
    <t>SEA-SURFACE TEMPERATURE; WAVE-ICE INTERACTIONS; UNDER-ICE; IN-SITU; VARIABILITY; ASSIMILATION; MODEL; BEAUFORT; CLIMATE; BASIN</t>
  </si>
  <si>
    <t>Variability of the mean summer-fall ocean state in the Pacific Sector of the Arctic Ocean (PSAO) is studied using a dynamically constrained synthesis (4Dvar) of historical in situ observations collected during 1972 to 2008. Specifically, the oceanic response to the cyclonic (1989-1996) and anticyclonic (1972-1978, 1997-2006) phases of the Arctic Ocean Oscillation (AOO) is assessed for the purpose of quantitatively comparing the 2008 circulation pattern that followed the 2007 ice cover minimum. It is shown that the PSAO circulation during July-December of 2008 was characterized by a pronounced negative Sea Surface Height (SSH) anomaly along the Eurasian shelf break, which caused a significant decline of the transport in the Atlantic Water (AW) inflow region into the PSAO and increased the sea level difference between the Bering and Chukchi Seas. This anomaly could be one of the reasons for the observed amplification of the Bering Strait transport carrying fresh Pacific Waters into the PSAO. Largrangian analysis of the optimized solution suggests that the freshwater (FW) accumulation in the Beaufort Gyre has a negligible contribution from the East Siberian Sea and is likely caused by the enhanced FW export from the region north of the Canadian Archipelago/Greenland. The inverse modeling results are confirmed by validation against independent altimetry observations and in situ velocity data from NABOS moorings. It is also shown that presented results are in significantly better agreement with the data than the output of the PIOMAS model run utilized as a first guess solution for the 4dVar analysis. (C) 2017 Elsevier Ltd. All rights reserved.</t>
  </si>
  <si>
    <t>[Francis, Oceana P.] Univ Hawaii, Dept Civil &amp; Environm Engn, Honolulu, HI 96822 USA; [Yaremchuk, Max; Panteleev, Gleb G.] Naval Res Lab, 1009 Balch Blvd, Stennis Space Ctr, MS USA; [Panteleev, Gleb G.] Univ Alaska, Int Arctic Res Ctr, Fairbanks, AK 99701 USA; [Zhang, Jinlun] Univ Washington, Appl Phys Lab, Seattle, WA 98195 USA; [Kulakov, Mikhail] Arctic &amp; Antarctic Res Inst, St Petersburg, Russia</t>
  </si>
  <si>
    <t>University of Hawaii System; United States Department of Defense; United States Navy; Naval Research Laboratory; University of Alaska System; University of Alaska Fairbanks; University of Washington; University of Washington Seattle; Arctic &amp; Antarctic Research Institute</t>
  </si>
  <si>
    <t>Francis, OP (corresponding author), Univ Hawaii Manoa, Dept Civil &amp; Environm Engn, 2540 Dole St,Holmes Hall 383, Honolulu, HI 96822 USA.</t>
  </si>
  <si>
    <t>oceanaf@hawaii.edu</t>
  </si>
  <si>
    <t>Kulakov, Mikhail/AAX-4924-2020; Yaremchuk, Max/AAJ-5777-2021</t>
  </si>
  <si>
    <t>NSF [1107925, 1203740, ARC-1107327, PLR-1416920, PLR-1602985]; Russian Government [14, Z50.31.0012/03/19.2014]; ONR; University of Hawaii; International Arctic Research Center; Office of Polar Programs (OPP); Directorate For Geosciences [1203740] Funding Source: National Science Foundation</t>
  </si>
  <si>
    <t>NSF(National Science Foundation (NSF)); Russian Government; ONR(Office of Naval Research); University of Hawaii; International Arctic Research Center; Office of Polar Programs (OPP); Directorate For Geosciences(National Science Foundation (NSF)NSF - Directorate for Geosciences (GEO))</t>
  </si>
  <si>
    <t>This study was supported by the University of Hawaii, the International Arctic Research Center, NSF grants 1107925, 1203740, ARC-1107327, PLR-1416920 and PLR-1602985. The research was also supported by the Russian Government (grant no. 14, Z50.31.0012/03/19.2014). Max Yaremchuk and Gleb Panteleev were also supported by the ONR core project Arctic data assimilation. The authors are indebted to Drs. I. Polyakov, T. Kikuchi, I. Semiletov for providing CTD meter and current data. The authors are also grateful to Dr. M. Tsamados and two anonymous reviewers whose recommendations helped to improve the manuscript.</t>
  </si>
  <si>
    <t>10.1016/j.ocemod.2017.06.006</t>
  </si>
  <si>
    <t>FH0AD</t>
  </si>
  <si>
    <t>WOS:000410800500002</t>
  </si>
  <si>
    <t>Wagner, TJW; Stern, AA; Dell, RW; Eisenman, I</t>
  </si>
  <si>
    <t>Wagner, Till J. W.; Stern, Alon A.; Dell, Rebecca W.; Eisenman, Ian</t>
  </si>
  <si>
    <t>On the representation of capsizing in iceberg models</t>
  </si>
  <si>
    <t>Icebergs; Capsizing; Meltwater; Stability; Modelling</t>
  </si>
  <si>
    <t>ICE-SHEET; INTERACTIVE ICEBERGS; ANTARCTIC ICEBERGS; CLIMATE; OCEAN</t>
  </si>
  <si>
    <t>Although iceberg models have been used for decades, they have received far more widespread attention in recent years, due in part to efforts to explicitly represent icebergs in climate models. This calls for increased scrutiny of all aspects of typical iceberg models. An important component of iceberg models is the representation of iceberg capsizing, or rolling. Rolling occurs spontaneously when the ratio of iceberg width to height falls below a critical threshold. Here we examine previously proposed representations of this threshold, and we find that there have been crucial flaws in the representation of rolling in many modeling studies to date. We correct these errors and identify an accurate model representation of iceberg rolling. Next, we assess how iceberg rolling influences simulation results in a hierarchy of models. Rolling is found to substantially prolong the lifespan of individual icebergs and allow them to drift farther offshore. However, rolling occurs only after large icebergs have lost most of their initial volume, and it thus has a relatively small impact on the large-scale freshwater distribution in comprehensive model simulations. The results suggest that accurate representations of iceberg rolling may be of particular importance for operational forecast models of iceberg drift, as well as for regional changes in high-resolution climate model simulations. (C) 2017 Elsevier Ltd. All rights reserved.</t>
  </si>
  <si>
    <t>[Wagner, Till J. W.; Dell, Rebecca W.; Eisenman, Ian] Univ Calif San Diego, Scripps Inst Oceanog, La Jolla, CA 92093 USA; [Stern, Alon A.] Princeton Univ, Geophys Fluid Dynam Lab, Princeton, NJ 08544 USA</t>
  </si>
  <si>
    <t>University of California System; University of California San Diego; Scripps Institution of Oceanography; Princeton University; National Oceanic Atmospheric Admin (NOAA) - USA</t>
  </si>
  <si>
    <t>Wagner, TJW (corresponding author), Univ Calif San Diego, Scripps Inst Oceanog, La Jolla, CA 92093 USA.</t>
  </si>
  <si>
    <t>tjwagner@ucsd.edu</t>
  </si>
  <si>
    <t>Eisenman, Ian/B-9329-2009</t>
  </si>
  <si>
    <t>Wagner, Till/0000-0003-4572-1285</t>
  </si>
  <si>
    <t>National Science Foundation [OCE-1357078]; Directorate For Geosciences; Division Of Ocean Sciences [1357078] Funding Source: National Science Foundation</t>
  </si>
  <si>
    <t>National Science Foundation(National Science Foundation (NSF)); Directorate For Geosciences; Division Of Ocean Sciences(National Science Foundation (NSF)NSF - Directorate for Geosciences (GEO))</t>
  </si>
  <si>
    <t>We are grateful to Jeff Severinghaus, Ralph Keeling, and Grant Bigg for helpful comments and discussions. This work was supported by National Science Foundation grant OCE-1357078.</t>
  </si>
  <si>
    <t>10.1016/j.ocemod.2017.07.003</t>
  </si>
  <si>
    <t>WOS:000410800500007</t>
  </si>
  <si>
    <t>La Mesa, M; Vera-Duarte, J; Landaeta, MF</t>
  </si>
  <si>
    <t>La Mesa, Mario; Vera-Duarte, Javier; Landaeta, Mauricio F.</t>
  </si>
  <si>
    <t>Early life history traits of Harpagifer antarcticus (Harpagiferidae, Notothenioidei) from the South Shetland Islands during austral summer</t>
  </si>
  <si>
    <t>Larvae; Otolith; Growth rate; Chile Bay; Greenwich Island</t>
  </si>
  <si>
    <t>LARVAL GROWTH; FISH; BISPINIS; REPRODUCTION; PLUNDERFISH; PENINSULA; DIVERSITY; ONTOGENY; GEORGIA</t>
  </si>
  <si>
    <t>The Antarctic spiny plunderfish Harpagifer antarcticus is a common species distributed along the southern Scotia Arc, representing one of the most important components of the littoral benthic fish community there. Compared to adulthood, the early life history traits of H. antarcticus are poorly known, especially for the population inhabiting the shallow waters off the South Shetland Islands. Through the analysis of sagittal otolith microstructure, we estimated age and growth from early larvae collected during the austral summer at Chile Bay, Greenwich Island. An exponential model fitted to the age-length data provided estimates of hatching size and mean larval growth of the local population, being, respectively, 5.36 mm and 0.17 mm day(-1) (range 0.12-0.22 mm day(-1)), corresponding to a daily percentage increase in body size of 2.2%. Back-calculated hatch dates were positively correlated to wind intensity, especially in case of northeast wind dominance. Based on this evidence, we suggest that hatching of H. antarcticus might be triggered by wind-induced turbulence in nearshore subtidal environments of the South Shetland Islands. From an ecological perspective, the early life history strategy of this species consisted of a spring-summer hatching of small, fast-growing larvae, which develop into a demersal juvenile stage before their first winter of life.</t>
  </si>
  <si>
    <t>[La Mesa, Mario] CNR, Ist Sci Marine, ISMAR, I-60125 Ancona, Italy; [Vera-Duarte, Javier; Landaeta, Mauricio F.] Univ Valparaiso, Fac Ciencias Mar &amp; Recursos Nat, Escuela Biol Marina, Lab Ictioplancton LABITI, Valparaiso, Chile</t>
  </si>
  <si>
    <t>Consiglio Nazionale delle Ricerche (CNR); Istituto di Scienze Marine (ISMAR-CNR); Universidad de Valparaiso</t>
  </si>
  <si>
    <t>La Mesa, M (corresponding author), CNR, Ist Sci Marine, ISMAR, I-60125 Ancona, Italy.</t>
  </si>
  <si>
    <t>LANDAETA, MAURICIO/X-4293-2019</t>
  </si>
  <si>
    <t>LANDAETA, MAURICIO/0000-0002-5199-5103; Vera-Duarte, Javier/0000-0002-0539-1245</t>
  </si>
  <si>
    <t>Instituto Antartico Chileno (INACH) [INACH RT_04-13]; Italian National Program for Antarctic Research (PNRA)</t>
  </si>
  <si>
    <t>Instituto Antartico Chileno (INACH); Italian National Program for Antarctic Research (PNRA)</t>
  </si>
  <si>
    <t>We want to thank the field work of J.E. Contreras and D. Ortiz-Gonzalez, as well as all the crew of the Antarctic Base Arturo Prat of Armada de Chile at Greenwich Island, South Shetland Islands, Antarctica, and the support of Instituto Antartico Chileno (INACH), through the project INACH RT_04-13 Granted to MFL. We are also grateful to three anonymous reviewers, whose comments greatly improved the early draft of the manuscript. MLM was financially supported by the Italian National Program for Antarctic Research (PNRA).</t>
  </si>
  <si>
    <t>10.1007/s00300-017-2093-4</t>
  </si>
  <si>
    <t>FG4TR</t>
  </si>
  <si>
    <t>WOS:000410258900001</t>
  </si>
  <si>
    <t>Garibotti, IA; Villalba, R</t>
  </si>
  <si>
    <t>Garibotti, Irene A.; Villalba, Ricardo</t>
  </si>
  <si>
    <t>Colonization of mid- and late-Holocene moraines by lichens and trees in the Magellanic sub-Antarctic province</t>
  </si>
  <si>
    <t>Glacier retreat; Primary succession; Nothofagus temperate forests; Pioneer species; Rhizocarpon; Lichenometry</t>
  </si>
  <si>
    <t>NORTH PATAGONIAN ICEFIELD; RHIZOCARPON SUBGENUS RHIZOCARPON; GROWTH-RATES; GLACIER FLUCTUATIONS; PRIMARY SUCCESSION; LATE PLEISTOCENE; SOUTHERN NORWAY; ROCK OUTCROPS; NATIONAL-PARK; LICHENOMETRY</t>
  </si>
  <si>
    <t>Understanding the process of primary succession is a relevant topic in restoration and global change ecology, and provides the basis for classic dating methods in geomorphology, such as lichenometry and dendrochronology. The aim of this study is to investigate the colonization by lichens and vascular plants of two pro-glacial chronosequences encompassing the late- and mid-Holocene periods in the sub-Antarctic sub-region of South America. We use this information to address questions related to the pattern of Magellanic forests recovery after disturbance and the applicability of lichenometry for developing glacier retreat chronologies. Progression of succession to a state with high vascular plant cover was slow, and some moraines remained unforested for about 2000 years. Our results contrast with previous reports indicating a quick development of mature forest states on disturbed terrains, suggesting large regional variability on the course of succession. Environmental conditions seem propitious for lichens that colonize immediately after moraine formation. Lichens grow at relatively high rates in comparison to other world areas, but half as fast as in Antarctica and sub-Antarctic islands. Growth rates for the Rhizocarpon Ram. em. Th. Fr. sub-gen. Rhizocarpon group increase with lichen sizes up to ca. 50 mm and decrease in larger thalli, leading to a sigmoidal lichenometric growth curve that extends the applicable range of lichenometry to the last 5700 years in dry sites in the Magellanic province of the sub-Antarctic sub-region. Our results suggest that lichenometry is an effective technique in multi-proxy approaches for reconstructing glacier fluctuations, and agree with early studies in Antarctica suggesting that lichen annual growth rate is a sensitive attribute for the biomonitoring of climate changes.</t>
  </si>
  <si>
    <t>[Garibotti, Irene A.; Villalba, Ricardo] CONICET Mendoza, CCT, Inst Argentino Nivol Glaciol Ciencias Ambientales, CC 330, RA-5500 Mendoza, Argentina; [Garibotti, Irene A.] CONICET Patagonia, CCT, Inst Invest Biodiversidad &amp; Medioambiente, Quintral 1250, RA-8400 San Carlos De Bariloche, Rio Negro, Argentina</t>
  </si>
  <si>
    <t>Garibotti, IA (corresponding author), CONICET Mendoza, CCT, Inst Argentino Nivol Glaciol Ciencias Ambientales, CC 330, RA-5500 Mendoza, Argentina.;Garibotti, IA (corresponding author), CONICET Patagonia, CCT, Inst Invest Biodiversidad &amp; Medioambiente, Quintral 1250, RA-8400 San Carlos De Bariloche, Rio Negro, Argentina.</t>
  </si>
  <si>
    <t>ireneg@comahue-conicet.gob.ar</t>
  </si>
  <si>
    <t>Villalba, Ricardo/0000-0001-8183-0310</t>
  </si>
  <si>
    <t>CONICET [PIP 112-2011010-0809]; Inter-American Institute for Global Change Research (IAI) [CRN2047]; Australian Research Council [ARC DP120104320]</t>
  </si>
  <si>
    <t>CONICET(Consejo Nacional de Investigaciones Cientificas y Tecnicas (CONICET)); Inter-American Institute for Global Change Research (IAI); Australian Research Council(Australian Research Council)</t>
  </si>
  <si>
    <t>We thank the personnel of the Parque Nacional Perito Moreno for their assistance during fieldwork. This study was partially funded by CONICET (PIP 112-2011010-0809), the Inter-American Institute for Global Change Research (IAI) through CRN2047, and the Australian Research Council (ARC DP120104320).</t>
  </si>
  <si>
    <t>10.1007/s00300-017-2096-1</t>
  </si>
  <si>
    <t>WOS:000410258900004</t>
  </si>
  <si>
    <t>Zafalon-Silva, B; Zebral, YD; Bianchini, A; da Rosa, CE; Marins, LF; Colares, EP; Martinez, PE; Bobrowski, VL; Robaldo, RB</t>
  </si>
  <si>
    <t>Zafalon-Silva, Bruna; Zebral, Yuri Dornelles; Bianchini, Adalto; da Rosa, Carlos Eduardo; Marins, Luis Fernando; Colares, Elton Pinto; Martinez, Pablo Elias; Bobrowski, Vera Lucia; Robaldo, Ricardo Berteaux</t>
  </si>
  <si>
    <t>Erythrocyte nuclear abnormalities and leukocyte profile in the Antarctic fish Notothenia coriiceps after exposure to short- and long-term heat stress</t>
  </si>
  <si>
    <t>Hematology; Leucogram; Nuclear abnormalities; Notothenioids; Thermal stress; Micronuclei</t>
  </si>
  <si>
    <t>HYPERTHERMIA; TEMPERATURE; MICRONUCLEI; INDUCTION; GENE</t>
  </si>
  <si>
    <t>Several studies suggest that Antarctic endemic stenothermic fish species, such as Notothenia coriiceps, have a limited ability to acclimate to warmer conditions. In the present study, we evaluated the effects of exposure to short- and long-term temperature increases on the occurrence of erythrocytic nuclear abnormalities (ENAs) and changes in the leukocyte profile of N. coriiceps. For the experiments, 30 specimens of N. coriiceps were captured in Admiralty Bay and transferred to the Commandant Ferraz Brazilian Antarctic Station where they were acclimated to water at 0 A degrees C for 6 days and subsequently subjected to treatments of temperature increases (2-4 A degrees C) on a short- (1 day) or long- (6 days) term basis. At the end of exposure, peripheral blood samples were collected and blood smears were prepared for qualitative and quantitative analysis of the ENAs and the leukocyte profile. Significant responses were observed for both ENAs and leukocyte profile. The responses of ENAs were characterized by an increased incidence of bilobed nuclei in erythroblasts following 1-day exposure to water at 2-4 A degrees C, as well as increased incidence of bilobed nuclei in erythrocytes following 1-day and 6-day exposure to water at 4 A degrees C. In the leukocyte profile, 1-day exposure to water at 2 A degrees C promoted a stress response characterized by diminished levels of circulating lymphocytes (lymphopenia) and elevated levels of circulating monocytes (monocytosis). In conclusion, our results indicate that elevation of water temperature during short periods provoked cellular and physiological stress in N. coriiceps. Furthermore, we conclude that in terms of nuclear alterations, erythrocytes and erythroblasts respond differently to thermal stress. Finally, we conclude that the methodology proposed was efficient in quantifying thermal stress in N. coriiceps and we recommend the utilization of this technique in the biomonitoring of thermal stress in this species and other notothenioids.</t>
  </si>
  <si>
    <t>[Zafalon-Silva, Bruna] Univ Fed Rio Grande do Sul, Programa Posgrad Ciencias Vet, BR-91540000 Porto Alegre, RS, Brazil; [Zebral, Yuri Dornelles; Bianchini, Adalto; da Rosa, Carlos Eduardo; Marins, Luis Fernando; Colares, Elton Pinto; Martinez, Pablo Elias] Univ Fed Rio Grande, Inst Ciencias Biol, Programa Posgrad Ciencias Fisiol, BR-96203900 Rio Grande, RS, Brazil; [Bobrowski, Vera Lucia] Univ Fed Pelotas, Inst Biol, BR-96010970 Capao Do Leao, RS, Brazil; [Robaldo, Ricardo Berteaux] Univ Fed Pelotas, Inst Biol, Programa Posgrad Biol Anim, BR-96010970 Capao Do Leao, RS, Brazil</t>
  </si>
  <si>
    <t>Universidade Federal do Rio Grande do Sul; Universidade Federal do Rio Grande; Universidade Federal de Pelotas; Universidade Federal de Pelotas</t>
  </si>
  <si>
    <t>Zafalon-Silva, B (corresponding author), Univ Fed Rio Grande do Sul, Programa Posgrad Ciencias Vet, BR-91540000 Porto Alegre, RS, Brazil.</t>
  </si>
  <si>
    <t>brunazs@gmail.com</t>
  </si>
  <si>
    <t>da Silva, Bruna Zafalon/X-9602-2018; Rosa, Carlos E/C-9576-2017; Martínez, Pablo Elías/D-4556-2016; Marins, Luis Fernando/L-1333-2014; Martinez, Pablo/M-4092-2019; Zebral, Yuri Dornelles/K-8358-2019; Bianchini, Adalto/C-5384-2013</t>
  </si>
  <si>
    <t>da Silva, Bruna Zafalon/0000-0002-3439-4760; Martinez, Pablo/0000-0003-1585-6162; Zebral, Yuri Dornelles/0000-0002-7418-3140; Marins, Luis/0000-0002-7219-5295; Bianchini, Adalto/0000-0002-7627-7650</t>
  </si>
  <si>
    <t>National Council for Scientific and Technological Development (CNPq, Brasilia, DF, Brazil); Interministerial Commission for Sea Resources (SECIRM)/Brazilian Antarctic Program (PROANTAR)</t>
  </si>
  <si>
    <t>National Council for Scientific and Technological Development (CNPq, Brasilia, DF, Brazil)(Conselho Nacional de Desenvolvimento Cientifico e Tecnologico (CNPQ)); Interministerial Commission for Sea Resources (SECIRM)/Brazilian Antarctic Program (PROANTAR)</t>
  </si>
  <si>
    <t>This study was supported by the National Council for Scientific and Technological Development (CNPq, Brasilia, DF, Brazil) and the Interministerial Commission for Sea Resources (SECIRM)/Brazilian Antarctic Program (PROANTAR). A. Bianchini and R. Robaldo are research fellows from the Brazilian CNPq (Proc. # 304430/2009-9 and 307478/2012-2, respectively).</t>
  </si>
  <si>
    <t>10.1007/s00300-017-2099-y</t>
  </si>
  <si>
    <t>WOS:000410258900005</t>
  </si>
  <si>
    <t>Ainley, DG; Lindke, K; Ballard, G; Lyver, PO; Jennings, S; Toniolo, V; Pennycook, J; Massaro, M; Santora, JA</t>
  </si>
  <si>
    <t>Ainley, David G.; Lindke, Ken; Ballard, Grant; Lyver, Phil O'B.; Jennings, Scott; Toniolo, Viola; Pennycook, Jean; Massaro, Melanie; Santora, Jarrod A.</t>
  </si>
  <si>
    <t>Spatio-temporal occurrence patterns of cetaceans near Ross Island, Antarctica, 2002-2015: implications for food web dynamics</t>
  </si>
  <si>
    <t>Ross Sea; Food web interactions; Mesoscale alteration of food availability; Whales; Penguins</t>
  </si>
  <si>
    <t>WHALES ORCINUS-ORCA; KILLER WHALES; TOP PREDATORS; SEA; ICE; COMPETITION; OCEAN; VARIABILITY; POPULATIONS; ABUNDANCE</t>
  </si>
  <si>
    <t>The Ross Sea pelagic food web is closely coupled, with the foraging among abundant upper level species affecting the foraging of one another. To investigate the roles cetaceans may have in such interspecific interactions in this system, we studied within-season and interannual occurrence patterns of Antarctic minke whales (Balaenoptera bonaerensis) and type-B and type-C killer whales (Orcinus orca) within the southwestern Ross Sea, 2002-2015. Time series analysis summarized daily observations made from 3 shore localities: Capes Crozier, Bird, and Royds distributed around the similar to 120 km periphery of Ross Island. In early mid-November, both species arrived at Crozier, the easternmost point and westward edge of the Ross Sea Polynya marginal ice zone. Subsequently, coinciding with decreased sea ice cover and numbers off Crozier, both species appeared off Bird, then Royds, 80 and 117 km to the west/southwest, respectively. Arrival in either area coincided with SIC decreasing to &lt; 80%, consistent with observations elsewhere. Within-season off Crozier, both species occurred in cycles of multi-day presence followed by absence, perhaps reflecting the spatio-temporal patchiness of prey indicated also by penguin foraging patterns. Within-season off Royds, especially for killer whales, occurrence was even more episodic; type-Bs arrived before type-Cs, and results support previously described resident and transient portions of the type-C population. Combined with results showing that whale arrival leads to food stress among penguins, we suggest that relatively few cetaceans can alter food availability to alter the foraging behavior of other mesopredators, despite primary productivity being the richest in the Southern Ocean.</t>
  </si>
  <si>
    <t>[Ainley, David G.; Lindke, Ken; Pennycook, Jean; Santora, Jarrod A.] HT Harvey &amp; Associates Ecol Consultants, 983 Univ Ave,Bldg D, Los Gatos, CA 95032 USA; [Lindke, Ken] Calif Dept Fish &amp; Wildlife, 5341 Ericson Way, Arcata, CA 95521 USA; [Ballard, Grant; Jennings, Scott; Toniolo, Viola] Point Blue Conservat Sci, 3820 Cypress Dr 11, Petaluma, CA 94954 USA; [Lyver, Phil O'B.] Landcare Res New Zealand, POB 69040, Lincoln 7640, New Zealand; [Jennings, Scott] Cypress Grove Res Ctr, Audubon Canyon Ranch, POB 808, Marshall, CA 94940 USA; [Massaro, Melanie] Charles Sturt Univ, Inst Land Water &amp; Soc, Sch Environm Sci, Albury, NSW 2640, Australia; [Santora, Jarrod A.] Univ Calif Santa Cruz, Ctr Stock Assessment Res, 110 Shaffer Rd, Santa Cruz, CA 95060 USA</t>
  </si>
  <si>
    <t>Landcare Research - New Zealand; Charles Sturt University; University of California System; University of California Santa Cruz</t>
  </si>
  <si>
    <t>Ainley, DG (corresponding author), HT Harvey &amp; Associates Ecol Consultants, 983 Univ Ave,Bldg D, Los Gatos, CA 95032 USA.</t>
  </si>
  <si>
    <t>dainley@penguinscience.com</t>
  </si>
  <si>
    <t>Massaro, Melanie/P-4791-2017</t>
  </si>
  <si>
    <t>Massaro, Melanie/0000-0001-9039-1268</t>
  </si>
  <si>
    <t>U.S. National Science Foundation [OPP 9526865, 9814882, 0125608, ANT 0440643, 0944411, 0944694]; New Zealand's Foundation for Research, Science and Technology [C09527, C09X0510, C01X1226]; NZ Ministry of Science and Innovation [C01X1001]; Landcare Research NZ grants; New Zealand Ministry of Business, Innovation &amp; Employment (MBIE) [C01X1226] Funding Source: New Zealand Ministry of Business, Innovation &amp; Employment (MBIE); Directorate For Geosciences; Office of Polar Programs (OPP) [1543498] Funding Source: National Science Foundation; Office of Polar Programs (OPP); Directorate For Geosciences [1543541] Funding Source: National Science Foundation</t>
  </si>
  <si>
    <t>U.S. National Science Foundation(National Science Foundation (NSF)); New Zealand's Foundation for Research, Science and Technology(New Zealand Foundation for Research, Science and Technology); NZ Ministry of Science and Innovation; Landcare Research NZ grants; New Zealand Ministry of Business, Innovation &amp; Employment (MBIE); Directorate For Geosciences; Office of Polar Programs (OPP)(National Science Foundation (NSF)NSF - Directorate for Geosciences (GEO)); Office of Polar Programs (OPP); Directorate For Geosciences(National Science Foundation (NSF)NSF - Directorate for Geosciences (GEO))</t>
  </si>
  <si>
    <t>Indispensable were the efforts of persons who aided in data collection: K. Barton, L. Blight, J. Blum, M. Coleman, M. Elrod, P. Dilks, K. Drew, K. Dugger, I. Gaffney, D. Gremillet, C. Gjerdrum, M. Hester, D. Hyrenbach, S. Jenouvrier, D. Jongsomjit, P. Kappes, B. Karl, K. Lindquist, V. Marsaudon, A. Matthews, C. McCreedy, R. Orben, V. Patil, (A) Pollard, E. Porzig, V. Ruoppolo, (B) Saenz, A. Schmidt, L. Sheffield, L. Smith, N. Strycker, I. Sutherland, A. Varsani, A. Whitehead, P. Wilson. Logistic support was provided by the U.S. Antarctic Program and Antarctica New Zealand. Financial support was provided by the U.S. National Science Foundation through grants OPP 9526865, 9814882, and 0125608, and ANT 0440643, 0944411 and 0944694; and New Zealand's Foundation for Research, Science and Technology (C09527, C09X0510, C01X1226), NZ Ministry of Science and Innovation (C01X1001) and Landcare Research NZ grants. Helpful comments on the ms were provided by R.L. Pitman, L.T. Ballance, and anonymous reviewers. Point Blue contribution #2119.</t>
  </si>
  <si>
    <t>10.1007/s00300-017-2100-9</t>
  </si>
  <si>
    <t>WOS:000410258900006</t>
  </si>
  <si>
    <t>Bialkowska, AM; Szulczewska, KM; Krysiak, J; Florczak, T; Gromek, E; Kassassir, H; Kur, J; Turkiewicz, M</t>
  </si>
  <si>
    <t>Bialkowska, Aneta M.; Szulczewska, Katarzyna M.; Krysiak, Joanna; Florczak, Tomasz; Gromek, Ewa; Kassassir, Hassan; Kur, Jozef; Turkiewicz, Marianna</t>
  </si>
  <si>
    <t>Genetic and biochemical characterization of yeasts isolated from Antarctic soil samples</t>
  </si>
  <si>
    <t>Antarctic yeasts; Enzymatic potential; Genome size; Ploidy; King George Island</t>
  </si>
  <si>
    <t>SPECIES DEBARYOMYCES-HANSENII; FIELD GEL-ELECTROPHORESIS; BASIDIOMYCETOUS YEAST; PSYCHROPHILIC YEASTS; SP NOV.; DIVERSITY; IDENTIFICATION; MICROORGANISMS; ENVIRONMENTS; POLYMORPHISM</t>
  </si>
  <si>
    <t>The Polish Arctowski Station is situated in the maritime Antarctic on the western shore of Admiralty Bay and encompasses terrestrial habitats which are not permanently covered by ice, in contrast to more than 90% of the island's surface area. Over the past several decades, studies exploring the soils of those habitats have revealed a considerable diversity of bacteria, filamentous fungi, and, to a lesser extent, yeasts; however, characterization of this complex microbiome, especially at the molecular level, is still far from satisfactory. The isolates were assigned to their respective genera and species based on genetic analysis of the D1/D2 and ITS1-5.8S-ITS2 regions of rDNA. In the studied soil samples, the most abundant microorganisms belonged to the genera Cryptococcus, Rhodotorula, and Debaryomyces. Physiological and biochemical analysis of Cryptococcus gilvescens (pro tempore Goffeauzyma gilvescens) and Rhodotorula mucilaginosa showed only a limited level of intraspecies diversity. Cellular DNA content and karyotypes were determined using flow cytometry and pulsed-field gel electrophoresis for several selected strains. For the first time, genome size and electrophoretic karyotypes were investigated in C. gilvescens (pro tem G. gilvescens), Cryptococcus saitoi (pro tem Naganishia globosa), Cryptococcus gastricus (pro tem Goffeauzyma gastrica), and Cryptococcus albidus (pro tem Naganishia albida). In addition, plate tests showed Antarctic yeasts to be a potential source of biotechnologically important enzymes. This study in biodiversity, presenting physiological and molecular characterization of psychrotolerant yeast strains isolated from the soils of western Admiralty Bay, contributes to a better understanding of the microbial ecology of this unique ecosystem.</t>
  </si>
  <si>
    <t>[Bialkowska, Aneta M.; Szulczewska, Katarzyna M.; Krysiak, Joanna; Florczak, Tomasz; Gromek, Ewa; Turkiewicz, Marianna] Lodz Univ Technol, Inst Tech Biochem, Stefanowskiego St 4-10, PL-90924 Lodz, Poland; [Kur, Jozef] Gdansk Univ Technol, Dept Microbiol, Narutowicza St 11-12, PL-80233 Gdansk, Poland; [Kassassir, Hassan] Med Univ Lodz, Dept Haemostasis &amp; Haemostat Disorders, Mazowiecka St 6-8, PL-92215 Lodz, Poland</t>
  </si>
  <si>
    <t>Lodz University of Technology; Fahrenheit Universities; Gdansk University of Technology; Medical University Lodz</t>
  </si>
  <si>
    <t>Bialkowska, AM (corresponding author), Lodz Univ Technol, Inst Tech Biochem, Stefanowskiego St 4-10, PL-90924 Lodz, Poland.</t>
  </si>
  <si>
    <t>aneta.bialkowska@p.lodz.pl</t>
  </si>
  <si>
    <t>Białkowska, Aneta/P-4481-2019</t>
  </si>
  <si>
    <t>Białkowska, Aneta/0000-0001-7319-238X</t>
  </si>
  <si>
    <t>PLATPROT project [PBS1/A9/7/2012]; Polish National Center for Research and Development (NCBiR)</t>
  </si>
  <si>
    <t>PLATPROT project; Polish National Center for Research and Development (NCBiR)</t>
  </si>
  <si>
    <t>The authors are grateful to the hydromicrobiologist Dorota Gorniak, Ph.D. (Department of Microbiology, University of Warmia and Mazury, Olsztyn, Poland) for fruitful discussion concerning sampling sites and for taking the samples. The authors would like to extend their gratitude to the microbiologist Alina Kunicka-Styczynska, Ph.D., D.Sc. (Institute of Fermentation Technology and Microbiology, Lodz University of Technology, Poland) for consultation and assistance in the isolation and characterization of Antarctic yeasts. The presented results were obtained as part of the PLATPROT project (PBS1/A9/7/2012). Financial support was provided by the Polish National Center for Research and Development (NCBiR).</t>
  </si>
  <si>
    <t>10.1007/s00300-017-2102-7</t>
  </si>
  <si>
    <t>WOS:000410258900008</t>
  </si>
  <si>
    <t>Romero, V; Tirira, DG</t>
  </si>
  <si>
    <t>Romero, Victor; Tirira, Diego G.</t>
  </si>
  <si>
    <t>Leucistic Antarctic fur seal (Arctocephalus gazella) at Robert Island, South Shetland Islands, Antarctica, with a note on colour morph nomenclature</t>
  </si>
  <si>
    <t>Leucism; Otariidae; Partial albinism; Piebaldism; Pinnipeds; Polar mammals</t>
  </si>
  <si>
    <t>ELEPHANT SEAL; MARION ISLAND</t>
  </si>
  <si>
    <t>Fur chromatic disorders, which include albinism, leucism and melanism, are rare in mammals. Worldwide these atypical cases are naturally infrequent and poorly reported in the literature, particularly in pinnipeds. The knowledge available about colouration in mammals comes from studies in mice and other domestic mammals. Generally this information is homologous to most mammals. However, adaptive interpretation of atypical colouration patterns in pinnipeds and its biological relevance are uncertain. Hence, this report is indirect evidence of a source of misunderstood genetic variability for this group of carnivores. Here, we present an opportunistic observation of leucism in an Antarctic Fur Seal, Arctocephalus gazella, from Peninsula Coppermine, in Robert Island, South Shetland Islands, Antarctica. A young male with a leucistic dilute phenotype was recorded on February 5th, 2013. This is the first confirmed record of a leucistic fur seal on this island. Additionally, we provide some general comments on the nomenclature used for colour morphs.</t>
  </si>
  <si>
    <t>[Romero, Victor] Univ Simon Bolivar, Dept Estudios Ambientales, Av Principal Sartenejas, Caracas, Venezuela; [Tirira, Diego G.] Pontificia Univ Catolica Ecuador, Museo Zool, Av 12 Octubre &amp; Roca, Quito, Ecuador; [Tirira, Diego G.] Fdn Mamiferos &amp; Conservac, Quito, Ecuador</t>
  </si>
  <si>
    <t>Simon Bolivar University; Pontificia Universidad Catolica del Ecuador</t>
  </si>
  <si>
    <t>Romero, V (corresponding author), Univ Simon Bolivar, Dept Estudios Ambientales, Av Principal Sartenejas, Caracas, Venezuela.</t>
  </si>
  <si>
    <t>vpromero@gmail.com; diego_tirira@yahoo.com</t>
  </si>
  <si>
    <t>Tirira, Diego G./E-3617-2018; Victor, Romero/E-3077-2016; Romero, Victor/GWM-5207-2022</t>
  </si>
  <si>
    <t>Victor, Romero/0000-0003-1875-5906; Tirira, Diego/0000-0002-5344-6175</t>
  </si>
  <si>
    <t>Instituto Antartico Ecuatoriano (INAE)</t>
  </si>
  <si>
    <t>We want to thank Rosa Jijon for taking the picture of the leucistic specimen, and Daniela Cajiao for providing it to us. We also want to thank Santiago F. Burneo for drawing the map included in Fig. 2. We acknowledge the Instituto Antartico Ecuatoriano (INAE) for funding and logistical support for the development of this research. We thank the staff of the Maldonado Base for their support that makes our stay pleasant and fruitful in Antarctica. We also thank Brian McLaren for reviewing and editing the English version.</t>
  </si>
  <si>
    <t>10.1007/s00300-016-2069-9</t>
  </si>
  <si>
    <t>WOS:000410258900015</t>
  </si>
  <si>
    <t>Carpenter-Kling, T; Dyer, BM; Makhado, AB; Pistorius, PA</t>
  </si>
  <si>
    <t>Carpenter-Kling, Tegan; Dyer, Bruce M.; Makhado, Azwainewi B.; Pistorius, Pierre A.</t>
  </si>
  <si>
    <t>Plumage aberrations in Macaroni Penguins Eudyptes chrysolophus at sub-Antarctic Marion Island</t>
  </si>
  <si>
    <t>Eudyptes chrysolophus; Macaroni Penguin; Plumage aberrations; Spheniscidae</t>
  </si>
  <si>
    <t>LEUCISM</t>
  </si>
  <si>
    <t>Plumage aberrations, such as leucism, isabellinism, albinism and melanism, are hereditary and are caused by irregularities in the formation of melanin. This paper presents opportunistic observations of plumage aberrations in 15 Macaroni Penguins Eudyptes chrysolophus at sub-Antarctic Marion Island during 2008-2016. Across five colonies, full and partial leucism, isabellinism and partial melanism were recorded. Plumage aberration in Macaroni Penguins is rarely reported elsewhere in the world. The relatively high number of recorded individuals at Marion Island, in conjunction with limited mixing between global Macaroni Penguin colonies, suggests that a relatively high proportion of the population is entrained with this genetic predisposition.</t>
  </si>
  <si>
    <t>[Carpenter-Kling, Tegan; Makhado, Azwainewi B.; Pistorius, Pierre A.] Nelson Mandela Metropolitan Univ, Dept Zool, Inst African Ornithol, DST NRF Ctr Excellence Percy FitzPatrick, Port Elizabeth, South Africa; [Dyer, Bruce M.; Makhado, Azwainewi B.] Dept Environm Affairs, Branch Oceans &amp; Coasts, Cape Town, South Africa</t>
  </si>
  <si>
    <t>Nelson Mandela University; Department of Environment, Forestry &amp; Fisheries</t>
  </si>
  <si>
    <t>Carpenter-Kling, T (corresponding author), Nelson Mandela Metropolitan Univ, Dept Zool, Inst African Ornithol, DST NRF Ctr Excellence Percy FitzPatrick, Port Elizabeth, South Africa.</t>
  </si>
  <si>
    <t>tegan.carpenterkling@gmail.com</t>
  </si>
  <si>
    <t>Carpenter-Kling, Tegan/0000-0001-8449-2409; Pistorius, Pierre/0000-0001-6561-7069</t>
  </si>
  <si>
    <t>South African National Antarctic Programme; National Research Foundation</t>
  </si>
  <si>
    <t>Research on the Prince Edward Archipelago is made possible through the logistic support of the Department of Environmental Affairs, South Africa and financial support of the South African National Antarctic Programme and National Research Foundation. We thank all fieldworkers that have contributed to this work.</t>
  </si>
  <si>
    <t>10.1007/s00300-017-2080-9</t>
  </si>
  <si>
    <t>WOS:000410258900018</t>
  </si>
  <si>
    <t>Wallis, JR; Smith, AJR; Kawaguchi, S</t>
  </si>
  <si>
    <t>Wallis, Jake R.; Smith, Abigail J. R.; Kawaguchi, So</t>
  </si>
  <si>
    <t>Discovery of gregarine parasitism in some Southern Ocean krill (Euphausiacea) and the salp Salpa thompsoni</t>
  </si>
  <si>
    <t>Thysanoessa macrura; Euphausia triacantha; Euphausia valentini; Indian Ocean</t>
  </si>
  <si>
    <t>ANTARCTIC KRILL</t>
  </si>
  <si>
    <t>The presence and role of endoparasites in pelagic macrozooplankton within the Southern Ocean are poorly understood. Accounts of such parasites are generally restricted to the Antarctic krill species Euphausia superba, with little information on other possible host species. Endoparasitic gregarines were recorded for the first time in the euphausiids Euphausia triacantha and Euphausia valentini and the salp Salpa thompsoni during the Kerguelen Axis Antarctic research cruise (February-March 2016). Gregarines found in E. triacantha and E. valentini were morphologically similar to those previously identified in Antarctic krill, E. superba. Despite overlapping distributions, the smaller euphausiid Thysanoessa macrura possessed a different gregarine endoparasite, indicating parasite-host specificity in Southern Ocean euphausiids. Most notable was the discovery of large gregarines in the stomachs of aggregate individuals of S. thompsoni. The presence of gregarines in these dominant macrozooplankton indicates that endoparasitism within the Southern Ocean is more common than previously thought. Gregarines were observed in guts of krill and salps collected between 57.9 and 63.6A degrees S. The continual presence of gregarines in the species examined indicates that these host-parasite interactions are not isolated events with differing life stages of gregarines within the same intestinal tract of some species indicating periodic infection. The impacts of gregarine parasitism on these newly identified hosts are unclear and require further investigation to understand the spatial and temporal patterns of gregarine-host interactions.</t>
  </si>
  <si>
    <t>[Wallis, Jake R.; Smith, Abigail J. R.] Univ Tasmania, Inst Marine &amp; Antarctic Studies, Private Bag 129, Hobart, Tas 7001, Australia; [Wallis, Jake R.; Kawaguchi, So] Univ Tasmania, Antarctic Climate &amp; Ecosyst Cooperat Res Ctr, Private Bag 80, Hobart, Tas 7001, Australia; [Kawaguchi, So] Australian Antarctic Div, 203 Channel Highway, Kingston, Tas 7050, Australia</t>
  </si>
  <si>
    <t>University of Tasmania; Antarctic Climate &amp; Ecosystems Cooperative Research Centre (ACE CRC); University of Tasmania; Australian Antarctic Division</t>
  </si>
  <si>
    <t>Wallis, JR (corresponding author), Univ Tasmania, Inst Marine &amp; Antarctic Studies, Private Bag 129, Hobart, Tas 7001, Australia.;Wallis, JR (corresponding author), Univ Tasmania, Antarctic Climate &amp; Ecosyst Cooperat Res Ctr, Private Bag 80, Hobart, Tas 7001, Australia.</t>
  </si>
  <si>
    <t>jrwallis@utas.edu.au</t>
  </si>
  <si>
    <t>Kawaguchi, So/N-1795-2017</t>
  </si>
  <si>
    <t>Kawaguchi, So/0000-0002-2042-5095; Smith, Abigail/0000-0003-4408-2290; Wallis, Jake/0000-0003-2932-612X</t>
  </si>
  <si>
    <t>AAS [4331, 4344, 4037]; Antarctic Climate and Ecosystems Cooperative Research Centre (ACE CRC)</t>
  </si>
  <si>
    <t>AAS; Antarctic Climate and Ecosystems Cooperative Research Centre (ACE CRC)(Australian GovernmentDepartment of Industry, Innovation and ScienceCooperative Research Centres (CRC) Programme)</t>
  </si>
  <si>
    <t>We thank the captain and crew of the RV Aurora Australis and research expeditioners for their assistance during the voyage. We are especially thankful for the assistance and expertise provided by Paige Kelly. This project was supported by AAS Grants 4331, 4344, and 4037. This research was supported by the Antarctic Climate and Ecosystems Cooperative Research Centre (ACE CRC).</t>
  </si>
  <si>
    <t>10.1007/s00300-017-2089-0</t>
  </si>
  <si>
    <t>WOS:000410258900019</t>
  </si>
  <si>
    <t>Finger, JVG; Aver, GF; Koch, NM; Petry, MV</t>
  </si>
  <si>
    <t>Grohmann Finger, Julia Victiria; Aver, Gustavo Francisco; Koch, Natalia Mossmann; Petry, Maria Virginia</t>
  </si>
  <si>
    <t>A rare melanistic chinstrap penguin Pygoscelis antarcticus at Penguin Island, Maritime Antarctica</t>
  </si>
  <si>
    <t>Eumelanism; Pygoscelis antarcticus; Color aberration; Color abnormalities</t>
  </si>
  <si>
    <t>COLOR</t>
  </si>
  <si>
    <t>A eumelanistic chinstrap penguin Pygoscelis antarcticus was registered at Penguin Island, Maritime Antarctica during the 2014/2015 austral summer. Melanism mutations are quite rare for this species, and even though former informal records have been made, as far as we know, this is the first official report of eumelanism in chinstrap penguins.</t>
  </si>
  <si>
    <t>[Grohmann Finger, Julia Victiria; Aver, Gustavo Francisco; Petry, Maria Virginia] Univ Vale Rio dos Sinos, Lab Ornitol &amp; Animais Marinhos, Av Unisinos 950,Cristo Rei 93, BR-022000 Sao Leopoldo, RS, Brazil; [Petry, Maria Virginia] INCT APA Natl Inst Sci &amp; Technol Antarctic Enviro, Rio De Janeiro, Brazil; [Koch, Natalia Mossmann] Univ Fed Rio Grande do Sul, Inst Biociencias, Dept Ecol, Porto Alegre, RS, Brazil</t>
  </si>
  <si>
    <t>Universidade do Vale do Rio dos Sinos (Unisinos); Universidade Federal do Rio Grande do Sul</t>
  </si>
  <si>
    <t>Finger, JVG (corresponding author), Univ Vale Rio dos Sinos, Lab Ornitol &amp; Animais Marinhos, Av Unisinos 950,Cristo Rei 93, BR-022000 Sao Leopoldo, RS, Brazil.</t>
  </si>
  <si>
    <t>victoriafinger@hotmail.com</t>
  </si>
  <si>
    <t>Petry, Maria Virginia/AAG-5333-2021; Grohmann Finger, Júlia Victória/AAP-4653-2020; Koch, Natalia M./L-6274-2018; Koch, Natalia/T-3364-2019; petry, maria/K-8410-2013</t>
  </si>
  <si>
    <t>Grohmann Finger, Júlia Victória/0000-0002-0773-7502; Koch, Natalia/0000-0001-6958-4495; Aver, Gustavo/0000-0003-1188-3067; petry, maria/0000-0002-7870-7394</t>
  </si>
  <si>
    <t>National Institute of Science and Technology Antarctic of Environmental Research (INCT-APA); National Council for Research and Development (CNPq) [574018/2008-5]; Carlos Chagas Research Support Foundation of the State of Rio de Janeiro (FAPERJ) [E-16/170.023/2008]</t>
  </si>
  <si>
    <t>National Institute of Science and Technology Antarctic of Environmental Research (INCT-APA); National Council for Research and Development (CNPq)(Conselho Nacional de Desenvolvimento Cientifico e Tecnologico (CNPQ)); Carlos Chagas Research Support Foundation of the State of Rio de Janeiro (FAPERJ)(Fundacao Carlos Chagas Filho de Amparo a Pesquisa do Estado do Rio De Janeiro (FAPERJ))</t>
  </si>
  <si>
    <t>The authors are grateful to the National Institute of Science and Technology Antarctic of Environmental Research (INCT-APA), to the National Council for Research and Development (CNPq process: No. 574018/2008-5) and to the Carlos Chagas Research Support Foundation of the State of Rio de Janeiro (FAPERJ No. E-16/170.023/2008) for financial support.</t>
  </si>
  <si>
    <t>10.1007/s00300-017-2098-z</t>
  </si>
  <si>
    <t>WOS:000410258900020</t>
  </si>
  <si>
    <t>Koomyart, I; Nagamizu, H; Khuwijitjaru, P; Kobayashi, T; Shiga, H; Yoshii, H; Adachi, S</t>
  </si>
  <si>
    <t>Koomyart, Intira; Nagamizu, Hironori; Khuwijitjaru, Pramote; Kobayashi, Takashi; Shiga, Hirokazu; Yoshii, Hidefumi; Adachi, Shuji</t>
  </si>
  <si>
    <t>Astaxanthin stability and color change of krill during subcritical water treatment</t>
  </si>
  <si>
    <t>JOURNAL OF FOOD SCIENCE AND TECHNOLOGY-MYSORE</t>
  </si>
  <si>
    <t>Astaxanthin; Pigment; Subcritical water; Color; Stability</t>
  </si>
  <si>
    <t>SHRIMP-LIKE FLAVOR; HAEMATOCOCCUS-PLUVIALIS; EUPHAUSIA-SUPERBA; ANTARCTIC KRILL; ISADA KRILL; FATTY-ACIDS; ESTERS; CAROTENOIDS; EXTRACTION; STORAGE</t>
  </si>
  <si>
    <t>Pacific krill (Euphausia pacifica) contains high amounts of astaxanthin, a carotenoid pigment with strong antioxidative activities. In this study, the effects of subcritical water temperatures (100-180 degrees C) and times (0-10 min) on color changes (L*, a*, and b*) and astaxanthin degradation in Pacific krill were investigated. In addition, an aqueous solution of pure astaxanthin and that of crude astaxanthin from Pacific krill, both at a concentration of 5 mg/L, were subjected to treatment under subcritical water conditions using a flow-type reactor to compare the degradation of free astaxanthin and astaxanthin fatty acid esters. To compare the results of the different treatment conditions on the properties of astaxanthin, the severity factor (log R-0) was calculated, which ranged from 0.38 to 3.52. The extractability of astaxanthin enhanced when the subcritical water treatment was carried out at log R-0 values of 2.00-2.44. In contrast, astaxanthin underwent 50% degradation at log R-0 &gt; 2.44. The changes in the a* values correlated well with the astaxanthin content in the treated krill, while the b* and L* values might relate to the browning components forming owing to Maillard reaction. The results show that free astaxanthin was less stable than crude astaxanthin under subcritical water treatment.</t>
  </si>
  <si>
    <t>[Koomyart, Intira; Khuwijitjaru, Pramote] Silpakorn Univ, Dept Food Technol, Fac Engn &amp; Ind Technol, Nakhon Pathom 73000, Thailand; [Nagamizu, Hironori; Kobayashi, Takashi] Kyoto Univ, Grad Sch Agr, Div Food Sci &amp; Biotechnol, Sakyo Ku, Kyoto 6068502, Japan; [Shiga, Hirokazu; Adachi, Shuji] Kyoto Gakuen Univ, Fac Bioenvironm Sci, Dept Agr &amp; Food Technol, 1-1 Nanjo Otani, Kameoka, Kyoto 6218555, Japan; [Yoshii, Hidefumi] Kagawa Univ, Dept Appl Biol Sci, Fac Agr, Miki, Kagawa 7610795, Japan</t>
  </si>
  <si>
    <t>Silpakorn University; Kyoto University; Kagawa University</t>
  </si>
  <si>
    <t>Adachi, S (corresponding author), Kyoto Gakuen Univ, Fac Bioenvironm Sci, Dept Agr &amp; Food Technol, 1-1 Nanjo Otani, Kameoka, Kyoto 6218555, Japan.</t>
  </si>
  <si>
    <t>adachi-s@kyotogakuen.ac.jp</t>
  </si>
  <si>
    <t>Khuwijitjaru, Pramote/B-8831-2008</t>
  </si>
  <si>
    <t>Khuwijitjaru, Pramote/0000-0002-9257-1075</t>
  </si>
  <si>
    <t>Japan Science and Technology Agency (JST)</t>
  </si>
  <si>
    <t>Japan Science and Technology Agency (JST)(Japan Science &amp; Technology Agency (JST))</t>
  </si>
  <si>
    <t>This work was supported by Japan Science and Technology Agency (JST) under the Project The Creation of Innovative Technology for Marine Products Industry'' of the Program for Revitalization Promotion.</t>
  </si>
  <si>
    <t>SPRINGER INDIA</t>
  </si>
  <si>
    <t>7TH FLOOR, VIJAYA BUILDING, 17, BARAKHAMBA ROAD, NEW DELHI, 110 001, INDIA</t>
  </si>
  <si>
    <t>0022-1155</t>
  </si>
  <si>
    <t>0975-8402</t>
  </si>
  <si>
    <t>J FOOD SCI TECH MYS</t>
  </si>
  <si>
    <t>J. Food Sci. Technol.-Mysore</t>
  </si>
  <si>
    <t>10.1007/s13197-017-2742-1</t>
  </si>
  <si>
    <t>FH0SU</t>
  </si>
  <si>
    <t>WOS:000410851700008</t>
  </si>
  <si>
    <t>Rajani Kanta, M; Babula, J; Anilkumar, NP; Ravidas Krishna, N; Bhaskar, PV; Melena, AS</t>
  </si>
  <si>
    <t>Rajani Kanta, Mishra; Babula, Jena; Anilkumar, Narayana Pillai; Ravidas Krishna, Naik; Venkateswaran Bhaskar, Parli; Melena, Soares A.</t>
  </si>
  <si>
    <t>Variability of chlorophyll-a and diatoms in the frontal ecosystem of Indian Ocean sector of the Southern Ocean</t>
  </si>
  <si>
    <t>POLISH POLAR RESEARCH</t>
  </si>
  <si>
    <t>Antarctic; Southern Ocean; chlorophyll-a; diatoms</t>
  </si>
  <si>
    <t>ANTARCTIC POLAR FRONT; COMMUNITY STRUCTURE; SURFACE WATERS; PHYTOPLANKTON; IRON; PATTERNS; DYNAMICS; SUMMER; SILICA; BLOOM</t>
  </si>
  <si>
    <t>Phytoplankton composition plays a major role in biogeochemical cycles of the ocean. The intensity of carbon fixation and export is strongly dependent on the phytoplankton community. Yet, the contribution of different types of phytoplankton to the total production on various communities is still poorly understood in the Indian Ocean sector of Southern Ocean (SO). Therefore the variability of chlorophyll-a (Chl-a) and diatoms in the frontal ecosystems of the Indian sector of SO have been investigated along with the sea surface temperature (SST), sea surface wind (SSW), photosynthetically active radiation (PAR), and nutrients datasets for the period of 1998-2012. Combined analysis of in-situ, model and satellite observations indicate that the variability of Chl-a and diatoms were primarily influenced by light and wind. The Chl-a was higher at the sub-Antarctic front (SAF) followed by the sub-tropical front (STF) and the polar front (PF). The diatom concentration was higher at the SAF followed by the PF and STF. Maximum concentration of Chl-a and diatoms commonly observed at the SAF region are probably due to the moderate PAR, SST and wind. Dominance of diatoms at the PF may be attributed to their adaptability for low light conditions. The results from this study in the frontal ecosystems would help to understand the biogeochemical cycle of the Indian sector of the SO.</t>
  </si>
  <si>
    <t>[Rajani Kanta, Mishra; Babula, Jena; Anilkumar, Narayana Pillai; Ravidas Krishna, Naik; Venkateswaran Bhaskar, Parli; Melena, Soares A.] Minist Earth Sci, Natl Ctr Antarctic &amp; Ocean Res, Vasco Da Gama, Goa, India</t>
  </si>
  <si>
    <t>Rajani Kanta, M (corresponding author), Minist Earth Sci, Natl Ctr Antarctic &amp; Ocean Res, Vasco Da Gama, Goa, India.</t>
  </si>
  <si>
    <t>Parli, Bhaskar/Y-4916-2019</t>
  </si>
  <si>
    <t>Parli, Bhaskar/0000-0002-0654-7520</t>
  </si>
  <si>
    <t>ESSO-MoES</t>
  </si>
  <si>
    <t>We greatly appreciate the Director of National Centre for Antarctic and Ocean Research (NCAOR) for his support and encouragement. Financial support from ESSO-MoES Project, SO biogeochemical studies is gratefully acknowledged. We thank the NASA-MODIS Project and NASA Ocean Biogeochemical Model for providing the satellite data, chlorophyll, PAR, SST, SSW for computational support and in-situ collection of nutrients, and phytoplankton sample by colleagues on board and the crew of the ORV Sagar Nidhi for their skilled cooperation and assistance during SOE-6 (2012) expedition. We would also like to thank two anonymous reviewers and the editor who had a great input to revise the manuscript and to bring into the current shape.</t>
  </si>
  <si>
    <t>POLSKA AKAD NAUK, POLISH ACAD SCIENCES</t>
  </si>
  <si>
    <t>WARSZAWA</t>
  </si>
  <si>
    <t>PL DEFILAD 1, WARSZAWA, 00-901, POLAND</t>
  </si>
  <si>
    <t>0138-0338</t>
  </si>
  <si>
    <t>2081-8262</t>
  </si>
  <si>
    <t>POL POLAR RES</t>
  </si>
  <si>
    <t>Pol. Polar. Res.</t>
  </si>
  <si>
    <t>10.1515/popore-2017-0014</t>
  </si>
  <si>
    <t>FH0LW</t>
  </si>
  <si>
    <t>WOS:000410832900006</t>
  </si>
  <si>
    <t>Kostadinova, N; Tosi, S; Spassova, B; Angelova, M</t>
  </si>
  <si>
    <t>Kostadinova, Nedelina; Tosi, Solveig; Spassova, Boryana; Angelova, Maria</t>
  </si>
  <si>
    <t>Comparison of the oxidative stress response of two Antarctic fungi to different growth temperatures</t>
  </si>
  <si>
    <t>Antarctic; Livingston Island; fungi; physiological cell response; trehalose; glycogen; antioxidant enzymes</t>
  </si>
  <si>
    <t>SUPEROXIDE-DISMUTASE; SACCHAROMYCES-CEREVISIAE; ANTIOXIDANT RESPONSE; COLD STRESS; DIVERSITY; COMMUNITIES; GLUCOSE; ENZYMES; ADAPTATION; METABOLISM</t>
  </si>
  <si>
    <t>Two fungal strains, isolated from Livingston Island, Antarctica (Penicillium commune 161, psychrotolerant and Aspergillus glaucus 363, mesophilic) were investigated for a relationship between growth temperature and oxidative stress response. Cultivation at temperatures below - (10 and 15 degrees C and 10 and 20 degrees C for P. commune and A. glaucus, respectively) and above (25 degrees C and 30 degrees C for P. commune and A. glaucus, respectively) the optimum caused significant difference in growth and glucose uptake in comparison with the control cultures. Enhanced level of reserve carbohydrates (glycogen and trehalose) was determined under cultivation at different temperatures from the optimal one. While the highest content of trehalose was found in the exponential phase, glycogen accumulation was observed in the stationary phase when growth conditions deteriorate. The growth at temperature below- and above-optimum caused strain-dependent changes in two antioxidant enzymes superoxide dismutase (SOD) and catalase (CAT). While SOD activity in the psychrotolerant strain increases with decreasing of growth temperature, the mesophilic A. glaucus demonstrated marked reduction of it at below- and above-optimal temperature. Decreasing trend of CAT activity was observed in both strains below the optimal temperature indicating a lack of antioxidant protection from this enzyme under the cold stress conditions.</t>
  </si>
  <si>
    <t>[Kostadinova, Nedelina; Spassova, Boryana; Angelova, Maria] Bulgarian Acad Sci, Stephan Angeloff Inst Microbiol, Academician G Bonchev 26, BU-1113 Sofia, Bulgaria; [Tosi, Solveig] Univ Pavia, Dept Earth &amp; Environm Sci, Via S Epifanio 14, I-27100 Pavia, Italy</t>
  </si>
  <si>
    <t>Bulgarian Academy of Sciences; Stephan Angeloff Institute of Microbiology, Bulgarian Academy of Sciences; University of Pavia</t>
  </si>
  <si>
    <t>Angelova, M (corresponding author), Bulgarian Acad Sci, Stephan Angeloff Inst Microbiol, Academician G Bonchev 26, BU-1113 Sofia, Bulgaria.</t>
  </si>
  <si>
    <t>mariange@microbio.bas.bg</t>
  </si>
  <si>
    <t>Tosi, Solveig/AAC-9482-2019; Kostadinova, Nedelina/AAW-4852-2021</t>
  </si>
  <si>
    <t>Tosi, Solveig/0000-0002-6769-6984;</t>
  </si>
  <si>
    <t>Bulgarian Scientific Fund [VU-B-205, DO02-172]</t>
  </si>
  <si>
    <t>Bulgarian Scientific Fund</t>
  </si>
  <si>
    <t>This work was supported by the Bulgarian Scientific Fund (grants VU-B-205 and DO02-172), which is greatly acknowledged.</t>
  </si>
  <si>
    <t>10.1515/popore-2017-0015</t>
  </si>
  <si>
    <t>WOS:000410832900007</t>
  </si>
  <si>
    <t>Zemko, K; Pabis, K; Sicinski, J; Blazewicz, M</t>
  </si>
  <si>
    <t>Zemko, Karol; Pabis, Krzysztof; Sicinski, Jacek; Blazewicz, Magdalena</t>
  </si>
  <si>
    <t>New records of isopod species of the Antarctic Specially Managed Area No. 1, Admiralty Bay, South Shetland Islands</t>
  </si>
  <si>
    <t>Antarctic; King George Island; Crustacea; glacial fjords; ASMA; biodiversity</t>
  </si>
  <si>
    <t>KING GEORGE ISLAND; DEEP-SEA; CLIMATE-CHANGE; ASELLOTA; CRUSTACEA; BIODIVERSITY; ABUNDANCE; GREAT; GENUS; TAXA</t>
  </si>
  <si>
    <t>Admiralty Bay (King George Island) is an Antarctic Specially Managed Area and one the most thoroughly studied small-scale marine basins in the Southern Ocean. Our study provides new data on the isopod fauna in this glacially affected fjord. Twelve species of isopods were recorded in this basin for the first time. Six of them were found for the first time in the region of the South Shetland Islands. The highest number of species new for Admiralty Bay were found in the families Munnopsidae (4 species) and Munnidae (3 species).</t>
  </si>
  <si>
    <t>[Zemko, Karol; Pabis, Krzysztof; Sicinski, Jacek; Blazewicz, Magdalena] Univ Lodz, Lab Polar Biol &amp; Oceanobiol, Banacha 12-16, PL-90237 Lodz, Poland</t>
  </si>
  <si>
    <t>University of Lodz</t>
  </si>
  <si>
    <t>Pabis, K (corresponding author), Univ Lodz, Lab Polar Biol &amp; Oceanobiol, Banacha 12-16, PL-90237 Lodz, Poland.</t>
  </si>
  <si>
    <t>cataclysta@wp.pl</t>
  </si>
  <si>
    <t>Błażewicz, Magdalena/J-5175-2017; Sicinski, Jacek/P-2033-2017; Pabis, Krzysztof/O-8628-2017</t>
  </si>
  <si>
    <t>Sicinski, Jacek/0000-0002-5235-3188; Pabis, Krzysztof/0000-0002-9625-3453; Blazewicz, Magdalena/0000-0002-4753-3424</t>
  </si>
  <si>
    <t>Polish Ministry of Science and Higher Education [51/N-IPY/2007/0]; University of Lodz; Census of Antarctic Marine Life project</t>
  </si>
  <si>
    <t>Polish Ministry of Science and Higher Education(Ministry of Science and Higher Education, Poland); University of Lodz; Census of Antarctic Marine Life project</t>
  </si>
  <si>
    <t>The study was supported by a grant of the Polish Ministry of Science and Higher Education No 51/N-IPY/2007/0 as well as the Census of Antarctic Marine Life project. Karol Zemko and Krzysztof Pabis were also supported by University of Lodz internal funds. We are very grateful to three reviewers for all important suggestions. Thanks are also due to David Drumm who kindly corrected language through the manuscript.</t>
  </si>
  <si>
    <t>POLISH ACAD SCIENCES</t>
  </si>
  <si>
    <t>PL DEFILAD 1, WARSZAWA, 00000, POLAND</t>
  </si>
  <si>
    <t>10.1515/popore-2017-0017</t>
  </si>
  <si>
    <t>WOS:000410832900008</t>
  </si>
  <si>
    <t>Guerrero, LD; Vikram, S; Makhalanyane, TP; Cowan, DA</t>
  </si>
  <si>
    <t>Guerrero, Leandro D.; Vikram, Surendra; Makhalanyane, Thulani P.; Cowan, Don A.</t>
  </si>
  <si>
    <t>Evidence of microbial rhodopsins in Antarctic Dry Valley edaphic systems</t>
  </si>
  <si>
    <t>ENVIRONMENTAL MICROBIOLOGY</t>
  </si>
  <si>
    <t>RIBOSOMAL-RNA; ENHANCED GROWTH; PROTEORHODOPSIN; LIGHT; BACTERIAL; COMMUNITIES; IDENTIFICATION; PHOTOTROPHY; ALIGNMENT; SOFTWARE</t>
  </si>
  <si>
    <t>Microorganisms able to synthesize rhodopsins have the capacity to translocate ions through their membranes, using solar energy to generate a proton motive force. Rhodopsins are the most abundant phototrophic proteins in oceanic surface waters and are key constituents in marine bacterial ecology. However, it remains unclear how rhodopsins are used in most microorganisms. Despite their abundance in marine and fresh-water systems, the presence of functional rhodopsin systems in edaphic habitats has never been reported. Here, we show the presence of several new putative H+, Na+ and Cl+ pumping rhodopsins identified by metagenomic analysis of Antarctic desert hypolithic communities. Reconstruction of two Proteobacteria genomes harboring xanthorhodopsin-like proteins and one Bacteroidetes genome with a Na-pumping-like rhodopsin indicated that these bacteria were aerobic heterotrophs possessing the apparent capacity for the functional expression of rhodopsins. The existence of these protein systems in hypolithic bacteria expands the known role of rhodopsins to include terrestrial environments and suggests a possible predominant function as heterotrophic energy supply proteins, a feasible microbial adaptation to the harsh conditions prevalent in Antarctic edaphic systems.</t>
  </si>
  <si>
    <t>[Guerrero, Leandro D.; Vikram, Surendra; Makhalanyane, Thulani P.; Cowan, Don A.] Univ Pretoria, Dept Genet, Ctr Microbial Ecol &amp; Genom, Pretoria, South Africa</t>
  </si>
  <si>
    <t>University of Pretoria</t>
  </si>
  <si>
    <t>Cowan, DA (corresponding author), Univ Pretoria, Dept Genet, Ctr Microbial Ecol &amp; Genom, Pretoria, South Africa.</t>
  </si>
  <si>
    <t>don.cowan@up.ac.za</t>
  </si>
  <si>
    <t>Cowan, Donald A/E-3991-2012; Makhalanyane, Thulani P./C-6815-2012</t>
  </si>
  <si>
    <t>Cowan, Donald A/0000-0001-8059-861X; Makhalanyane, Thulani P./0000-0002-8173-1678; Vikram, Surendra/0000-0002-4721-2890</t>
  </si>
  <si>
    <t>South African National Research Foundation SANAP [93074]; Blue Skies [81693]; University of Pretoria Genomics Research Institute; South African National Research Foundation; Claude Leon Foundation</t>
  </si>
  <si>
    <t>South African National Research Foundation SANAP; Blue Skies; University of Pretoria Genomics Research Institute; South African National Research Foundation(National Research Foundation - South Africa); Claude Leon Foundation</t>
  </si>
  <si>
    <t>We gratefully acknowledge financial support from the South African National Research Foundation SANAP (93074) and Blue Skies (81693) funding programs and from the University of Pretoria Genomics Research Institute. The South African Centre for High Performance Computing and the University of Pretoria Centre for Bioinformatics and Computational Biology, for computer cluster access and technical support. L.D.G. was supported by the South African National Research Foundation. S.V. was funded by the Claude Leon Foundation postdoctoral Fellowship program. The authors declare no conflict of interest.</t>
  </si>
  <si>
    <t>1462-2912</t>
  </si>
  <si>
    <t>1462-2920</t>
  </si>
  <si>
    <t>ENVIRON MICROBIOL</t>
  </si>
  <si>
    <t>Environ. Microbiol.</t>
  </si>
  <si>
    <t>10.1111/1462-2920.13877</t>
  </si>
  <si>
    <t>FG8EG</t>
  </si>
  <si>
    <t>WOS:000410660900028</t>
  </si>
  <si>
    <t>Venkataramana, V; Sarma, VVSS; Reddy, AM</t>
  </si>
  <si>
    <t>Venkataramana, V.; Sarma, V. V. S. S.; Reddy, Alavala Matta</t>
  </si>
  <si>
    <t>River discharge as a major driving force on spatial and temporal variations in zooplankton biomass and community structure in the Godavari estuary India</t>
  </si>
  <si>
    <t>ENVIRONMENTAL MONITORING AND ASSESSMENT</t>
  </si>
  <si>
    <t>River discharge; Nutrients; Chlorophyll-a; Zooplankton; Godavari estuary</t>
  </si>
  <si>
    <t>TOP-DOWN CONTROL; ORGANIC-CARBON; PHYTOPLANKTON BIOMASS; ASPLANCHNA-PRIODONTA; ANNUAL VARIABILITY; TROPICAL ESTUARY; COASTAL ZONE; BOTTOM-UP; ECOSYSTEMS; PLANKTON</t>
  </si>
  <si>
    <t>Variability in horizontal zooplankton biomass distribution was investigated over 13 months in the Godavari estuary, along with physical (river discharge, temperature, salinity), chemical (nutrients, particulate organic matter), biological (phytoplankton biomass), and geological (suspended matter) properties to examine the influencing factors on their spatial and temporal variabilities. The entire estuary was filled with freshwater during peak discharge period and salinity near zero, increased to similar to 34 psu during dry period with relatively high nutrient levels during former than the latter period. Due to low flushing time (&lt; 1 day) and high suspended load (&gt; 500 mg L-1) during peak discharge period, picoplankton (cyanophyceae) contributed significantly to the phytoplankton biomass (Chl-a) whereas microplankton and nanoplankton (bacillariophyceae, and chlorophyceae) during moderate and mostly microplankton during dry period. Zooplankton biomass was the lowest during peak discharge period and increased during moderate followed by dry period. The zooplankton abundance was controlled by dead organic matter during peak discharge period, while both phytoplankton biomass and dead organic matter during moderate discharge and mostly phytoplankton biomass during dry period. This study suggests that significant modification of physico-chemical properties by river discharge led to changes in phytoplankton composition and dead organic matter concentrations that alters biomass, abundance, and composition of zooplankton in the Godavari estuary.</t>
  </si>
  <si>
    <t>[Venkataramana, V.; Sarma, V. V. S. S.] Natl Inst Oceanog, Council Sci &amp; Ind Res, Reg Ctr, 176 Lawsons Bay Colony, Visakhapatnam, Andhra Pradesh, India; [Reddy, Alavala Matta] Adikavi Nannaya Univ, Dept Zool, Rajamahendravaram 533296, Andhraprades, India; [Venkataramana, V.] Earth Syst Sci Org, Natl Ctr Antarctic &amp; Ocean Res, Minist Earth Sci, Vasco Da Gama 403804, Goa, India</t>
  </si>
  <si>
    <t>Council of Scientific &amp; Industrial Research (CSIR) - India; CSIR - National Institute of Oceanography (NIO); Ministry of Earth Sciences (MoES) - India; National Centre for Polar and Ocean Research (NCPOR); Earth System Science Organization (ESSO)</t>
  </si>
  <si>
    <t>Venkataramana, V (corresponding author), Natl Inst Oceanog, Council Sci &amp; Ind Res, Reg Ctr, 176 Lawsons Bay Colony, Visakhapatnam, Andhra Pradesh, India.;Venkataramana, V (corresponding author), Earth Syst Sci Org, Natl Ctr Antarctic &amp; Ocean Res, Minist Earth Sci, Vasco Da Gama 403804, Goa, India.</t>
  </si>
  <si>
    <t>venkat@ncaor.gov.in</t>
  </si>
  <si>
    <t>Sarma, VVSS/B-5087-2008; Alavala, Matta Reddy/K-8125-2012</t>
  </si>
  <si>
    <t>Venkataramana, Vankara/0000-0002-3925-015X; Matta Reddy, Alavala/0000-0002-6955-2650; Sarma, V.V.S.S./0000-0002-0227-473X</t>
  </si>
  <si>
    <t>Council of Scientific and Industrial Research (CSIR) [SIP 1308]</t>
  </si>
  <si>
    <t>Council of Scientific and Industrial Research (CSIR)(Council of Scientific &amp; Industrial Research (CSIR) - India)</t>
  </si>
  <si>
    <t>We would like to thank the Director, NIO, Goa, Dr. V.S.N. Murthy, Scientist-in-Charge of the Regional Centre and Dr. M. Dileep Kumar, DU Leader for encouragement and support. This work is a part of the Supra Institutional Project (SIP 1308) supported by Council of Scientific and Industrial Research (CSIR). We would like to extend our sincere appreciation to Dr. Bharathi, for her help during sampling period. We appreciated the help of boat personnel for their support during sampling. This is NIO contribution number 6089.</t>
  </si>
  <si>
    <t>0167-6369</t>
  </si>
  <si>
    <t>1573-2959</t>
  </si>
  <si>
    <t>ENVIRON MONIT ASSESS</t>
  </si>
  <si>
    <t>Environ. Monit. Assess.</t>
  </si>
  <si>
    <t>10.1007/s10661-017-6170-5</t>
  </si>
  <si>
    <t>FG6IE</t>
  </si>
  <si>
    <t>WOS:000410476500049</t>
  </si>
  <si>
    <t>Sushchevskaya, NM; Belyatsky, BV; Dubinin, EP; Levchenko, OV</t>
  </si>
  <si>
    <t>Sushchevskaya, N. M.; Belyatsky, B. V.; Dubinin, E. P.; Levchenko, O. V.</t>
  </si>
  <si>
    <t>Evolution of the Kerguelen Plume and Its Impact upon the Continental and Oceanic Magmatism of East Antarctica</t>
  </si>
  <si>
    <t>GEOCHEMISTRY INTERNATIONAL</t>
  </si>
  <si>
    <t>mantle plume; plume magmatism; Kerguelen Plateau; NER; Jetty Oasis; lamproites</t>
  </si>
  <si>
    <t>ALKALINE-ULTRABASIC ROCKS; SOUTHEAST INDIAN-OCEAN; MANTLE PLUME; GEOCHEMICAL CHARACTERISTICS; GONDWANA BREAKUP; BROKEN RIDGE; BASALTS; PLATEAU; LITHOSPHERE; ARCHIPELAGO</t>
  </si>
  <si>
    <t>Petrological-geochemical study showed that the alkaline-ultramafics of the Jetty Oasis (rift zone of the Lambert glacier, East Antarctica) are similar in the age (117-110 Ma) and geochemistry to the ultrapotassic alkali basalts of eastern India (Jharia and Raniganj intrusions). Alkaline magmatism in India and Antarctica is related to the activity of the Kerguelen plume, which significantly affected the evolution of the entire eastern Indian Ocean, in particular, determined geodynamic peculiarities of the ocean opening (existence of non-spreading blocks, fragments of the Gondwana lithosphere in oceanic areas) and geochemical characteristics of erupted tholeiitic magmas. Enriched magma sources related to the Kerguelen plume were formed by melting of ancient Gondwana-derived continental fragments, which experienced multiple transformations during its evolution up to the formation of metasomatized mantle under the impact of the Kerguelen plume on the Antarctic and India margins.</t>
  </si>
  <si>
    <t>[Sushchevskaya, N. M.] Russian Acad Sci, Vernadsky Inst Geochem &amp; Analyt Chem, Ul Kosygina 19, Moscow 119991, Russia; [Belyatsky, B. V.] Karpinskii All Russia Res Inst Geol, Ctr Isotop Res, Srednii Prosp 74, St Petersburg 199106, Russia; [Dubinin, E. P.] Moscow MV Lomonosov State Univ, Geol Fac, Moscow 119899, Russia; [Levchenko, O. V.] Russian Acad Sci, Shirshov Inst Oceanol, Nakhimovskii Pr 36, Moscow 117997, Russia</t>
  </si>
  <si>
    <t>Russian Academy of Sciences; Vernadsky Institute of Geochemistry &amp; Analytical Chemistry; A.P. Karpinsky Russian Geological Research Institute (VSEGEI); Lomonosov Moscow State University; Russian Academy of Sciences; Shirshov Institute of Oceanology</t>
  </si>
  <si>
    <t>Sushchevskaya, NM (corresponding author), Russian Acad Sci, Vernadsky Inst Geochem &amp; Analyt Chem, Ul Kosygina 19, Moscow 119991, Russia.</t>
  </si>
  <si>
    <t>nadyas@geokhi.ru; bbelyatsky@mail.ru; edubinin08@rambler.ru; olevses@gmail.com</t>
  </si>
  <si>
    <t>Belyatsky, Boris/V-6644-2019</t>
  </si>
  <si>
    <t>Belyatsky, Boris/0000-0002-4022-9366</t>
  </si>
  <si>
    <t>Russian Foundation for Basic Research [15-95-2086, 14-05-00395, 15-05-03486]</t>
  </si>
  <si>
    <t>Russian Foundation for Basic Research(Russian Foundation for Basic Research (RFBR)Spanish Government)</t>
  </si>
  <si>
    <t>This work was supported by the Russian Foundation for Basic Research (project nos. 15-95-2086, 14-05-00395, 15-05-03486).</t>
  </si>
  <si>
    <t>0016-7029</t>
  </si>
  <si>
    <t>1556-1968</t>
  </si>
  <si>
    <t>GEOCHEM INT+</t>
  </si>
  <si>
    <t>Geochem. Int.</t>
  </si>
  <si>
    <t>10.1134/S0016702917090099</t>
  </si>
  <si>
    <t>FG3RF</t>
  </si>
  <si>
    <t>WOS:000410098600002</t>
  </si>
  <si>
    <t>Ryan-Keogh, TJ; Thomalla, SJ; Mtshali, TN; Little, H</t>
  </si>
  <si>
    <t>Ryan-Keogh, Thomas J.; Thomalla, Sandy J.; Mtshali, Thato N.; Little, Hazel</t>
  </si>
  <si>
    <t>Modelled estimates of spatial variability of iron stress in the Atlantic sector of the Southern Ocean</t>
  </si>
  <si>
    <t>ANTARCTIC CIRCUMPOLAR CURRENT; PHYTOPLANKTON GROWTH; MARINE-PHYTOPLANKTON; PACIFIC-OCEAN; ROSS SEA; LIGHT INTERACTIONS; NITROGEN UPTAKE; SEASONAL CYCLE; SAZ PROJECT; LIMITATION</t>
  </si>
  <si>
    <t>The Atlantic sector of the Southern Ocean is characterized by markedly different frontal zones with specific seasonal and sub-seasonal dynamics. Demonstrated here is the effect of iron on the potential maximum productivity rates of the phytoplankton community. A series of iron addition productivity versus irradiance (PE) experiments utilizing a unique experimental design that allowed for 24h incubations were performed within the austral summer of 2015/16 to determine the photosynthetic parameters alpha(B), P-max(B) and E-k. Mean values for each photosynthetic parameter under iron-replete conditions were 1.46 +/- 0.55 (ug (mu g Chl a)(-1) h(-1) (mu M photons m(-2) s(-1))(-1)) for alpha B, 72.55 +/- 27.97 (mu g (mu g Chl a)(-1) h(-1)) for P-max(B) and 50.84 +/- 11.89 (mu M photons m(-2) s(-1)) for E-k, whereas mean values under the control conditions were 1.25 +/- 0.92 (mu g (ug Chl a)(-1) h(-1) (mu M photons m(-2) s(-1))(-1)) for alpha B, 62.44 +/- 36.96 (mu g (mu g Chl a)(-1) h(-1)) for PBmax and 55.81 +/- 19.60 (mu M photons m(-2) s(-)1) for Ek. There were no clear spatial patterns in either the absolute values or the absolute differences between the treatments at the experimental locations. When these parameters are integrated into a standard depth-integrated primary production model across a latitudinal transect, the effect of iron addition shows higher levels of primary production south of 50 degrees S, with very little difference observed in the subantarctic and polar frontal zone. These results emphasize the need for better parameterization of photosynthetic parameters in biogeochemical models around sensitivities in their response to iron supply. Future biogeochemical models will need to consider the combined and individual effects of iron and light to better resolve the natural background in primary production and predict its response under a changing climate.</t>
  </si>
  <si>
    <t>[Ryan-Keogh, Thomas J.; Thomalla, Sandy J.; Mtshali, Thato N.] CSIR, Southern Ocean Carbon &amp; Climate Observ, Nat Resources &amp; Environm, Rosebank, ZA-7700 Cape Town, South Africa; [Ryan-Keogh, Thomas J.; Little, Hazel] Univ Cape Town, Dept Oceanog, ZA-7701 Cape Town, South Africa</t>
  </si>
  <si>
    <t>University of Cape Town</t>
  </si>
  <si>
    <t>Ryan-Keogh, TJ (corresponding author), CSIR, Southern Ocean Carbon &amp; Climate Observ, Nat Resources &amp; Environm, Rosebank, ZA-7700 Cape Town, South Africa.;Ryan-Keogh, TJ (corresponding author), Univ Cape Town, Dept Oceanog, ZA-7701 Cape Town, South Africa.</t>
  </si>
  <si>
    <t>thomas.ryan-keogh@uct.ac.za</t>
  </si>
  <si>
    <t>Thomalla, Sandy/AAS-4133-2021; Ryan-Keogh, Thomas/AAS-3716-2021</t>
  </si>
  <si>
    <t>Ryan-Keogh, Thomas/0000-0001-5144-171X</t>
  </si>
  <si>
    <t>CSIR's Southern Ocean Carbon and Climate Observatory (SOCCO) Programme; CSIR's Parliamentary Grant funding; NRF SANAP grant [SNA14073184298]</t>
  </si>
  <si>
    <t>CSIR's Southern Ocean Carbon and Climate Observatory (SOCCO) Programme; CSIR's Parliamentary Grant funding; NRF SANAP grant</t>
  </si>
  <si>
    <t>We would like to thank the South African National Antarctic Programme (SANAP) and the captain and crew of the S.A. Agulhas II for their professional support throughout the cruise. Ryan Cloete and Ryan Miltz were involved in experimental setup; Natasha van Horsten and Warren Joubert performed the DIC determinations for calculation of carbon assimilation. This work was undertaken and supported through the CSIR's Southern Ocean Carbon and Climate Observatory (SOCCO) Programme (http://socco.org.za/). This work was supported by CSIR's Parliamentary Grant funding and an NRF SANAP grant (SNA14073184298).</t>
  </si>
  <si>
    <t>10.5194/bg-14-3883-2017</t>
  </si>
  <si>
    <t>FF5OE</t>
  </si>
  <si>
    <t>WOS:000409040900001</t>
  </si>
  <si>
    <t>Karanovic, I; Sitnikova, TY</t>
  </si>
  <si>
    <t>Karanovic, Ivana; Sitnikova, Tatiana Ya.</t>
  </si>
  <si>
    <t>Phylogenetic position and age of Lake Baikal candonids (Crustacea, Ostracoda) inferred from multigene sequence analyzes and molecular dating</t>
  </si>
  <si>
    <t>ancient lakes; evolutionary history; fossil calibration; molecular clock</t>
  </si>
  <si>
    <t>GENUS TYPHLOCYPRIS VEJDOVSKY; MORPHOLOGICAL EVOLUTION; RIBOSOMAL DNA; MISSING DATA; INFERENCE; MRBAYES; ORIGIN; MODEL; BIODIVERSITY; SELECTION</t>
  </si>
  <si>
    <t>With 104 endemic species family Candonidae is one of the most diverse crustacean groups in Lake Baikal, yet their phylogenetic relationships and position in the family have not been addressed so far. Here, we study the phylogenetic position of Baikal candonids within the family and their evolutionary history using molecular markers for the first time since their original description. We choose 10 Baikal and 28 species from around the world, and three ribosomal RNA-s (18S, 28S, and 16S), and analyze individual and concatenated datasets using Bayesian Inference in MrBayes and BEAST. For molecular divergence time estimates, four fossil records are used to calibrate the root and three internal nodes. The 28S dataset is tested under the strict molecular clock, while for other data we use relaxed clocks. Resulting trees show incongruence between molecular and fossil divergence time estimates, with the former suggesting older ages. Strict molecular clock analysis results in narrower node age confidence intervals and younger time estimates than other analysis. All trees support at least two candonid lineages in Baikal, with two independent colonization events, and 28S suggests a major radiation between 12 and 5Mya. This divergence time estimate mostly agrees with another, unrelated, ostracod group in the lake and other lake animals as well. Baikal candonid clades show a close phylogenetic relationship with Palearctic lineages, but their deep divergence is indicative of separate genera. Results also suggest a monophyly of tribes that today live exclusively in subterranean waters, and we offer several hypotheses of their evolutionary history.</t>
  </si>
  <si>
    <t>[Karanovic, Ivana] Hanyang Univ, Dept Life Sci, Coll Nat Sci, Seoul, South Korea; [Karanovic, Ivana] Univ Tasmania, Inst Marine &amp; Antarctic Studies, Hobart, Tas, Australia; [Sitnikova, Tatiana Ya.] Russian Acad Sci, Limnol Inst, Siberian Branch, Irkutsk, Russia</t>
  </si>
  <si>
    <t>Hanyang University; University of Tasmania; Irkutsk Science Centre of the Russian Academy of Sciences; Russian Academy of Sciences; Limnological Institute SB RAS</t>
  </si>
  <si>
    <t>Karanovic, I (corresponding author), Hanyang Univ, Dept Life Sci, Coll Nat Sci, Seoul, South Korea.</t>
  </si>
  <si>
    <t>ivana@hanyang.ac.kr</t>
  </si>
  <si>
    <t>Sitnikova, Tatiana Ya/J-3309-2018</t>
  </si>
  <si>
    <t>Sitnikova, Tatiana/0000-0002-3278-6111</t>
  </si>
  <si>
    <t>National Research Foundation of Korea [2016R1D1A1B01009806]; Russian Government; National Research Foundation of Korea [22A20130012352] Funding Source: Korea Institute of Science &amp; Technology Information (KISTI), National Science &amp; Technology Information Service (NTIS)</t>
  </si>
  <si>
    <t>National Research Foundation of Korea(National Research Foundation of Korea); Russian Government; National Research Foundation of Korea(National Research Foundation of Korea)</t>
  </si>
  <si>
    <t>National Research Foundation of Korea, Grant/Award Number: 2016R1D1A1B01009806; Russian Government</t>
  </si>
  <si>
    <t>10.1002/ece3.3159</t>
  </si>
  <si>
    <t>FG1CI</t>
  </si>
  <si>
    <t>WOS:000409529800041</t>
  </si>
  <si>
    <t>Pourkhorsandi, H; D'Orazio, M; Rochette, P; Valenzuela, M; Gattacceca, J; Mirnejad, H; Sutter, B; Hutzler, A; Aboulahris, M</t>
  </si>
  <si>
    <t>Pourkhorsandi, Hamed; D'Orazio, Massimo; Rochette, Pierre; Valenzuela, Millarca; Gattacceca, Jerome; Mirnejad, Hassan; Sutter, Brad; Hutzler, Aurore; Aboulahris, Maria</t>
  </si>
  <si>
    <t>Modification of REE distribution of ordinary chondrites from Atacama (Chile) and Lut (Iran) hot deserts: Insights into the chemical weathering of meteorites</t>
  </si>
  <si>
    <t>RARE-EARTH-ELEMENTS; ISOTOPE COMPOSITION; COLLECTION AREA; TERRESTRIAL; FRACTIONATION; GEOCHEMISTRY; MOBILIZATION; ANOMALIES; MINERALS; HOLBROOK</t>
  </si>
  <si>
    <t>The behavior of rare earth elements (REEs) during hot desert weathering of meteorites is investigated. Ordinary chondrites (OCs) from Atacama (Chile) and Lut (Iran) deserts show different variations in REE composition during this process. Inductively coupled plasma-mass spectrometry (ICP-MS) data reveal that hot desert OCs tend to show elevated light REE concentrations, relative to OC falls. Chondrites from Atacama are by far the most enriched in REEs and this enrichment is not necessarily related to their degree of weathering. Positive Ce anomaly of fresh chondrites from Atacama and the successive formation of a negative Ce anomaly with the addition of trivalent REEs are similar to the process reported from Antarctic eucrites. In addition to REEs, Sr and Ba also show different concentrations when comparing OCs from different hot deserts. The stability of Atacama surfaces and the associated old terrestrial ages of meteorites from this region give the samples the necessary time to interact with the terrestrial environment and to be chemically modified. Higher REE contents and LREE-enriched composition are evidence of contamination by terrestrial soil. Despite their low degrees of weathering, special care must be taken into account while working on the REE composition of Atacama meteorites for cosmochemistry applications. In contrast, chondrites from the Lut desert show lower degrees of REE modification, despite significant weathering signed by Sr content. This is explained by the relatively rapid weathering rate of the meteorites occurring in the Lut desert, which hampers the penetration of terrestrial material by forming voluminous Fe oxide/oxyhydroxides shortly after the meteorite fall.</t>
  </si>
  <si>
    <t>[Pourkhorsandi, Hamed; Rochette, Pierre; Gattacceca, Jerome; Aboulahris, Maria] Aix Marseille Univ, CNRS, Coll France, IRD, Aix En Provence, France; [D'Orazio, Massimo] Univ Pisa, Dipartimento Sci Terra, Via S Maria 53, I-56126 Pisa, Italy; [Valenzuela, Millarca] Pontificia Univ Catolica Chile, Inst Astrofis, Vicuna Mackena 4860, Santiago, Chile; [Mirnejad, Hassan] Univ Tehran, Dept Geol, Fac Sci, Tehran 1415564155, Iran; [Mirnejad, Hassan] Miami Univ, Dept Geol &amp; Environm Earth Sci, Oxford, OH 45056 USA; [Sutter, Brad] Jacobs NASA, Johnson Space Ctr, Houston, TX 77058 USA; [Hutzler, Aurore] Nat Hist Museum, Burgring 7, A-1010 Vienna, Austria; [Aboulahris, Maria] Univ Hassan II Casablanca, Fac Sci, Dept Geol, Casablanca, Morocco</t>
  </si>
  <si>
    <t>Universite PSL; College de France; Institut de Recherche pour le Developpement (IRD); Aix-Marseille Universite; Centre National de la Recherche Scientifique (CNRS); University of Pisa; Pontificia Universidad Catolica de Chile; University of Tehran; University System of Ohio; Miami University; National Aeronautics &amp; Space Administration (NASA); Hassan II University of Casablanca</t>
  </si>
  <si>
    <t>Pourkhorsandi, H (corresponding author), Aix Marseille Univ, CNRS, Coll France, IRD, Aix En Provence, France.</t>
  </si>
  <si>
    <t>pourkhorsandi@cerege.fr</t>
  </si>
  <si>
    <t>Gattacceca, Jerome/AAG-5651-2019; Rochette, Pierre/O-4612-2019</t>
  </si>
  <si>
    <t>Gattacceca, Jerome/0000-0002-1639-7140; Rochette, Pierre/0000-0002-7362-0660; D'Orazio, Massimo/0000-0003-1366-3260; POURKHORSANDI, Hamed/0000-0002-5261-0180; Hutzler, Aurore/0000-0002-6733-0448</t>
  </si>
  <si>
    <t>CONICYT-FONDECYT [3140562]</t>
  </si>
  <si>
    <t>CONICYT-FONDECYT(Comision Nacional de Investigacion Cientifica y Tecnologica (CONICYT)CONICYT FONDECYT)</t>
  </si>
  <si>
    <t>We thank the staff of the Cultural Office of the French Embassy in Tehran who supported the field trips in Iran and a Ph.D. thesis grant for the first author. Providing samples by Rodrigo Martinez, Edmundo Martinez, Enrique Stucken, and the Natural History Museum of London is appreciated. M.V. thanks the support by CONICYT-FONDECYT project No 3140562. H.P. thanks Morteza Djamali for his suggestions during preparation of the manuscript. We thank A. J. T. Jull for editorial handling, and P. Bland and an anonymous referee for their constructive reviews.</t>
  </si>
  <si>
    <t>10.1111/maps.12894</t>
  </si>
  <si>
    <t>FG0ZW</t>
  </si>
  <si>
    <t>WOS:000409523300005</t>
  </si>
  <si>
    <t>Lüttge, F</t>
  </si>
  <si>
    <t>Luettge, Felix</t>
  </si>
  <si>
    <t>The last white Spot. European Antarctic Tours around 1900</t>
  </si>
  <si>
    <t>BERICHTE ZUR WISSENSCHAFTSGESCHICHTE</t>
  </si>
  <si>
    <t>German</t>
  </si>
  <si>
    <t>WILEY-V C H VERLAG GMBH</t>
  </si>
  <si>
    <t>WEINHEIM</t>
  </si>
  <si>
    <t>POSTFACH 101161, 69451 WEINHEIM, GERMANY</t>
  </si>
  <si>
    <t>0170-6233</t>
  </si>
  <si>
    <t>1522-2365</t>
  </si>
  <si>
    <t>BER WISSGESCH</t>
  </si>
  <si>
    <t>Ber. Wissgesch.</t>
  </si>
  <si>
    <t>U123</t>
  </si>
  <si>
    <t>10.1002/bewi.201701851</t>
  </si>
  <si>
    <t>FF4JY</t>
  </si>
  <si>
    <t>WOS:000408909800007</t>
  </si>
  <si>
    <t>Riquelme-Bugueño, R; Gómez-Gutiérrez, J; Silva-Aburto, J; Escribano, R; Schneider, W</t>
  </si>
  <si>
    <t>Riquelme-Bugueno, Ramiro; Gomez-Gutierrez, Jaime; Silva-Aburto, Jocelyn; Escribano, Ruben; Schneider, Wolfgang</t>
  </si>
  <si>
    <t>Embryo and early larval stages of the Humboldt Current krill Euphausia mucronata (Crustacea: Euphausiacea)</t>
  </si>
  <si>
    <t>INVERTEBRATE BIOLOGY</t>
  </si>
  <si>
    <t>Euphausiids; egg; early development stages; Humboldt Current System; coastal upwelling</t>
  </si>
  <si>
    <t>CENTRAL-SOUTHERN CHILE; HATCHING MECHANISM; ANTARCTIC KRILL; CENTRAL OREGON; SINKING RATES; SUPERBA DANA; CROSS-SHELF; VARIABILITY; EGGS; PACIFICA</t>
  </si>
  <si>
    <t>The Humboldt Current krill, Euphausia mucronata (Crustacea: Euphausiacea), is an endemic and keystone species in the food web of this highly productive eastern border current ecosystem. The morphology and ontogeny of E. mucronata is known from calyptopis I to the adult phase, but the embryonic and early-life stages (nauplius and metanauplius) of this broadcast spawning species are unknown. We describe the morphology and development time of these life stages to complete the knowledge of its life cycle. Embryos were obtained from purple-gonad gravid females collected off Dichato, central Chile, during November 2012. Eight gravid females (mean=16mm total length) were incubated in seawater at 12 degrees C under laboratory conditions. The average development time from single-cell embryos to the metanauplius stage was 2.2d and hatching occurred between 20 and 25h. The average growth rate was 0.35mmd(-1) from the late limb bud to the metanauplius stage (range=0.21-0.48mmd(-1)). Embryos of E. mucronata had a mean chorion diameter of 0.460mm, embryo diameter of 0.343mm, and perivitelline space of 0.056mm. Our biological information reported here constitutes a baseline for future ecological studies on distribution and temporal variability of spawning activity and reproductive strategies of E. mucronata in the highly variable and productive Humboldt Current ecosystem.</t>
  </si>
  <si>
    <t>[Riquelme-Bugueno, Ramiro] Univ Concepcion, Fac Ciencias Nat &amp; Oceanog, Dept Zool, Concepcion, Chile; [Riquelme-Bugueno, Ramiro; Escribano, Ruben; Schneider, Wolfgang] Univ Concepcion, Inst Milenio Oceanog, Concepcion, Chile; [Gomez-Gutierrez, Jaime] Inst Politecn Nacl, Dept Plancton &amp; Ecol Marina, Ctr Interdisciplinario Ciencias Marinas, La Paz 23096, Baja California, Mexico; [Silva-Aburto, Jocelyn] Inst Invest Pesquera, Talcahuano, Chile; [Escribano, Ruben; Schneider, Wolfgang] Univ Concepcion, Fac Ciencias Nat &amp; Oceanog, Dept Oceanog, Concepcion, Chile</t>
  </si>
  <si>
    <t>Universidad de Concepcion; Universidad de Concepcion; Instituto Politecnico Nacional - Mexico; Universidad de Concepcion</t>
  </si>
  <si>
    <t>Riquelme-Bugueño, R (corresponding author), Univ Concepcion, Fac Ciencias Nat &amp; Oceanog, Dept Zool, Concepcion, Chile.;Riquelme-Bugueño, R (corresponding author), Univ Concepcion, Inst Milenio Oceanog, Concepcion, Chile.</t>
  </si>
  <si>
    <t>rriquelm@udec.cl</t>
  </si>
  <si>
    <t>Escribano, Ruben/IAN-0878-2023; Riquelme, Ramiro/L-4706-2016</t>
  </si>
  <si>
    <t>Riquelme, Ramiro/0000-0002-2245-6485; Escribano, Ruben/0000-0002-9843-7723</t>
  </si>
  <si>
    <t>FONDECYT [3130387, 1120478, 11150914]; SNI; COFAA-IPN; EDI-IPN; Instituto Milenio de Oceanografia [IC 120019]</t>
  </si>
  <si>
    <t>FONDECYT(Comision Nacional de Investigacion Cientifica y Tecnologica (CONICYT)CONICYT FONDECYT); SNI; COFAA-IPN; EDI-IPN; Instituto Milenio de Oceanografia</t>
  </si>
  <si>
    <t>This study was funded by FONDECYT grants 3130387 (R.R-B.) and 1120478 (W.S.). Additional support was provided by FONDECYT grant 11150914 (R.R-B.). Gravid females of Euphausia mucronata were collected during the Time Series Program of the FONDAP-COPAS Center. We deeply thank the crew of Kay-Kay II for their ongoing and valuable help at sea and especially Jose Marileo (Marine Biology Station, Dichato, Universidad de Concepcion) for providing us with facilities and ongoing support. Comments of anonymous reviewers improved substantially the first version of this manuscript. J.G-G. was supported with SNI, COFAA-IPN, and EDI-IPN grants. This study is a contribution of the Instituto Milenio de Oceanografia (IC 120019 grant).</t>
  </si>
  <si>
    <t>1077-8306</t>
  </si>
  <si>
    <t>1744-7410</t>
  </si>
  <si>
    <t>INVERTEBR BIOL</t>
  </si>
  <si>
    <t>Invertebr. Biol.</t>
  </si>
  <si>
    <t>10.1111/ivb.12176</t>
  </si>
  <si>
    <t>FG0MM</t>
  </si>
  <si>
    <t>WOS:000409441300002</t>
  </si>
  <si>
    <t>Simkins, LM; Anderson, JB; Greenwood, SL; Gonnermann, HM; Prothro, LO; Halberstadt, ARW; Stearns, LA; Pollard, D; DeConto, RM</t>
  </si>
  <si>
    <t>Simkins, Lauren M.; Anderson, John B.; Greenwood, Sarah L.; Gonnermann, Helge M.; Prothro, Lindsay O.; Halberstadt, Anna Ruth W.; Stearns, Leigh A.; Pollard, David; DeConto, Robert M.</t>
  </si>
  <si>
    <t>Anatomy of a meltwater drainage system beneath the ancestral East Antarctic ice sheet</t>
  </si>
  <si>
    <t>NATURE GEOSCIENCE</t>
  </si>
  <si>
    <t>PINE ISLAND BAY; WEST ANTARCTICA; SUBGLACIAL LAKES; GROUNDING-LINE; OUTLET GLACIER; ROSS SEA; CONTINENTAL-SHELF; STREAM; FLOW; PENINSULA</t>
  </si>
  <si>
    <t>Subglacial hydrology is critical to understand the behaviour of ice sheets, yet active meltwater drainage beneath contemporary ice sheets is rarely accessible to direct observation. Using geophysical and sedimentological data from the deglaciated western Ross Sea, we identify a palaeo-subglacial hydrological system active beneath an area formerly covered by the East Antarctic ice sheet. A long channel network repeatedly delivered meltwater to an ice stream grounding line and was a persistent pathway for episodic meltwater drainage events. Embayments within grounding-line landforms coincide with the location of subglacial channels, marking reduced sedimentation and restricted landform growth. Consequently, channelized drainage at the grounding line influenced the degree to which these landforms could provide stability feedbacks to the ice stream. The channel network was connected to upstream subglacial lakes in an area of geologically recent rifting and volcanism, where elevated heat flux would have produced sufficient basal melting to fill the lakes over decades to several centuries; this timescale is consistent with our estimates of the frequency of drainage events at the retreating grounding line. Based on these data, we hypothesize that ice stream dynamics in this region were sensitive to the underlying hydrological system.</t>
  </si>
  <si>
    <t>[Simkins, Lauren M.; Anderson, John B.; Gonnermann, Helge M.; Prothro, Lindsay O.; Halberstadt, Anna Ruth W.] Rice Univ, Dept Earth Environm &amp; Planetary Sci, Houston, TX 77005 USA; [Greenwood, Sarah L.] Stockholm Univ, Dept Geol Sci, S-10691 Stockholm, Sweden; [Halberstadt, Anna Ruth W.; DeConto, Robert M.] Univ Massachusetts, Dept Geosci, Amherst, MA 01003 USA; [Stearns, Leigh A.] Univ Kansas, Dept Geol, Lawrence, KS 66045 USA; [Pollard, David] Penn State Univ, Earth &amp; Environm Syst Inst, University Pk, PA 16802 USA</t>
  </si>
  <si>
    <t>Rice University; Stockholm University; University of Massachusetts System; University of Massachusetts Amherst; University of Kansas; Pennsylvania Commonwealth System of Higher Education (PCSHE); Pennsylvania State University; Pennsylvania State University - University Park</t>
  </si>
  <si>
    <t>Simkins, LM (corresponding author), Rice Univ, Dept Earth Environm &amp; Planetary Sci, Houston, TX 77005 USA.</t>
  </si>
  <si>
    <t>lsimkins@rice.edu</t>
  </si>
  <si>
    <t>Gonnermann, Helge M/B-1054-2012; Prothro, Lindsay/Y-9837-2019; Halberstadt, Anna Ruth/JPW-9990-2023</t>
  </si>
  <si>
    <t>Prothro, Lindsay/0000-0003-3385-8487; Miller, Lauren/0000-0002-9075-5196; Halberstadt, Anna Ruth/0000-0003-2582-7074; , Helge/0000-0002-8863-7959; Stearns, Leigh/0000-0001-7358-7015; Greenwood, Sarah/0000-0003-3048-7916</t>
  </si>
  <si>
    <t>National Science Foundation [NSF-PLR 1246353]; Swedish Research Council [D0567301]; Office of Polar Programs (OPP); Directorate For Geosciences [1246353] Funding Source: National Science Foundation</t>
  </si>
  <si>
    <t>National Science Foundation(National Science Foundation (NSF)); Swedish Research Council(Swedish Research Council); Office of Polar Programs (OPP); Directorate For Geosciences(National Science Foundation (NSF)NSF - Directorate for Geosciences (GEO))</t>
  </si>
  <si>
    <t>The authors thank J. Walder, S. Carter, C. Clark and T. Swanson for productive discussions; B. Demet for assistance in data collection; and A. Fonseca, S. Rezvanbehbahani and J. Aroom for assisting with analyses. This project was supported by the National Science Foundation (NSF-PLR 1246353, J. B. A.) and the Swedish Research Council (D0567301, S.L.G.).</t>
  </si>
  <si>
    <t>75 VARICK ST, 9TH FLR, NEW YORK, NY 10013-1917 USA</t>
  </si>
  <si>
    <t>1752-0894</t>
  </si>
  <si>
    <t>1752-0908</t>
  </si>
  <si>
    <t>NAT GEOSCI</t>
  </si>
  <si>
    <t>Nat. Geosci.</t>
  </si>
  <si>
    <t>10.1038/NGEO3012</t>
  </si>
  <si>
    <t>FF7XL</t>
  </si>
  <si>
    <t>WOS:000409229600018</t>
  </si>
  <si>
    <t>Pesic, V; Asadi, M; Cimpean, M; Dabert, M; Esen, Y; Gerecke, R; Martin, P; Savic, A; Smit, H; Stur, E</t>
  </si>
  <si>
    <t>Pesic, Vladimir; Asadi, Mahdieh; Cimpean, Mirela; Dabert, Miroslawa; Esen, Yunus; Gerecke, Reinhard; Martin, Peter; Savic, Ana; Smit, Harry; Stur, Elisabeth</t>
  </si>
  <si>
    <t>Six species in one: evidence of cryptic speciation in the Hygrobates fluviatilis complex (Acariformes, Hydrachnidia, Hygrobatidae)</t>
  </si>
  <si>
    <t>SYSTEMATIC AND APPLIED ACAROLOGY</t>
  </si>
  <si>
    <t>Western Palaearctic; DNA-barcoding; species delimitation; new species; running waters; springs</t>
  </si>
  <si>
    <t>WATER MITES ACARI; OXIDASE SUBUNIT-I; MORPHOLOGY; KOCH</t>
  </si>
  <si>
    <t>Water mites of the genus Hygrobates are widely distributed in all biogeographic regions except the Antarctic. Palaearctic Hygrobates species with reticulated soft integument generally have been considered as representatives of one common and widely distributed species, Hygrobates fluviatilis Strom, 1768. Based on partial COI sequences (DNA-barcodes) and statistical analysis of morphological data, we show that these mites belong to six distinct lineages. Two of them are widely distributed in Central Europe: Hygrobates fluviatilis here redescribed based on a neotype designated from the type locality in Norway, and a species new to science, H. arenarius Smit &amp; Pesic. The four remaining lineages represent additional species new to science that appear to have more restricted distributions: H. corsicus Pesic &amp; Smit (Corsica, Sardinia), H. marezaensis Pesic &amp; Dabert (Montenegro, Albania, Croatia), H. turcicus Pesic, Esen &amp; Dabert (Turkey), and H. persicus Pesic &amp; Asadi (Iran, E Turkey). Statistical morphometric analysis reveals that the latter two species cannot be separated on morphological characters and should be considered true cryptic species. We provide data concerning biology and geographical distributions together with a key to all species of the complex.</t>
  </si>
  <si>
    <t>[Pesic, Vladimir] Univ Montenegro, Dept Biol, Cetinjski Put Bb, Podgorica 81000, Montenegro; [Asadi, Mahdieh] Shahid Bahonar Univ Kerman, Dept Plant Protect, Coll Agr, Kerman, Iran; [Cimpean, Mirela] Babes Bolyai Univ, Dept Taxon &amp; Ecol, Fac Biol &amp; Geol, 5-7 Clinicilor Str, Cluj Napoca 400006, Romania; [Dabert, Miroslawa] Adam Mickiewicz Univ, Mol Biol Tech Lab, Fac Biol, Poznan, Poland; [Esen, Yunus] Bingol Univ, Solhan Vocat Sch Hlth Serv, TR-12700 Solhan, Bingol, Turkey; [Gerecke, Reinhard] Biesingerstr 11, D-72070 Tubingen, Germany; [Martin, Peter] Univ Kiel, Zool Inst, Limnol, Olshausenstr 40, D-24098 Kiel, Germany; [Savic, Ana] Univ Nis, Dept Biol &amp; Ecol, Nish, Serbia; [Smit, Harry] Naturalis Biodivers Ctr, POB 9517, NL-2300 RA Leiden, Netherlands; [Stur, Elisabeth] Norwegian Univ Sci &amp; Technol, NTNU Univ Museum, Trondheim, Norway</t>
  </si>
  <si>
    <t>University of Montenegro; Shahid Bahonar University of Kerman (SBUK); Babes Bolyai University from Cluj; Adam Mickiewicz University; Bingol University; University of Kiel; University of Nis; Naturalis Biodiversity Center; Norwegian University of Science &amp; Technology (NTNU)</t>
  </si>
  <si>
    <t>Pesic, V (corresponding author), Univ Montenegro, Dept Biol, Cetinjski Put Bb, Podgorica 81000, Montenegro.</t>
  </si>
  <si>
    <t>vladopesic@gmail.com</t>
  </si>
  <si>
    <t>Savić, Ana/GRO-4024-2022; Pesic, Vladimir/AFP-7820-2022; Asadi, Mahdieh/AAR-1170-2021; esen, yunus/GYJ-1248-2022; Cimpean, Mirela/O-4434-2017</t>
  </si>
  <si>
    <t>Pesic, Vladimir/0000-0002-9724-345X; Asadi, Mahdieh/0000-0002-3038-8486; esen, yunus/0000-0002-6231-1467; Cimpean, Mirela/0000-0001-7176-3724; Dabert, Miroslawa/0000-0001-5930-3346; Savic, Ana/0000-0002-1327-5498</t>
  </si>
  <si>
    <t>National Science Centre - Poland [2014/13/B/ NZ8/04679]</t>
  </si>
  <si>
    <t>National Science Centre - Poland(National Science Centre, Poland)</t>
  </si>
  <si>
    <t>We are indebted to Kevin Beentjes (Naturalis Biodiversity Center, Leiden, The Netherlands) for the barcoding. Furthermore, we are thankful to the following collectors for providing important material from their field collections: Nuria Bonada (Barcelona), Oyvind Almskr Schnell (Volda), Martina Pusch (Schoneiche), Astrid Schwarz (Darmstadt), Michael Pfeiffer (Hugstetten), Holger Muller (Sonneberg/Haselbach) and Reza Vafaei (Arak). The first author would like to thank to Bogic Gligorovic and Sead Hadziablahovic for their constant help and encouragement during field work in Montenegro. This work was supported by the National Science Centre - Poland Grant # 2014/13/B/ NZ8/04679 (MD). Special thanks to Roy Wiles (UK) for critical reading of the first draft and valuable suggestions.</t>
  </si>
  <si>
    <t>SYSTEMATIC &amp; APPLIED ACAROLOGY SOC LONDON, NATURAL HISTORY MUSEUM</t>
  </si>
  <si>
    <t>DEPT ENTOMOLOGY, LONDON, SW7 5BD, ENGLAND</t>
  </si>
  <si>
    <t>1362-1971</t>
  </si>
  <si>
    <t>2056-6069</t>
  </si>
  <si>
    <t>SYST APPL ACAROL-UK</t>
  </si>
  <si>
    <t>Syst. Appl. Acarol.</t>
  </si>
  <si>
    <t>10.11158/saa.22.9.4</t>
  </si>
  <si>
    <t>Entomology</t>
  </si>
  <si>
    <t>FF4SD</t>
  </si>
  <si>
    <t>WOS:000408946000004</t>
  </si>
  <si>
    <t>Justino, F; Lindemann, D; Kucharski, F; Wilson, A; Bromwich, D; Stordal, F</t>
  </si>
  <si>
    <t>Justino, Flavio; Lindemann, Douglas; Kucharski, Fred; Wilson, Aaron; Bromwich, David; Stordal, Frode</t>
  </si>
  <si>
    <t>Oceanic response to changes in the WAIS and astronomical forcing during the MIS31 superinterglacial</t>
  </si>
  <si>
    <t>ANTARCTIC ICE-SHEET; LAST GLACIAL MAXIMUM; TROPICAL PACIFIC; SOUTHERN-OCEAN; HEAT-TRANSPORT; SEA-ICE; INTERDECADAL VARIABILITY; THERMOHALINE CIRCULATION; LAKE ELGYGYTGYN; EL-NINO</t>
  </si>
  <si>
    <t>Marine Isotope Stage 31 (MIS31, between 1085 and 1055 ka) was characterized by higher extratropical air temperatures and a substantial recession of polar glaciers compared to today. Paleoreconstructions and model simulations have increased the understanding of the MIS31 interval, but questions remain regarding the role of the Atlantic and Pacific oceans in modifying the climate associated with the variations in Earth's orbital parameters. Multi-century coupled climate simulations, with the astronomical configuration of the MIS31 and modified West Antarctic Ice Sheet (WAIS) topography, show an increase in the thermohaline flux and northward oceanic heat transport (OHT) in the Pacific Ocean. These oceanic changes are driven by anomalous atmospheric circulation and increased surface salinity in concert with a stronger meridional overturning circulation (MOC). The intensified northward OHT is responsible for up to 85% of the global OHT anomalies and contributes to the overall reduction in sea ice in the Northern Hemisphere (NH) due to Earth's astronomical configuration. The relative contributions of the Atlantic Ocean to global OHT and MOC anomalies are minor compared to those of the Pacific. However, sea ice changes are remarkable, highlighted by decreased (increased) cover in the Ross (Weddell) Sea but widespread reductions in sea ice across the NH.</t>
  </si>
  <si>
    <t>[Justino, Flavio; Lindemann, Douglas] Univ Fed Vicosa, Dept Agr Engn, Vicosa, MG, Brazil; [Kucharski, Fred] Abdus Salam Int Ctr Theoret Phys, Trieste, Italy; [Wilson, Aaron; Bromwich, David] Ohio State Univ, Byrd Polar &amp; Climate Res Ctr, Polar Meteorol Grp, Columbus, OH 43210 USA; [Stordal, Frode] Univ Oslo, Dept Geosci, Oslo, Norway</t>
  </si>
  <si>
    <t>Universidade Federal de Vicosa; Abdus Salam International Centre for Theoretical Physics (ICTP); University System of Ohio; Ohio State University; University of Oslo</t>
  </si>
  <si>
    <t>Justino, F (corresponding author), Univ Fed Vicosa, Dept Agr Engn, Vicosa, MG, Brazil.</t>
  </si>
  <si>
    <t>fjustino@ufv.br</t>
  </si>
  <si>
    <t>Flavio, Justino/AAT-2037-2020; Kucharski, Fred/HKV-9960-2023; Stordal, Frode/R-6672-2017</t>
  </si>
  <si>
    <t>Bromwich, David/0000-0003-4608-8071; Stordal, Frode/0000-0002-5190-6473; Kucharski, Fred/0000-0002-8710-8051</t>
  </si>
  <si>
    <t>Brazilian National Research Council [232718/2014-8, 407681/2013-2]</t>
  </si>
  <si>
    <t>Brazilian National Research Council(Conselho Nacional de Desenvolvimento Cientifico e Tecnologico (CNPQ))</t>
  </si>
  <si>
    <t>This work was supported by the Brazilian National Research Council projects 232718/2014-8 and 407681/2013-2. The first author also thanks the Byrd Polar and Climate Research Center (BPCRC) for providing the necessary infrastructure. This is the BPCRC contribution number C-1569.</t>
  </si>
  <si>
    <t>10.5194/cp-13-1081-2017</t>
  </si>
  <si>
    <t>FF5PC</t>
  </si>
  <si>
    <t>WOS:000409043500001</t>
  </si>
  <si>
    <t>Greenslade, JW; Alexander, SP; Schofield, R; Fisher, JA; Klekociuk, AK</t>
  </si>
  <si>
    <t>Greenslade, Jesse W.; Alexander, Simon P.; Schofield, Robyn; Fisher, Jenny A.; Klekociuk, Andrew K.</t>
  </si>
  <si>
    <t>Stratospheric ozone intrusion events and their impacts on tropospheric ozone in the Southern Hemisphere</t>
  </si>
  <si>
    <t>TROPOPAUSE FOLDS; GLOBAL CLIMATOLOGY; SURFACE OZONE; AIR-QUALITY; MODEL; TRANSPORT; CHEMISTRY; EXCHANGE; VARIABILITY; EMISSIONS</t>
  </si>
  <si>
    <t>Stratosphere-to-troposphere transport (STT) provides an important natural source of ozone to the upper troposphere, but the characteristics of STT events in the Southern Hemisphere extratropics and their contribution to the regional tropospheric ozone budget remain poorly constrained. Here, we develop a quantitative method to identify STT events from ozonesonde profiles. Using this method we estimate the seasonality of STT events and quantify the ozone transported across the tropopause over Davis (69 degrees S, 20062013), Macquarie Island (54 degrees S, 2004-2013), and Melbourne (38 degrees S, 2004-2013). STT seasonality is determined by two distinct methods: a Fourier bandpass filter of the vertical ozone profile and an analysis of the Brunt-Vaisala frequency. Using a bandpass filter on 7-9 years of ozone profiles from each site provides clear detection of STT events, with maximum occurrences during summer and minimum during winter for all three sites. The majority of tropospheric ozone enhancements owing to STT events occur within 2.5 and 3 km of the tropopause at Davis and Macquarie Island respectively. Events are more spread out at Melbourne, occurring frequently up to 6 km from the tropopause. The mean fraction of total tropospheric ozone attributed to STT during STT events is similar to 1.0-3.5% at each site; however, during individual events, over 10% of tropospheric ozone may be directly transported from the stratosphere. The cause of STTs is determined to be largely due to synoptic low-pressure frontal systems, determined using coincident ERA-Interim reanalysis meteorological data. Ozone enhancements can also be caused by biomass burning plumes transported from Africa and South America, which are apparent during austral winter and spring and are determined using satellite measurements of CO. To provide regional context for the ozonesonde observations, we use the GEOS-Chem chemical transport model, which is too coarsely resolved to distinguish STT events but is able to accurately simulate the seasonal cycle of tropospheric ozone columns over the three southern hemispheric sites. Combining the ozonesonde-derived STT event characteristics with the simulated tropospheric ozone columns from GEOS-Chem, we estimate STT ozone flux near the three sites and see austral summer dominated yearly amounts of between 5.7 and 8.7 x 10(17) molecules cm(-2) a(-1).</t>
  </si>
  <si>
    <t>[Greenslade, Jesse W.; Fisher, Jenny A.] Univ Wollongong, Sch Chem, Ctr Atmospher Chem, Wollongong, NSW, Australia; [Alexander, Simon P.; Klekociuk, Andrew K.] Australian Antarctic Div, Hobart, Tas, Australia; [Alexander, Simon P.; Klekociuk, Andrew K.] Antarctic Climate &amp; Ecosyst Cooperat Res Ctr, Hobart, Tas, Australia; [Schofield, Robyn] Univ Melbourne, Sch Earth Sci, Melbourne, Vic, Australia; [Schofield, Robyn] Univ New South Wales, ARC Ctr Excellence Climate Syst Sci, Sydney, NSW, Australia; [Fisher, Jenny A.] Univ Wollongong, Sch Earth &amp; Environm Sci, Wollongong, NSW, Australia</t>
  </si>
  <si>
    <t>University of Wollongong; Australian Antarctic Division; Antarctic Climate &amp; Ecosystems Cooperative Research Centre (ACE CRC); University of Melbourne; Melbourne Bioinformatics; University of New South Wales Sydney; ARC Centre of Excellence for Climate System Science; University of Wollongong</t>
  </si>
  <si>
    <t>Greenslade, JW (corresponding author), Univ Wollongong, Sch Chem, Ctr Atmospher Chem, Wollongong, NSW, Australia.</t>
  </si>
  <si>
    <t>jwg366@uowmail.edu.au</t>
  </si>
  <si>
    <t>Fisher, Jenny A/J-3979-2012; Greenslade, Jesse/JFB-6510-2023; Schofield, Robyn/A-4062-2010; Klekociuk, Andrew/A-4498-2015</t>
  </si>
  <si>
    <t>Fisher, Jenny A/0000-0002-2921-1691; Schofield, Robyn/0000-0002-4230-717X; Klekociuk, Andrew/0000-0003-3335-0034; greenslade, jesse/0000-0001-7417-6090; Alexander, Simon/0000-0001-6823-8857</t>
  </si>
  <si>
    <t>Australian Government's Australian Antarctic science grant program [FoRCES 4012]; Australian Research Council's Centre of Excellence for Climate System Science [CE110001028]; Commonwealth Department of the Environment ozone summer scholar program; Australian Government Research Training Program (RTP) Scholarship</t>
  </si>
  <si>
    <t>Australian Government's Australian Antarctic science grant program(Australian Government); Australian Research Council's Centre of Excellence for Climate System Science(Australian Research Council); Commonwealth Department of the Environment ozone summer scholar program; Australian Government Research Training Program (RTP) Scholarship(Australian GovernmentDepartment of Industry, Innovation and Science)</t>
  </si>
  <si>
    <t>We thank Sandy Burden for help clarifying some of the uncertainties involved in methods within this work. We also thank Clare Paton-Walsh, who identified the need to account for smoke-influenced events and provided discussions on how to go about doing so. This research was undertaken with the assistance of resources provided at the NCI National Facility systems at the Australian National University through the National Computational Merit Allocation Scheme supported by the Australian Government. This work was supported through funding by the Australian Government's Australian Antarctic science grant program (FoRCES 4012), the Australian Research Council's Centre of Excellence for Climate System Science (CE110001028), and the Commonwealth Department of the Environment ozone summer scholar program. This research is supported by an Australian Government Research Training Program (RTP) Scholarship.</t>
  </si>
  <si>
    <t>10.5194/acp-17-10269-2017</t>
  </si>
  <si>
    <t>FF5NK</t>
  </si>
  <si>
    <t>WOS:000409038300004</t>
  </si>
  <si>
    <t>Munoz, G; Labadie, P; Geneste, E; Pardon, P; Tartu, S; Chastel, O; Budzinski, H</t>
  </si>
  <si>
    <t>Munoz, Gabriel; Labadie, Pierre; Geneste, Emmanuel; Pardon, Patrick; Tartu, Sabrina; Chastel, Olivier; Budzinski, Helene</t>
  </si>
  <si>
    <t>Biomonitoring of fluoroalkylated substances in Antarctica seabird plasma: Development and validation of a fast and rugged method using on-line concentration liquid chromatography tandem mass spectrometry</t>
  </si>
  <si>
    <t>JOURNAL OF CHROMATOGRAPHY A</t>
  </si>
  <si>
    <t>Polyfluoroalkyl substances; Antarctica; Biomonitoring; Seabird; Plasma; On-line solid phase extraction; Method validation</t>
  </si>
  <si>
    <t>PERFLUORINATED ALKYL SUBSTANCES; PERFLUOROALKYL SUBSTANCES; HUMAN SERUM; POLYFLUOROALKYL SUBSTANCES; PERFLUOROOCTANE SULFONATE; CARBOXYLIC-ACIDS; PERFORMANCE; EXTRACTION; PFASS; BIOTA</t>
  </si>
  <si>
    <t>We report on a fast, accurate and rugged analytical procedure to determine a wide span of perfluoroalkyl and polyfluoroalkyl substances (PFASs) in seabird plasma. The 26 investigated compounds included perfluoroalkyl carboxylates (C-5-C-14 PFCAs), perfluoroalkyl sulfonates (C-4, C-6, C-7, C-8, C-10 PFSAs), perfluorooctane sulfonamide (FOSA) and N-alkyl derivatives (MeFOSA, EtFOSA), N-alkyl perfluorooctane sulfonamido acetic acids (MeFOSAA, EtFOSAA), fluorotelomer sulfonates (4:2 FTSA, 6:2 FTSA, 8:2 FFSA), polyfluoroalkyl phosphate diesters (diPAPs) and perfluorooctane sulfonamide phosphate diester (diS-AmPAP). The method described herein requires a reduced sample amount (25 mu L) and involves rapid and simple sample preparation (protein precipitation with acetonitrile but without acidification) prior to analysis by on-line solid phase extraction (Oasis HLB sorbent) coupled to high performance liquid chromatography negative electrospray ionization tandem mass spectrometry. The optimization was conducted using experimental designs to account for potential interactions between variables. Out of the 26 target analytes, 23 compounds showed excellent accuracy (+/- 25% of the expected values). Intermediate precision and matrix effects remained acceptable for most analytes thanks to efficient internal standardization. A human serum standard reference material (NIST SRM 1957) was included in the validation scheme to evaluate method trueness, which proved satisfactory (vertical bar Z-scores vertical bar&lt;2 for most compounds). Notwithstanding the small initial sample intake, limits of detection as low as 0.003-0.1 ngg(-1) plasma were obtained. This allowed the determination of 11 target PFASs in Antarctic seabird plasma samples. Sigma PFASs in Antarctic seabird plasma ranged from 0.37 to 19 ng g(-1), with a predominance of PFOS (&gt;54% of Sigma PFASs on average). The reduced plasma amount required implies that the present method could also be applied to the analysis of PFASs in the plasma of smaller biological models. (C) 2017 Elsevier B.V. All rights reserved.</t>
  </si>
  <si>
    <t>[Munoz, Gabriel; Geneste, Emmanuel; Pardon, Patrick] Univ Bordeaux, EPOC, UMR 5805, LPTC Res Grp, F-33400 Talence, France; [Labadie, Pierre; Budzinski, Helene] CNRS, EPOC, UMR 5805, LPTC Res Grp, F-33400 Talence, France; [Tartu, Sabrina; Chastel, Olivier] CEBC, CNRS, UMR 7372, ULR, F-79360 Villiers En Bois, France</t>
  </si>
  <si>
    <t>Centre National de la Recherche Scientifique (CNRS); Universite de Bordeaux; CNRS - National Institute for Earth Sciences &amp; Astronomy (INSU); Centre National de la Recherche Scientifique (CNRS); CNRS - National Institute for Earth Sciences &amp; Astronomy (INSU); Centre National de la Recherche Scientifique (CNRS); CNRS - Institute of Ecology &amp; Environment (INEE)</t>
  </si>
  <si>
    <t>Budzinski, H (corresponding author), CNRS, EPOC, UMR 5805, LPTC Res Grp, F-33400 Talence, France.</t>
  </si>
  <si>
    <t>helene.budzinski@u-bordeaux.fr</t>
  </si>
  <si>
    <t>Labadie, Pierre/F-9297-2015; Tartu, Sabrina/Q-4062-2018</t>
  </si>
  <si>
    <t>Labadie, Pierre/0000-0001-7184-6327; PARDON, Patrick/0000-0002-6244-6185; BUDZINSKI, Helene/0000-0001-5282-9011; Munoz, Gabriel/0000-0002-5242-5073</t>
  </si>
  <si>
    <t>French National Research Agency (PolarTOP project) [ANR-10-CESA-0016]; Institut Polaire Francais [109]; INSU-EC2CO Ecodyn program; NTERREG ORQUE SUDOE project [SOE3/P2/F591]; French National Research Agency (ANR) [ANR-10-LABX-45]; IdEx Bordeaux [ANR-10-IDEX-03-02]; Aquitaine Regional Council; European Union (CPER A2E project); Agence Nationale de la Recherche (ANR) [ANR-10-CESA-0016] Funding Source: Agence Nationale de la Recherche (ANR)</t>
  </si>
  <si>
    <t>French National Research Agency (PolarTOP project)(Agence Nationale de la Recherche (ANR)); Institut Polaire Francais; INSU-EC2CO Ecodyn program; NTERREG ORQUE SUDOE project; French National Research Agency (ANR)(Agence Nationale de la Recherche (ANR)Norwegian Agency for Development Cooperation - NORAD); IdEx Bordeaux; Aquitaine Regional Council(Region Nouvelle-Aquitaine); European Union (CPER A2E project)(European Union (EU)Marie Curie Actions); Agence Nationale de la Recherche (ANR)(Agence Nationale de la Recherche (ANR))</t>
  </si>
  <si>
    <t>This study was jointly funded by the French National Research Agency (PolarTOP project, grant ANR-10-CESA-0016 to O. Chastel), Institut Polaire Francais (program 109 to H. Weimerskirch) and INSU-EC2CO Ecodyn 2014 program (to O. Chastel). The authors also acknowledge funding from the INTERREG ORQUE SUDOE project (SOE3/P2/F591). This study has been carried out with financial support from the French National Research Agency (ANR) in the frame of the Investments for the future Program, within the Cluster of Excellence COTE (ANR-10-LABX-45). IdEx Bordeaux (ANR-10-IDEX-03-02) provided the PhD grant allocated to G. Munoz. The Aquitaine Regional Council and the European Union (CPER A2E project) are acknowledged for their financial support. Europe is moving in Aquitaine with the European Regional Development Fund (FEDER).</t>
  </si>
  <si>
    <t>0021-9673</t>
  </si>
  <si>
    <t>1873-3778</t>
  </si>
  <si>
    <t>J CHROMATOGR A</t>
  </si>
  <si>
    <t>J. Chromatogr. A</t>
  </si>
  <si>
    <t>10.1016/j.chroma.2017.07.024</t>
  </si>
  <si>
    <t>FE5YY</t>
  </si>
  <si>
    <t>WOS:000408288400012</t>
  </si>
  <si>
    <t>Rizzari, JR; Semmens, JM; Fox, A; Huveneers, C</t>
  </si>
  <si>
    <t>Rizzari, J. R.; Semmens, J. M.; Fox, A.; Huveneers, C.</t>
  </si>
  <si>
    <t>Observations of marine wildlife tourism effects on a non-focal species</t>
  </si>
  <si>
    <t>JOURNAL OF FISH BIOLOGY</t>
  </si>
  <si>
    <t>acoustic telemetry; ecotourism; elasmobranchs; movement; rays; shark diving</t>
  </si>
  <si>
    <t>CARCHARODON-CARCHARIAS; WHITE SHARKS; POPULATIONS; MOVEMENTS; BEHAVIOR</t>
  </si>
  <si>
    <t>A radio-acoustic positioning system was used to assess the effects of shark cage-diving operators (SCDO) on the fine-scale movements of a non-focal species, the smooth stingray Bathytoshia brevicaudata. The results revealed that the time spent in the array was individually variable, but generally increased when SCDO were present and that the presence of SCDO may have the capacity to elicit changes in the space use of B. brevicaudata. These results indicate that the effects of marine wildlife tourism may extend beyond the focal species of interest.</t>
  </si>
  <si>
    <t>[Rizzari, J. R.] James Cook Univ, Australian Res Council Ctr Excellence Coral Reef, Coll Sci &amp; Engn, Townsville, Qld 4811, Australia; [Rizzari, J. R.; Semmens, J. M.] Fisheries &amp; Aquaculture Ctr, Inst Marine &amp; Antarctic Studies, Hobart, Tas 7001, Australia; [Fox, A.] Fox Shark Res Fdn, Adelaide, SA 5070, Australia; [Huveneers, C.] Flinders Univ S Australia, Coll Sci &amp; Engn, Adelaide, SA 5042, Australia</t>
  </si>
  <si>
    <t>James Cook University; University of Tasmania; Flinders University South Australia</t>
  </si>
  <si>
    <t>Rizzari, JR (corresponding author), James Cook Univ, Australian Res Council Ctr Excellence Coral Reef, Coll Sci &amp; Engn, Townsville, Qld 4811, Australia.;Rizzari, JR (corresponding author), Fisheries &amp; Aquaculture Ctr, Inst Marine &amp; Antarctic Studies, Hobart, Tas 7001, Australia.</t>
  </si>
  <si>
    <t>justinrizzari@hotmail.com</t>
  </si>
  <si>
    <t>Semmens, Jayson/0000-0003-1742-6692; Huveneers, Charlie/0000-0001-8937-1358</t>
  </si>
  <si>
    <t>Winifred Violet Scott Charitable Trust; Neiser Foundation and Solar Online</t>
  </si>
  <si>
    <t>This project was carried out under the Department of the Environment and Natural Resources permit number M25738 and M25738-2 and PIRSA Exemption number 9902364. Tagging was undertaken under Flinders University ethics approval number E287, while the VRAP system was operated under the radio licence number 1917458 provided by the Australian Communications and Media Authority. This project was funded by the Winifred Violet Scott Charitable Trust, Neiser Foundation and Solar Online. The authors would like to thank Fox Shark Research Foundation, A. Wright and crew from Calypso Star Charters and C. Beckmann for providing invaluable logistic support and M. Espinoza for advice with data manipulation and analysis.</t>
  </si>
  <si>
    <t>0022-1112</t>
  </si>
  <si>
    <t>1095-8649</t>
  </si>
  <si>
    <t>J FISH BIOL</t>
  </si>
  <si>
    <t>J. Fish Biol.</t>
  </si>
  <si>
    <t>10.1111/jfb.13389</t>
  </si>
  <si>
    <t>FF5DU</t>
  </si>
  <si>
    <t>WOS:000408996500017</t>
  </si>
  <si>
    <t>Karanovic, I; Cho, JL</t>
  </si>
  <si>
    <t>Karanovic, Ivana; Cho, Joo-Lae</t>
  </si>
  <si>
    <t>Phylogenetic position of the East Asian ostracod genus Undulacandona within Candonidae with description of four new species from subterranean waters of Korea</t>
  </si>
  <si>
    <t>ZOOLOGICAL JOURNAL OF THE LINNEAN SOCIETY</t>
  </si>
  <si>
    <t>molecular phylogeny; new species; systematics; taxonomy</t>
  </si>
  <si>
    <t>THALASSOCYPRIDINE OSTRACODA; CANDONOPSIS CRUSTACEA; BOOTSTRAP FREQUENCIES; RIBOSOMAL DNA; SOUTH-KOREA; PODOCOPIDA; INFERENCE; MRBAYES; MODEL; AUSTRALIA</t>
  </si>
  <si>
    <t>Family Candonidae is one of the most diverse freshwater ostracod groups in terms of number of taxa and ecological adaptations. The family is especially well represented in the subterranean waters around the world, with many species being short-range endemics. Here we describe four new species, Undulacandona koreana sp. nov., U. aeolus sp. nov., U. andromeda sp. nov. and U. cetus sp. nov., from two localities in the central part of South Korea. One more species, Undulacandona sp., is briefly reported here, but not described because of the absence of adults. The mtCOI sequence obtained from Undulacandona sp. and its closest relative, U. koreana, supports a separate species status. Undulacandona Smith, 2011 was previously known only from two species from Japan. A peculiar looking Zenker organ, hemipenis, and uropodal ramus of the six Undulacandona suggest an isolated position in the family Candonidae. Here we use 28S and 18S rRNA to reconstruct phylogenetical relationships within candonid ostracods, but also between the three closely related families: Candonidae, Cyclocyprididae and Paracyprididae. We sample 30 species and use three methods to reconstruct the phylogenetic relationships: Bayesian inference, maximum likelihood and maximum parsimony. None of the methods and neither of the markers clearly resolve the interfamily relationships. However, the family Candonidae is always supported with highest bootstrap values and posterior probabilities, as is a sister relationship between Undulacandona and Cryptocandona Kaufmann, 1900. Our results also indicate the need for a revision of Paracyprididae, as well as the polyphyletic nature of the genus Fabaeformiscandona Krstic, 1972. We also recognize potential misidentifications on GenBank. Finally, we also provide a taxonomic key to Undulacandona species.</t>
  </si>
  <si>
    <t>[Karanovic, Ivana] Hanyang Univ, Coll Nat Sci, Dept Life Sci, Seoul 133791, South Korea; [Karanovic, Ivana] Univ Tasmania, Inst Marine &amp; Antarctic Studies, Private Bag 49, Hobart, Tas 7001, Australia; [Cho, Joo-Lae] Nakdonggang Natl Inst Biol Resources, Freshwater Bioresources Res Div, Gyeongsangbuk Do 37232, Sangju Si, South Korea</t>
  </si>
  <si>
    <t>Hanyang University; University of Tasmania</t>
  </si>
  <si>
    <t>Karanovic, I (corresponding author), Hanyang Univ, Coll Nat Sci, Dept Life Sci, Seoul 133791, South Korea.;Karanovic, I (corresponding author), Univ Tasmania, Inst Marine &amp; Antarctic Studies, Private Bag 49, Hobart, Tas 7001, Australia.</t>
  </si>
  <si>
    <t>National Institute of Biological Resources (NIBR); Ministry of Environment of the Republic of Korea (NIBR) [NIBR201501201]; National Research Foundation of Korea (NRF) [2016R1D1A1B01009806]</t>
  </si>
  <si>
    <t>National Institute of Biological Resources (NIBR); Ministry of Environment of the Republic of Korea (NIBR)(Ministry of Environment (ME), Republic of Korea); National Research Foundation of Korea (NRF)(National Research Foundation of Korea)</t>
  </si>
  <si>
    <t>This work is supported by two grants: National Institute of Biological Resources (NIBR), funded by the Ministry of Environment of the Republic of Korea (NIBR No. NIBR201501201), and National Research Foundation of Korea (NRF), number 2016R1D1A1B01009806.</t>
  </si>
  <si>
    <t>0024-4082</t>
  </si>
  <si>
    <t>1096-3642</t>
  </si>
  <si>
    <t>ZOOL J LINN SOC-LOND</t>
  </si>
  <si>
    <t>Zool. J. Linn. Soc.</t>
  </si>
  <si>
    <t>10.1093/zoolinnean/zlw020</t>
  </si>
  <si>
    <t>FF8AK</t>
  </si>
  <si>
    <t>WOS:000409237300003</t>
  </si>
  <si>
    <t>Alvarado, C; Sancy, M; Blamey, JM; Galarce, C; Monsalve, A; Pineda, F; Vejar, N; Páez, M</t>
  </si>
  <si>
    <t>Alvarado G, Claudia; Sancy, Mamie; Blamey, Jenny M.; Galarce, Carlos; Monsalve, Alberto; Pineda, Fabiola; Vejar, Nelson; Paez, Maritza</t>
  </si>
  <si>
    <t>Electrochemical characterization of aluminum alloy AA2024-T3 influenced by bacteria from Antarctica</t>
  </si>
  <si>
    <t>ELECTROCHIMICA ACTA</t>
  </si>
  <si>
    <t>AA2024-T3; Antarctica; microorganisms; polarization curves; impedance</t>
  </si>
  <si>
    <t>CORROSION BEHAVIOR; AERONAUTICAL ALLOY; FUEL TANKS; INHIBITION; BIOFILM; 2024-T3; TEMPERATURE; PARTICLES; MECHANISM; SEAWATER</t>
  </si>
  <si>
    <t>This work studied the microbiologically influenced corrosion susceptibility of the AA2024-T3 alloy exposed to sterile and inoculated media with three coccoidal bacteria, which were isolated from the corrosion product of a fuel outlet, belonging to a Twin Otter aircraft exposed to Antarctic environmental conditions. The consortium was mainly constituted by three bacteria, which have a close affiliation to Kocuria rhizophila, Staphylococcus epidermidis and Staphylococcus aureus. Electrochemical methods and surface analysis were carried out to investigate the corrosion susceptibility of the alloy under study in the presence of these bacteria. Electrochemical analysis suggested that the protective character of the oxide of the alloy film was modified during the immersion time in all media. Moreover, the surface analysis showed also that these bacteria influenced homogeneity of this oxide. In particular, the K. rhizophila increased slightly the current and decreased the resistance of AA2024-T3 against corrosion, instead the S. epidermidis showed a slight protective effect, while non-significant effect was observed with the presence of the consortium in the medium. (C) 2017 Published by Elsevier Ltd.</t>
  </si>
  <si>
    <t>[Alvarado G, Claudia; Monsalve, Alberto] Univ Santiago Chile, Dept Ingn Met, Alameda 3363, Santiago, Chile; [Alvarado G, Claudia; Vejar, Nelson] Fuerza Aerea Chile, Ctr Invest &amp; Desarrollo Ciencias Aeroespaciales, Av Jose Miguel Carrera, Santiago 11087, Chile; [Sancy, Mamie] Pontificia Univ Catolica Chile, Escuela Construcc Civil, Vicuna Mackenna 4860, Santiago, Chile; [Blamey, Jenny M.] Fdn Biociencia, Jose Domingo Canas 2280, Santiago, Chile; [Galarce, Carlos] Pontificia Univ Catolica Chile, Dept Ingn Hidraul &amp; Ambiental, Vicuna Mackenna 4860, Santiago, Chile; [Pineda, Fabiola] Pontificia Univ Catolica Chile, Dept Ingn Mecan &amp; Met, Vicuna Mackenna 4860, Santiago, Chile; [Vejar, Nelson; Paez, Maritza] Univ Santiago Chile, Dept Quim Mat, Alameda 3363, Santiago, Chile</t>
  </si>
  <si>
    <t>Universidad de Santiago de Chile; Pontificia Universidad Catolica de Chile; Pontificia Universidad Catolica de Chile; Pontificia Universidad Catolica de Chile; Universidad de Santiago de Chile</t>
  </si>
  <si>
    <t>Alvarado, C (corresponding author), Univ Santiago Chile, Dept Ingn Met, Alameda 3363, Santiago, Chile.</t>
  </si>
  <si>
    <t>claudia.alvarado.g@usach.cl</t>
  </si>
  <si>
    <t>Paez, Maritza/M-2010-2014; Vejar, Nelson Daniel/M-7784-2017; Galarce, Carlos/AAR-9405-2021; Blamey, Jenny M/M-2637-2014; Sancy, Mamié/GYU-9241-2022; Alvarado, Claudia/L-6852-2017; Sancy, Mamie/L-6270-2014</t>
  </si>
  <si>
    <t>Blamey, Jenny M/0000-0002-7640-316X; Alvarado, Claudia/0000-0003-2373-0359; Monsalve, Alberto/0000-0002-5772-8815; Sancy, Mamie/0000-0001-9523-2629; GALARCE GUTIERREZ, CARLOS/0000-0002-4250-3998; paez, maritza/0000-0001-5881-884X; Vejar, Nelson/0000-0002-9544-2199; Pineda, Fabiola/0000-0002-1508-7327</t>
  </si>
  <si>
    <t>CONICYT [21120394, 21130365]; Direccion de Postgrado of Universidad de Santiago de Chile; FONDECYT [1160604, 3140252]; PIA-CONICYT [ACT-1412]; AFOSR [FA 9550-14-1-0407]</t>
  </si>
  <si>
    <t>CONICYT(Comision Nacional de Investigacion Cientifica y Tecnologica (CONICYT)); Direccion de Postgrado of Universidad de Santiago de Chile; FONDECYT(Comision Nacional de Investigacion Cientifica y Tecnologica (CONICYT)CONICYT FONDECYT); PIA-CONICYT(Comision Nacional de Investigacion Cientifica y Tecnologica (CONICYT)); AFOSR(United States Department of DefenseAir Force Office of Scientific Research (AFOSR))</t>
  </si>
  <si>
    <t>Claudia Alvarado thanks CONICYT for the doctoral scholarship Grant 21120394 and the Direccion de Postgrado of Universidad de Santiago de Chile. Furthermore, the authors thank CONICYT for the doctoral scholarship 21130365, and FONDECYT (Grant 1160604 and 3140252), PIA-CONICYT (Grant ACT-1412) and AFOSR (Grant FA 9550-14-1-0407) for financial support.</t>
  </si>
  <si>
    <t>0013-4686</t>
  </si>
  <si>
    <t>1873-3859</t>
  </si>
  <si>
    <t>ELECTROCHIM ACTA</t>
  </si>
  <si>
    <t>Electrochim. Acta</t>
  </si>
  <si>
    <t>10.1016/j.electacta.2017.06.127</t>
  </si>
  <si>
    <t>Electrochemistry</t>
  </si>
  <si>
    <t>FF0HH</t>
  </si>
  <si>
    <t>WOS:000408582300008</t>
  </si>
  <si>
    <t>Byrne, NJ; Shepherd, TG; Woollings, T; Plumb, RA</t>
  </si>
  <si>
    <t>Byrne, Nicholas J.; Shepherd, Theodore G.; Woollings, Tim; Plumb, R. Alan</t>
  </si>
  <si>
    <t>Nonstationarity in Southern Hemisphere Climate Variability Associated with the Seasonal Breakdown of the Stratospheric Polar Vortex</t>
  </si>
  <si>
    <t>ANTARCTIC OZONE HOLE; ANNULAR MODES; CIRCULATION; TRENDS; SKILL</t>
  </si>
  <si>
    <t>Statistical models of climate generally regard climate variability as anomalies about a climatological seasonal cycle, which are treated as a stationary stochastic process plus a long-term seasonally dependent trend. However, the climate system has deterministic aspects apart from the climatological seasonal cycle and long-term trends, and the assumption of stationary statistics is only an approximation. The variability of the Southern Hemisphere zonal-mean circulation in the period encompassing late spring and summer is an important climate phenomenon and has been the subject of numerous studies. It is shown here, using reanalysis data, that this variability is rendered highly nonstationary by the organizing influence of the seasonal breakdown of the stratospheric polar vortex, which breaks time symmetry. It is argued that the zonal-mean tropospheric circulation variability during this period is best viewed as interannual variability in the transition between the springtime and summertime regimes induced by variability in the vortex breakdown. In particular, the apparent long-term poleward jet shift during the early-summer season can be more simply understood as a delay in the equatorward shift associated with this regime transition. The implications of such a perspective for various open questions are discussed.</t>
  </si>
  <si>
    <t>[Byrne, Nicholas J.; Shepherd, Theodore G.] Univ Reading, Dept Meteorol, Reading, Berks, England; [Woollings, Tim] Univ Oxford, Atmospher Ocean &amp; Planetary Phys, Oxford, England; [Plumb, R. Alan] MIT, Dept Earth Atmospher &amp; Planetary Sci, 77 Massachusetts Ave, Cambridge, MA 02139 USA</t>
  </si>
  <si>
    <t>University of Reading; University of Oxford; Massachusetts Institute of Technology (MIT)</t>
  </si>
  <si>
    <t>Byrne, NJ (corresponding author), Univ Reading, Dept Meteorol, Reading, Berks, England.</t>
  </si>
  <si>
    <t>n.byrne@pgr.reading.ac.uk</t>
  </si>
  <si>
    <t>Byrne, Nicholas/0000-0002-5088-5949</t>
  </si>
  <si>
    <t>European Union [654492]; European Research Council [339390]; Department of Meteorology Visitors Programme; Marie Curie Actions (MSCA) [654492] Funding Source: Marie Curie Actions (MSCA)</t>
  </si>
  <si>
    <t>European Union(European Union (EU)); European Research Council(European Research Council (ERC)); Department of Meteorology Visitors Programme; Marie Curie Actions (MSCA)(Marie Curie Actions)</t>
  </si>
  <si>
    <t>We thank Andrew Charlton-Perez, Tom Frame, and Giuseppe Zappa for helpful discussions and suggestions and two anonymous reviewers for their constructive comments. Funding support is acknowledged from the European Union's F7 research and innovation program under the Marie Skodowska-Curie Grant Agreement 654492 and from European Research Council Advanced Grant Understanding the Atmospheric Circulation Response to Climate Change'' (ACRCC), Project 339390. Part of the work was done during an extended visit by RAP to the University of Reading, with support provided by the Department of Meteorology Visitors Programme. We thank the European Centre for Medium-Range Weather Forecasts for the ERA-Interim data, NASA Goddard Space Flight Center Atmospheric Chemistry and Dynamics Laboratory for the EESC data, and NOAA/Earth System Research Laboratory for the ENSO data.</t>
  </si>
  <si>
    <t>10.1175/JCLI-D-17-0097.1</t>
  </si>
  <si>
    <t>FF0TG</t>
  </si>
  <si>
    <t>hybrid, Green Published, Green Submitted, Green Accepted</t>
  </si>
  <si>
    <t>WOS:000408613400002</t>
  </si>
  <si>
    <t>Lu, H; Gray, LJ; White, IP; Bracegirdle, TJ</t>
  </si>
  <si>
    <t>Lu, Hua; Gray, Lesley J.; White, Ian P.; Bracegirdle, Thomas J.</t>
  </si>
  <si>
    <t>Stratospheric Response to the 11-Yr Solar Cycle: Breaking Planetary Waves, Internal Reflection, and Resonance</t>
  </si>
  <si>
    <t>STATIONARY LONG WAVES; NORTHERN-HEMISPHERE; WINTERTIME STRATOSPHERE; NONLINEAR EVOLUTION; SPECTRAL IRRADIANCE; VERTICAL STRUCTURE; SUDDEN WARMINGS; ROSSBY WAVES; TIME-SERIES; VARIABILITY</t>
  </si>
  <si>
    <t>Breaking planetary waves (BPWs) affect stratospheric dynamics by reshaping the waveguides, causing internal wave reflection, and preconditioning sudden stratospheric warmings. This study examines observed changes in BPWs during the northern winter resulting from enhanced solar forcing and the consequent effect on the seasonal development of the polar vortex. During the period 1979-2014, solar-induced changes in BPWs were first observed in the uppermost stratosphere. High solar forcing was marked by sharpening of the potential vorticity (PV) gradient at 30 degrees-45 degrees N, enhanced wave absorption at high latitudes, and a reduced PV gradient between these regions. These anomalies instigated an equatorward shift of the upper-stratospheric waveguide and enhanced downward wave reflection at high latitudes. The equatorward refraction of reflected waves from the polar upper stratosphere then led to enhanced wave absorption at 35 degrees-45 degrees N and 7-20 hPa, indicative of a widening of the midstratospheric surf zone. The stratospheric waveguide was thus constricted at about 45 degrees-60 degrees N and 5-10 hPa in early boreal winter; reduced upward wave propagation through this region resulted in a stronger upper-stratospheric westerly jet. From January, the regions with enhanced BPWs acted as barriers'' for subsequent upward and equatorward wave propagation. As the waves were trapped within the stratosphere, anomalies of zonal wavenumbers 2 and 3 were reflected poleward from the stratospheric surf zone. Resonant excitation of some of these reflected waves resulted in rapid growth of wave disturbances and a more disturbed polar vortex in late winter. These results provide a process-oriented explanation for the observed solar cycle signal. They also highlight the importance of nonlinearity in the processes that drive the stratospheric response to external forcing.</t>
  </si>
  <si>
    <t>[Lu, Hua; White, Ian P.; Bracegirdle, Thomas J.] British Antarctic Survey, Cambridge, England; [Gray, Lesley J.] Univ Oxford, Dept Phys, Clarendon Lab, Oxford, England; [Gray, Lesley J.] NERC, Natl Ctr Atmospher Sci, Leeds, W Yorkshire, England; [White, Ian P.] Hebrew Univ Jerusalem, Inst Earth Sci, Jerusalem, Israel</t>
  </si>
  <si>
    <t>UK Research &amp; Innovation (UKRI); Natural Environment Research Council (NERC); NERC British Antarctic Survey; University of Oxford; UK Research &amp; Innovation (UKRI); Natural Environment Research Council (NERC); NERC National Centre for Atmospheric Science; University of Leeds; Hebrew University of Jerusalem</t>
  </si>
  <si>
    <t>Lu, H (corresponding author), British Antarctic Survey, Cambridge, England.</t>
  </si>
  <si>
    <t>hlu@bas.ac.uk</t>
  </si>
  <si>
    <t>Lu, Hua/GXA-0276-2022; Gray, Lesley J/D-3610-2009; Bracegirdle, Tom/AAD-6060-2020</t>
  </si>
  <si>
    <t>Lu, Hua/0000-0001-9485-5082; Gray, Lesley/0000-0002-7803-9277</t>
  </si>
  <si>
    <t>British Antarctic Survey Polar Science for Planet Earth Programme; National Centre for Atmospheric Science of the Natural Environment Research Council (NERC); North Atlantic Climate System Integrated Study (ACSIS) [NE/N018028/1]; Natural Environment Research Council [bas0100032, ncas10009, NE/N018028/1, NE/N018001/1] Funding Source: researchfish; NERC [NE/N018028/1, NE/N010965/1, bas0100032] Funding Source: UKRI</t>
  </si>
  <si>
    <t>British Antarctic Survey Polar Science for Planet Earth Programme; National Centre for Atmospheric Science of the Natural Environment Research Council (NERC); North Atlantic Climate System Integrated Study (ACSIS); Natural Environment Research Council(UK Research &amp; Innovation (UKRI)Natural Environment Research Council (NERC)); NERC(UK Research &amp; Innovation (UKRI)Natural Environment Research Council (NERC))</t>
  </si>
  <si>
    <t>This study is funded by the British Antarctic Survey Polar Science for Planet Earth Programme and the National Centre for Atmospheric Science of the Natural Environment Research Council (NERC). It is also funded by the North Atlantic Climate System Integrated Study (ACSIS) (NE/N018028/1). We acknowledge using ERA-Interim (http://apps.ecmwf.int/datasets/data/interim-full-daily) for most of our analysis. Figure 4 was based on the daily zonal-mean fields made available by the SPARC Reanalysis Intercomparison Project (S-RIP; https://s-rip.ees.hokudai.ac.jp). We thank Adam A. Scaife, Tony Philips, John C. King, and three anonymous reviewers for constructive comments that helped to improve the clarity of the paper.</t>
  </si>
  <si>
    <t>10.1175/JCLI-D-17-0023.1</t>
  </si>
  <si>
    <t>Green Accepted, hybrid</t>
  </si>
  <si>
    <t>WOS:000408613400005</t>
  </si>
  <si>
    <t>Fürst, JJ; Gillet-Chaulet, F; Benham, TJ; Dowdeswell, JA; Grabiec, M; Navarro, F; Pettersson, R; Moholdt, G; Nuth, C; Sass, B; Aas, K; Fettweis, X; Lang, C; Seehaus, T; Braun, M</t>
  </si>
  <si>
    <t>Fuerst, Johannes Jakob; Gillet-Chaulet, Fabien; Benham, Toby J.; Dowdeswell, Julian A.; Grabiec, Mariusz; Navarro, Francisco; Pettersson, Rickard; Moholdt, Geir; Nuth, Christopher; Sass, Bjoern; Aas, Kjetil; Fettweis, Xavier; Lang, Charlotte; Seehaus, Thorsten; Braun, Matthias</t>
  </si>
  <si>
    <t>Application of a two-step approach for mapping ice thickness to various glacier types on Svalbard</t>
  </si>
  <si>
    <t>SURFACE MASS-BALANCE; SEA-LEVEL RISE; CLIMATE MODEL MAR; SHEET MODEL; SUBGLACIAL TOPOGRAPHY; TIDEWATER GLACIERS; SATELLITE IMAGERY; ELEVATION CHANGES; BASAL CONDITIONS; TANDEM-X</t>
  </si>
  <si>
    <t>The basal topography is largely unknown beneath most glaciers and ice caps, and many attempts have been made to estimate a thickness field from other more accessible information at the surface. Here, we present a two-step reconstruction approach for ice thickness that solves mass conservation over single or several connected drainage basins. The approach is applied to a variety of test geometries with abundant thickness measurements including marine-and landterminating glaciers as well as a 2400 km(2) ice cap on Svalbard. The input requirements are kept to a minimum for the first step. In this step, a geometrically controlled, non-local flux solution is converted into thickness values relying on the shallow ice approximation (SIA). In a second step, the thickness field is updated along fast-flowing glacier trunks on the basis of velocity observations. Both steps account for available thickness measurements. Each thickness field is presented together with an error-estimate map based on a formal propagation of input uncertainties. These error estimates point out that the thickness field is least constrained near ice divides or in other stagnant areas. Withholding a share of the thickness measurements, error estimates tend to overestimate mismatch values in a median sense. We also have to accept an aggregate uncertainty of at least 25% in the reconstructed thickness field for glaciers with very sparse or no observations. For Vestfonna ice cap (VIC), a previous ice volume estimate based on the same measurement record as used here has to be corrected upward by 22 %. We also find that a 13% area fraction of the ice cap is in fact grounded below sea level. The former 5% estimate from a direct measurement interpolation exceeds an aggregate maximum range of 6-23% as inferred from the error estimates here.</t>
  </si>
  <si>
    <t>[Fuerst, Johannes Jakob; Sass, Bjoern; Seehaus, Thorsten; Braun, Matthias] Univ Erlangen Nurnberg, Inst Geog, Wetterkreuz 15, D-91058 Erlangen, Germany; [Gillet-Chaulet, Fabien] Univ Grenoble Alpes, CNRS, IGE, IRD, CS 40 700, Grenoble, France; [Benham, Toby J.; Dowdeswell, Julian A.] Univ Cambridge, Scott Polar Res Inst, Lensfield Rd, Cambridge CB2 1ER, England; [Grabiec, Mariusz] Univ Silesia Katowice, Fac Earth Sci, Ul Bankowa 12, PL-40007 Katowice, Poland; [Navarro, Francisco] Univ Politecn Madrid, ETSI Telecomunicac, Dept Matemat Aplicada Tecnol Informac &amp; Comunicac, Desp A302-4,Ave Complutense 30, E-28040 Madrid, Spain; [Pettersson, Rickard] Uppsala Univ, Dept Earth Sci, Geoctr, Villav 16, S-75236 Uppsala, Sweden; [Moholdt, Geir] Norwegian Polar Res Inst, Fram Ctr, POB 6606 Langnes, N-9296 Tromso, Norway; [Nuth, Christopher; Aas, Kjetil] Univ Oslo, Dept Geosci, POB 1047, N-0316 Oslo, Norway; [Fettweis, Xavier; Lang, Charlotte] Univ Liege, Dept Geog, Quartier Village 4,Clos Mercator 3, B-4000 Liege, Belgium</t>
  </si>
  <si>
    <t>University of Erlangen Nuremberg; Centre National de la Recherche Scientifique (CNRS); Institut de Recherche pour le Developpement (IRD); Communaute Universite Grenoble Alpes; Universite Grenoble Alpes (UGA); University of Cambridge; University of Silesia in Katowice; Universidad Politecnica de Madrid; Uppsala University; Norwegian Polar Institute; University of Oslo; University of Liege</t>
  </si>
  <si>
    <t>Fürst, JJ (corresponding author), Univ Erlangen Nurnberg, Inst Geog, Wetterkreuz 15, D-91058 Erlangen, Germany.</t>
  </si>
  <si>
    <t>johannes.fuerst@fau.de</t>
  </si>
  <si>
    <t>Navarro, Francisco/L-2941-2014; Braun, Matthias H/S-4693-2016; Braun, Matthias/A-4968-2009</t>
  </si>
  <si>
    <t>Navarro, Francisco/0000-0002-5147-0067; Pettersson, Rickard/0000-0002-6961-0128; Grabiec, Mariusz/0000-0002-1991-3577; Seehaus, Thorsten/0000-0001-5055-8959; Nuth, Christopher/0000-0002-1063-2832; Aas, Kjetil Schanke/0000-0003-4223-2267; Fettweis, Xavier/0000-0002-4140-3813; Braun, Matthias/0000-0001-5169-1567; Dowdeswell, Julian/0000-0003-1369-9482; Benham, Toby/0000-0003-2723-1880</t>
  </si>
  <si>
    <t>German Research Foundation (DFG) [FU1032/1-1]; DFG [1158, BR2105/9-1]; Helmholtz Association of the German Research Centres (HGF) Alliance on Remote Sensing and Earth System Dynamics; Spanish RD projects [C11093001, C150954001]; Polish National Centre for RD [NCBiR/PolarCLIMATE-2009/2-2/2010]; Polish Ministry of Science and Higher Education [IPY/269/2006]; Polish-Norwegian funding through the AWAKE project [PNRF-22-AI-1/07]; EU FP7 ice2sea programme [226375]; Leading National Research Centre (KNOW); European Research Council [320816]; ESA [4000109873/14/I-NB]; Norwegian Research Council [255331]; European Research Council (ERC) [320816] Funding Source: European Research Council (ERC)</t>
  </si>
  <si>
    <t>German Research Foundation (DFG)(German Research Foundation (DFG)); DFG(German Research Foundation (DFG)); Helmholtz Association of the German Research Centres (HGF) Alliance on Remote Sensing and Earth System Dynamics; Spanish RD projects; Polish National Centre for RD; Polish Ministry of Science and Higher Education(Ministry of Science and Higher Education, Poland); Polish-Norwegian funding through the AWAKE project; EU FP7 ice2sea programme(European Union (EU)); Leading National Research Centre (KNOW); European Research Council(European Research Council (ERC)); ESA(European Space Agency); Norwegian Research Council(Research Council of Norway); European Research Council (ERC)(European Research Council (ERC)Spanish Government)</t>
  </si>
  <si>
    <t>This study received primary funding from the German Research Foundation (DFG) under grant number FU1032/1-1. Results presented in this publication are based on numerical simulations conducted at the high-performance computing centre of the Regionales Rechenzentrum Erlangen (RRZE) of the University of Erlangen-Nuremberg. The reconstruction approach also benefits from co-development work of the Elmer/Ice team at the CSC-IT Center for Science Ltd. (Finland). The velocity analysis on Svalbard was funded by DFG within the priority programme 1158 Antarctic Research with Comparable Investigations in Arctic Sea Ice Areas under contract number BR2105/9-1 and received financial support from the Helmholtz Association of the German Research Centres (HGF) Alliance on Remote Sensing and Earth System Dynamics. Thickness data collection in Wedel Jarlsberg Land was funded by the Spanish R&amp;D projects C11093001 and C150954001, NCBiR/PolarCLIMATE-2009/2-2/2010 from the Polish National Centre for R&amp;D, by IPY/269/2006 from the Polish Ministry of Science and Higher Education, by Polish-Norwegian funding through the AWAKE (PNRF-22-AI-1/07) project, by the EU FP7 ice2sea programme (grant number 226375) and by funds of the Leading National Research Centre (KNOW) received by the Centre for Polar Studies of the University of Silesia, Poland. The DEM generation in Wedel Jarlsberg Land received financial support from the European Research Council (grant 320816) and from ESA (project Glaciers CCI, 4000109873/14/I-NB). TanDEM-X data were provided under AO XTIGLAC6770. The WRF-SMB field was produced within the PERMANOR project funded by the Norwegian Research Council (255331).</t>
  </si>
  <si>
    <t>10.5194/tc-11-2003-2017</t>
  </si>
  <si>
    <t>FF5TI</t>
  </si>
  <si>
    <t>WOS:000409059700001</t>
  </si>
  <si>
    <t>Singh, A; Krishnan, KP; Prabaharan, D; Sinha, RK</t>
  </si>
  <si>
    <t>Singh, Archana; Krishnan, Kottekattu P.; Prabaharan, Dharmar; Sinha, Rupesh K.</t>
  </si>
  <si>
    <t>Lipid membrane modulation and pigmentation: A cryoprotection mechanism in Arctic pigmented bacteria</t>
  </si>
  <si>
    <t>Arctic; bacteria; Kongsfjorden; lipid membrane; pigment</t>
  </si>
  <si>
    <t>SP-NOV.; CAROTENOID PIGMENT; FATTY-ACIDS; HOMEOVISCOUS ADAPTATION; GEN. NOV.; COLD; TEMPERATURE; FLUIDITY; ZEAXANTHIN; SOIL</t>
  </si>
  <si>
    <t>The present study aims to address the effect of gradual change in temperature (15-4 degrees C) followed by freeze-thaw on pigmented bacterial strains - Leeuwenhoekiella aequorea, Pseudomonas pelagia, Halomonas boliviensis, Rhodococcus yunnanensis, and Algoriphagus ratkwoskyi, isolated from Kongsfjorden (an Arctic fjord) to understand their survival in present climate change scenario. The total cell count and retrievability of the isolates were not affected despite the variation in temperature. In all the isolates, the saturated fatty acids, particularly stearic and palmitic acid were predominant at higher temperature, while at 4 degrees C, the unsaturated fatty acids, primarily cis-10-pentadecenoic, palmitoleic, and oleic acid, were major constituents, confirming homeoviscous adaptation. Even after freeze-thaw, the unsaturated fatty acid composition was retained in all the isolates except A. ratkwoskyi. The increase in unsaturated fatty acids was at the expense of their saturated analogs, probably by desaturase activity. The major pigment in the isolates resembled Zeaxanthin, whose concentration was found to be 26-65% higher after freeze-thaw, suggesting its vital role as a cryoprotective agent in regulating membrane fluidity. Such experimental simulations related to freeze-thaw in polar bacterial isolates are helpful in understanding the physiological plasticity adaptations, which could be critical for survival in harsh and rapidly changing polar environments.</t>
  </si>
  <si>
    <t>[Singh, Archana; Krishnan, Kottekattu P.; Sinha, Rupesh K.] Natl Ctr Antarctic &amp; Ocean Res, Vasco Da Gama 403804, Goa, India; [Prabaharan, Dharmar] Bharathidasan Univ, Natl Facil Marine Cyanobacteria, Tiruchirappalli, Tamil Nadu, India</t>
  </si>
  <si>
    <t>Ministry of Earth Sciences (MoES) - India; National Centre for Polar and Ocean Research (NCPOR); Bharathidasan University</t>
  </si>
  <si>
    <t>Singh, A (corresponding author), Natl Ctr Antarctic &amp; Ocean Res, Vasco Da Gama 403804, Goa, India.</t>
  </si>
  <si>
    <t>archanasingh@ncaor.gov.in</t>
  </si>
  <si>
    <t>Singh, Archana/0000-0002-4878-8429; Sinha, Rupesh Kumar/0000-0002-2080-0975</t>
  </si>
  <si>
    <t>Ministry of Earth Sciences (India)</t>
  </si>
  <si>
    <t>10.1002/jobm.201700182</t>
  </si>
  <si>
    <t>FF5MI</t>
  </si>
  <si>
    <t>WOS:000409034900006</t>
  </si>
  <si>
    <t>Breitzke, M; Wiles, E; Krocker, R; Watkeys, MK; Jokat, W</t>
  </si>
  <si>
    <t>Breitzke, Monika; Wiles, Errol; Krocker, Ralf; Watkeys, Michael K.; Jokat, Wilfried</t>
  </si>
  <si>
    <t>Seafloor morphology in the Mozambique Channel: evidence for long-term persistent bottom-current flow and deep-reaching eddy activity</t>
  </si>
  <si>
    <t>MARINE GEOPHYSICAL RESEARCH</t>
  </si>
  <si>
    <t>Seafloor morphology; Bedforms; Bottom currents; Deep-reaching mesoscale eddies; Mozambique Channel; SW Indian Ocean</t>
  </si>
  <si>
    <t>CONTOURITE DEPOSITIONAL SYSTEM; SUB-CIRCULAR DEPRESSIONS; DAVIE FRACTURE-ZONE; SEDIMENT WAVES; CONTINENTAL-MARGIN; FAROE-SHETLAND; NORTHEAST ATLANTIC; OCEAN CIRCULATION; CURRENT VELOCITY; TRANSKEI BASIN</t>
  </si>
  <si>
    <t>The Mozambique Channel plays a key role in the exchange of surface water masses between the Indian and Atlantic Oceans and forms a topographic barrier for meridional deep and bottom water circulation due to its northward shoaling water depths. New high-resolution bathymetry and sub-bottom profiler data show that due to these topographic constraints a peculiar seafloor morphology has evolved, which exhibits a large variety of current-controlled bedforms. The most spectacular bedforms are giant erosional scours in the southwest, where northward spreading Antarctic Bottom Water is topographically blocked to the north and deflected to the east forming furrows, channels and steep sediment waves along its flow path. Farther north, in the water depth range of North Atlantic Deep Water, the seafloor is strongly shaped by deep-reaching eddies. Steep, upslope migrating sediment waves in the west have formed beneath the southward flow of anticyclonic Mozambique Channel eddies (MCEs). Arcuate bedforms in the middle evolved through an interaction of the northward flow of MCEs with crevasse splays from a breach in the western Zambezi Channel levee. Hummocky bedforms in the east result from an interplay of East Madagascar Current eddies with overspill deposits of the crevasse and Zambezi Channel. All bedforms are draped with sediments indicating that the present-day current velocities are not strong enough to erode sediments. Hence, it can be concluded that the seafloor morphology developed during earlier times, when bottom-current velocities were stronger. Assuming a sedimentation rate of 20 m/Ma and a drape of at least 50 m thickness the bedforms may have developed during the Pliocene Epoch or earlier.</t>
  </si>
  <si>
    <t>[Breitzke, Monika] Univ Bremen, Dept Geosci, Klagenfurter Str, D-28359 Bremen, Germany; [Wiles, Errol; Watkeys, Michael K.] Univ KwaZulu Natal, Sch Agr Earth &amp; Environm Sci, Private Bag X 54001, ZA-4000 Durban, South Africa; [Krocker, Ralf; Jokat, Wilfried] Helmholtz Ctr Polar &amp; Marine Res, Alfred Wegener Inst, Alten Hafen 26, D-27568 Bremerhaven, Germany</t>
  </si>
  <si>
    <t>University of Bremen; University of Kwazulu Natal; Helmholtz Association; Alfred Wegener Institute, Helmholtz Centre for Polar &amp; Marine Research</t>
  </si>
  <si>
    <t>Breitzke, M (corresponding author), Univ Bremen, Dept Geosci, Klagenfurter Str, D-28359 Bremen, Germany.</t>
  </si>
  <si>
    <t>Monika.Breitzke@uni-bremen.de</t>
  </si>
  <si>
    <t>Wiles, Errol/AAD-2414-2022</t>
  </si>
  <si>
    <t>Breitzke, Monika/0000-0002-4868-3141; Jokat, Wilfried/0000-0002-7793-5854</t>
  </si>
  <si>
    <t>German Bundesministerium fur Bildung und Forschung (BMBF) [03G0183A]</t>
  </si>
  <si>
    <t>German Bundesministerium fur Bildung und Forschung (BMBF)(Federal Ministry of Education &amp; Research (BMBF))</t>
  </si>
  <si>
    <t>We thank the captain and crew of the RV Sonne cruise SO-183 for their efficient help and support during the expedition. Eric Firing (Department of Oceanography, University of Hawai'i at Manoa) kindly provided the LADCP data from WOCE section I4 and Herman Ridderinkhof (Royal Netherlands Institute for Sea Research) the LADCP data from the ACSEX-1 cruise via the CODIS data management group. The maps and the bathymetry profiles were produced using the free software GMT (Wessel and Smith 1991), and the hydrographic sections were produced using the free software Ocean Data View (Schlitzer 2011). The analysis and interpretation of the data were done within two cooperation projects between the Alfred-Wegener-Institute for Polar and Marine Research, Bremerhaven and the Universitat Bremen. The project was funded by the German Bundesministerium fur Bildung und Forschung (BMBF) under contract no. 03G0183A. We thank the editor Wu-Cheng Chi, Eleonora Martorelli and an anonymous reviewer for their critical and valuable comments, which helped to improve the manuscript significantly.</t>
  </si>
  <si>
    <t>0025-3235</t>
  </si>
  <si>
    <t>1573-0581</t>
  </si>
  <si>
    <t>MAR GEOPHYS RES</t>
  </si>
  <si>
    <t>Mar. Geophys. Res.</t>
  </si>
  <si>
    <t>10.1007/s11001-017-9322-7</t>
  </si>
  <si>
    <t>Geochemistry &amp; Geophysics; Oceanography</t>
  </si>
  <si>
    <t>FF7DW</t>
  </si>
  <si>
    <t>WOS:000409177700003</t>
  </si>
  <si>
    <t>Estebenet, MSG; Guerstein, GR; Raising, MER; Ponce, JJ; Alperín, MI</t>
  </si>
  <si>
    <t>Gonzalez Estebenet, M. Sol; Raquel Guerstein, G.; Rodriguez Raising, Martin E.; Ponce, Juan J.; Alperin, Marta I.</t>
  </si>
  <si>
    <t>Dinoflagellate cyst zonation for the middle to upper Eocene in the Austral Basin, southwestern Atlantic Ocean: implications for regional and global correlation</t>
  </si>
  <si>
    <t>GEOLOGICAL MAGAZINE</t>
  </si>
  <si>
    <t>dinoflagellate cyst; Eocene; biostratigraphy; palaeoenvironment; Austral Basin; Argentina</t>
  </si>
  <si>
    <t>SANTA-CRUZ PROVINCE; TIERRA-DEL-FUEGO; SOUTHERN-OCEAN; DRAKE PASSAGE; PALEOGENE; ARGENTINA; PATAGONIA; BIOSTRATIGRAPHY; AREA; RECONSTRUCTIONS</t>
  </si>
  <si>
    <t>The well-exposed marine Eocene units from southwestern Patagonia, Argentina, contain useful information for reconstructing regional climate and oceanographic patterns in an area adjacent to the Drake Passage. The aim of this paper is to integrate dinoflagellate cyst data from three sections of the southwestern Austral Basin (Rio Turbio Formation) to propose a zonation scheme, which can be applied to other southwestern Atlantic Ocean sites. Assemblages of organic walled dinoflagellate cysts have been analysed in different cropping-out sections and cores, showing the high potential of this fossil group as biostratigraphic markers. Comparison of dinoflagellate cyst events of the upper member of the Rio Turbio Formation with calibrated biostratigraphic ranges in the Palaeogene South Pacific Ocean allowed us to date and correlate these sedimentary sections. The resulting zonation consists of four dinoflagellate cyst zones labelled RTF 1 to RTF 4, between the middle Lutetian and late Priabonian. As a final point, we applied dinoflagellate cyst species with importance as palaeoenvironmental markers to assess long-term climatic and oceanographic evolution for the area. This study shows that the endemic-Antarctic dinoflagellate cyst assemblage is dominant during the middle to late Eocene (RTF 1 to RTF 3), while a significant replacement of these taxa by cosmopolitan species characterizes the upper part of the upper member of the Rio Turbio Formation (RTF 4). This turnover seems to be a consequence of changes in the ocean circulation patterns forced by deepening of the southern Atlantic gateways (the Drake Passage and the Tasman Gateway).</t>
  </si>
  <si>
    <t>[Gonzalez Estebenet, M. Sol; Raquel Guerstein, G.] Univ Nacl Sur, Dept Geol, Inst Geol Sur, San Juan 670,B8000ICN, Bahia Blanca, Buenos Aires, Argentina; [Gonzalez Estebenet, M. Sol; Raquel Guerstein, G.; Ponce, Juan J.] Consejo Nacl Invest Cient &amp; Tecn, Buenos Aires, DF, Argentina; [Rodriguez Raising, Martin E.] Yacimientos Petroliferos Fiscales SA, Oficinas Cent, Av Libertador 520, RA-9005 Comodoro Rivadavia, Chubut, Argentina; [Ponce, Juan J.] Univ Nacl Rio Negro, Inst Invest Paleobiol &amp; Geol, Sede Alto Valle, Argentina; [Alperin, Marta I.] Univ Nacl La Plata, Fac Ciencias Nat &amp; Museo, Calle 64 S-N E-Bv 120 &amp; Diag 113, RA-1900 La Plata, Buenos Aires, Argentina</t>
  </si>
  <si>
    <t>National University of the South; Consejo Nacional de Investigaciones Cientificas y Tecnicas (CONICET); National University of La Plata; Museo La Plata</t>
  </si>
  <si>
    <t>Estebenet, MSG (corresponding author), Univ Nacl Sur, Dept Geol, Inst Geol Sur, San Juan 670,B8000ICN, Bahia Blanca, Buenos Aires, Argentina.;Estebenet, MSG (corresponding author), Consejo Nacl Invest Cient &amp; Tecn, Buenos Aires, DF, Argentina.</t>
  </si>
  <si>
    <t>solge3@hotmail.com</t>
  </si>
  <si>
    <t>Guerstein, G. Raquel/0000-0003-1623-1084</t>
  </si>
  <si>
    <t>Agencia Nacional de Promocion Cientifica y Tecnologica [PICT 89/09]; Consejo Nacional de Investigaciones Cientificas y Tecnicas [PIP: 112-201101-00566]; Universidad Nacional del Sur [PGI 24/H125]</t>
  </si>
  <si>
    <t>Agencia Nacional de Promocion Cientifica y Tecnologica(ANPCyTSpanish Government); Consejo Nacional de Investigaciones Cientificas y Tecnicas(Consejo Nacional de Investigaciones Cientificas y Tecnicas (CONICET)); Universidad Nacional del Sur</t>
  </si>
  <si>
    <t>The authors thank O. Cardenas for palynological technical assistance, and J. Cornago for improving the language of the manuscript before submission. Rob Fensome and Peter Bijl are thanked for useful comments and suggestions that led to significant improvements to the new version of the manuscript. This study was funded by grants from the Agencia Nacional de Promocion Cientifica y Tecnologica (PICT 89/09), from Consejo Nacional de Investigaciones Cientificas y Tecnicas (PIP: 112-201101-00566) and from Universidad Nacional del Sur (PGI 24/H125).</t>
  </si>
  <si>
    <t>0016-7568</t>
  </si>
  <si>
    <t>1469-5081</t>
  </si>
  <si>
    <t>GEOL MAG</t>
  </si>
  <si>
    <t>Geol. Mag.</t>
  </si>
  <si>
    <t>10.1017/S0016756816000601</t>
  </si>
  <si>
    <t>FE8GC</t>
  </si>
  <si>
    <t>WOS:000408442600006</t>
  </si>
  <si>
    <t>Alonso-Arroyo, A; Zavorotny, VU; Camps, A</t>
  </si>
  <si>
    <t>Alonso-Arroyo, Alberto; Zavorotny, Valery U.; Camps, Adriano</t>
  </si>
  <si>
    <t>Sea Ice Detection Using UK TDS-1 GNSS-R Data</t>
  </si>
  <si>
    <t>Coherent scattering; global navigation satellite systems-reflectometry (GNSS-R); incoherent scattering; sea ice; UK TechDemoSat-1 (UK TDS-1)</t>
  </si>
  <si>
    <t>GPS SIGNALS; WIND-SPEED; REFLECTED SIGNALS; BISTATIC RADAR; OCEAN SURFACE; SCATTERING; PARIS</t>
  </si>
  <si>
    <t>A sea ice detection algorithm developed using the U.K. TechDemoSat-1 (U.K. TDS-1) global navigation satellite systems (GNSSs)-reflectometry data over the Arctic and Antarctic regions is presented. It is based on measuring the similarity of the received GNSS reflected waveform or delay Doppler map (DDM) to the coherent reflection model waveform. Over the open ocean, the scattered signal has a diffusive, incoherent nature; it is described by the rough surface scattering model based on the geometric optics and the Gaussian statistics for the ocean surface slopes. Over sea ice and, in particular, newly formed sea ice, the scattered signal acquires a coherence, which is characteristic for a surface with large flat areas. In order to measure the similarity of the received waveform or DDM, to the coherent reflection model, three different estimators are presented: the normalized DDM average, the trailing edge slope (TES), and the matched filter approach. Here, a probabilistic study is presented based on a Bayesian approach using two different and independent ground-truth data sets. This approach allows one to thoroughly assess the performance of the estimators. The best results are achieved for both the TES and the matched filter approach with a probability of detection of 98.5%, a probability of false alarm of similar to 3.6%, and a probability of error of 2.5%. However, the matched filter approach is preferred due to its simplicity. Data from AMSR2 processed using the Arctic Radiation and Turbulence Interaction STudy Sea Ice algorithm and from an Special Sensor Microwave Imager/Sounder radiometer processed by Ocean and Sea Ice SAF have been used as ground truth. A pixel has been classified as a sea ice pixel if the sea ice concentration (SIC) in it was larger than 15%. The measurement of the SIC is also assessed in this paper, but the nature of the U.K. TDS-1 data (lack of calibrated data) does not allow to make any specific conclusions about the SIC.</t>
  </si>
  <si>
    <t>[Alonso-Arroyo, Alberto] Univ Politecn Cataluna, BarcelonaTech, Dept Signal Theory &amp; Commun, ES-08034 Barcelona, Spain; [Alonso-Arroyo, Alberto; Zavorotny, Valery U.] NOAA, Earth Syst Res Lab, Div Phys Sci, Boulder, CO 80305 USA</t>
  </si>
  <si>
    <t>Universitat Politecnica de Catalunya; National Oceanic Atmospheric Admin (NOAA) - USA</t>
  </si>
  <si>
    <t>Alonso-Arroyo, A (corresponding author), Univ Politecn Cataluna, BarcelonaTech, Dept Signal Theory &amp; Commun, ES-08034 Barcelona, Spain.</t>
  </si>
  <si>
    <t>alberto.alonso.arroyo@tsc.upc.edu; valery.zavorotny@noaa.gov; camps@tsc.upc.edu</t>
  </si>
  <si>
    <t>Camps, Adriano/D-2592-2011; Alonso Arroyo, Alberto/L-4633-2014</t>
  </si>
  <si>
    <t>Camps, Adriano/0000-0002-9514-4992; Zavorotny, Valery/0000-0002-9113-683X; Alonso Arroyo, Alberto/0000-0003-3786-1261</t>
  </si>
  <si>
    <t>ASI AMSR2 data [REKLIM-2013-04]</t>
  </si>
  <si>
    <t>ASI AMSR2 data</t>
  </si>
  <si>
    <t>SIC data from September 1, 2014 to February 22, 2015 were obtained from http://www.meereisportal.de under Grant REKLIM-2013-04 (ASI AMSR2 data). The SIC product is from the EUMETSAT OSISAF. Ice concentration is computed from atmospherically corrected SSMIS brightness temperatures, using a combination of the state-of-the-art algorithms. It has been operational since 2005. SIC data from September 1, 2014 to February 22, 2015 were obtained from http://osisaf.met.no/p/ice/ (OSISAF SSMIS data). The authors would like to thank SSTL and the Measurement of earth Reflected Radio-navigation Signals By Satellite Project for the U.K. TDS-1 data provided to conduct this research at no cost. They would also like to thank S. Gleason for interesting discussions about how to process TDS-1 data. They would also like to thank C. Gabarro for sea ice detection discussion and for providing some processed SMOS data that could be used together with TDS-1 data for Sea Ice Mapping.</t>
  </si>
  <si>
    <t>10.1109/TGRS.2017.2699122</t>
  </si>
  <si>
    <t>FE6VI</t>
  </si>
  <si>
    <t>WOS:000408346600013</t>
  </si>
  <si>
    <t>Demchev, D; Volkov, V; Kazakov, E; Alcantarilla, PF; Sandven, S; Khmeleva, V</t>
  </si>
  <si>
    <t>Demchev, Denis; Volkov, Vladimir; Kazakov, Eduard; Alcantarilla, Pablo F.; Sandven, Stein; Khmeleva, Viktoriya</t>
  </si>
  <si>
    <t>Sea Ice Drift Tracking From Sequential SAR Images Using Accelerated-KAZE Features</t>
  </si>
  <si>
    <t>Feature tracking; ice drift; image processing; sea ice; Sentinel-1; synthetic aperture radar (SAR)</t>
  </si>
  <si>
    <t>MOTION TRACKING; SCALE-SPACE; EFFICIENT; ALGORITHMS; RETRIEVAL; FLOES</t>
  </si>
  <si>
    <t>In this paper, we propose a feature-tracking algorithm for sea ice drift retrieval from a pair of sequential satellite synthetic aperture radar (SAR) images. The method is based on feature tracking comprising feature detection, description, and matching steps. The approach exploits the benefits of nonlinear multiscale image representations using accelerated-KAZE (A-KAZE) features, a method that detects and describes image features in an anisotropic scale space. We evaluated several state-of-the-art feature-based algorithms, including A-KAZE, Scale Invariant Feature Transform (SIFT), and a very fast feature extractor that computes binary descriptors known as Oriented FAST and Rotated BRIEF (ORB) on dual polarized Sentinel-1A C-SAR extra wide swath mode data over the Arctic. The A-KAZE approach outperforms both ORB and SIFT up to an order of magnitude in ice drift. The experimental results showed high relevance of the proposed algorithm for retrieval of ice drift at subkilometre resolution from a pair of SAR images with 100-m pixel size. From this paper, we found that feature tracking using nonlinear scale-spaces is preferable due to its high efficiency against noise with respect to image features compared with other existing feature tracking alternatives that make use of Gaussian or linear scale spaces.</t>
  </si>
  <si>
    <t>[Demchev, Denis; Volkov, Vladimir; Kazakov, Eduard; Khmeleva, Viktoriya] Nansen Int Environm &amp; Remote Sensing Ctr, St Petersburg 199034, Russia; [Demchev, Denis] Arctic &amp; Antarctic Res Inst, Ctr Sea Ice &amp; Hydrometeor Informat, St Petersburg 199397, Russia; [Kazakov, Eduard] St Petersburg State Univ, Inst Earth Sci, St Petersburg 199034, Russia; [Alcantarilla, Pablo F.] IRobot Corp, London SW1P 1SB, England; [Sandven, Stein] Nansen Environm &amp; Remote Sensing Ctr, N-5006 Bergen, Norway</t>
  </si>
  <si>
    <t>Nansen Environmental &amp; Remote Sensing Center (NERSC); Arctic &amp; Antarctic Research Institute; Saint Petersburg State University; Nansen Environmental &amp; Remote Sensing Center (NERSC)</t>
  </si>
  <si>
    <t>Demchev, D (corresponding author), Nansen Int Environm &amp; Remote Sensing Ctr, St Petersburg 199034, Russia.</t>
  </si>
  <si>
    <t>denis.demchev@aari.ru</t>
  </si>
  <si>
    <t>Demchev, Denis/K-5354-2016; Demchev, Denis/AAI-2822-2020; Kazakov, Eduard/F-9596-2015</t>
  </si>
  <si>
    <t>Demchev, Denis/0000-0001-6907-1729; Demchev, Denis/0000-0001-6907-1729; Kazakov, Eduard/0000-0001-7942-302X; Fernandez Alcantarilla, Pablo/0000-0001-7185-2911; Sandven, Stein/0000-0002-8023-5779</t>
  </si>
  <si>
    <t>Russian Federation Ministry of Education and Science [14.618.21.0005, RFMEFI61815X0005]</t>
  </si>
  <si>
    <t>Russian Federation Ministry of Education and Science(Ministry of Education and Science, Russian Federation)</t>
  </si>
  <si>
    <t>This work was supported by the Russian Federation Ministry of Education and Science through the frame of the research project Ships and waves in polar regions under Project 14.618.21.0005 (unique identifier: RFMEFI61815X0005). (Corresponding author: Denis Demchev.)</t>
  </si>
  <si>
    <t>10.1109/TGRS.2017.2703084</t>
  </si>
  <si>
    <t>WOS:000408346600026</t>
  </si>
  <si>
    <t>Matsui, M; Kawamata, A; Kosugi, M; Imura, S; Kurosawa, N</t>
  </si>
  <si>
    <t>Matsui, Mihoko; Kawamata, Akinori; Kosugi, Makiko; Imura, Satoshi; Kurosawa, Norio</t>
  </si>
  <si>
    <t>Diversity of proteolytic microbes isolated from Antarctic freshwater lakes and characteristics of their cold-active proteases</t>
  </si>
  <si>
    <t>POLAR SCIENCE</t>
  </si>
  <si>
    <t>Antarctica; Freshwater lake; Microbial protein degradation; Protein hydrolysis</t>
  </si>
  <si>
    <t>EAST ANTARCTICA; BACTERIA; PURIFICATION; PSEUDOMONAS; LAND</t>
  </si>
  <si>
    <t>Despite being an extreme environment, the water temperature of freshwater lakes in Antarctica reaches 10 degrees C in summer, accelerating biological activity. In these environments, proteolytic microbial decomposers may play a large role in protein hydrolysis. We isolated 71 microbial strains showing proteolytic activity at 4 degrees C from three Antarctic freshwater lakes. They were classified as bacteria (63 isolates) and eukaryotes (8 isolates). The bacterial isolates were classified into the genera Flavobacterium (28 isolates), Pseudomonas (14 isolates), Arthrobacter (10 isolates), Psychrobacter (7 isolates), Cryobacterium (2 isolates), Hymenobacter (1 isolate), and Polaromonas (1 isolate). Five isolates of Flavobacterium and one of Hymenobacter seemed to belong to novel species. All eukaryotic isolates belonged to Glaciozyma antarctica, a psychrophilic yeast species originally isolated from the Weddell Sea near the Joinville Island, Antarctica. A half of representative strains were psychrophilic and did not grow at temperatures above 25 degrees C. The protease secreted by Pseudomonas prosekii strain ANS4-1 showed the highest activity among all proteases from representative isolates. The results of inhibitor tests indicated that nearly all the isolates secreted metalloproteases. Proteases from four representative isolates retained more than 30% maximal activity at 0 degrees C. These results expand our knowledge about microbial protein degradation in Antarctic freshwater lakes. (C) 2017 Elsevier B.V. and NIPR. All rights reserved.</t>
  </si>
  <si>
    <t>[Matsui, Mihoko; Kurosawa, Norio] Soka Univ, Grad Sch Engn, 1-236 Tangi Machi, Hachioji, Tokyo 1928577, Japan; [Kawamata, Akinori] Ehime Prefectural Sci Museum, 2133-2 Ojoin, Niihama, Ehime 7920060, Japan; [Kosugi, Makiko] Chuo Univ, Fac Sci &amp; Engn, Bunkyo Ku, 1-13-27 Kasuga, Tokyo 1128551, Japan; [Imura, Satoshi] Natl Inst Polar Res, 10-3 Midoricho, Tachikawa, Tokyo 1908518, Japan</t>
  </si>
  <si>
    <t>Soka University; Chuo University; Research Organization of Information &amp; Systems (ROIS); National Institute of Polar Research (NIPR) - Japan</t>
  </si>
  <si>
    <t>Kurosawa, N (corresponding author), Soka Univ, Grad Sch Engn, 1-236 Tangi Machi, Hachioji, Tokyo 1928577, Japan.</t>
  </si>
  <si>
    <t>kurosawa@soka.ac.jp</t>
  </si>
  <si>
    <t>Kurosawa, Norio/0000-0001-5095-2104; Imura, Satoshi/0000-0002-6803-6996</t>
  </si>
  <si>
    <t>JSPS KAKENHI [23247012]; Grants-in-Aid for Scientific Research [17H04474, 23247012] Funding Source: KAKEN</t>
  </si>
  <si>
    <t>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</si>
  <si>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This work was supported by JSPS KAKENHI Grant Number 23247012.</t>
  </si>
  <si>
    <t>1873-9652</t>
  </si>
  <si>
    <t>1876-4428</t>
  </si>
  <si>
    <t>POLAR SCI</t>
  </si>
  <si>
    <t>Polar Sci.</t>
  </si>
  <si>
    <t>10.1016/j.polar.2017.02.002</t>
  </si>
  <si>
    <t>FF1QE</t>
  </si>
  <si>
    <t>WOS:000408673200008</t>
  </si>
  <si>
    <t>Brown, KE; King, CK; Harrison, PL</t>
  </si>
  <si>
    <t>Brown, Kathryn E.; King, Catherine K.; Harrison, Peter L.</t>
  </si>
  <si>
    <t>LETHAL AND BEHAVIORAL IMPACTS OF DIESEL AND FUEL OIL ON THE ANTARCTIC AMPHIPOD PARAMOERA WALKERI</t>
  </si>
  <si>
    <t>ENVIRONMENTAL TOXICOLOGY AND CHEMISTRY</t>
  </si>
  <si>
    <t>Marine toxicity test; Oil spill; Risk assessment; Hydrocarbon; Antarctic; Amphipod</t>
  </si>
  <si>
    <t>DISPERSED CRUDE-OIL; COPEPOD CALANUS-FINMARCHICUS; WATER-ACCOMMODATED FRACTIONS; AROMATIC-HYDROCARBONS; PETROLEUM-PRODUCTS; SOLUBLE FRACTIONS; AQUATIC ORGANISMS; ARCTIC CONDITIONS; ACUTE TOXICITY; BAHIA-PARAISO</t>
  </si>
  <si>
    <t>Toxicity testing with Antarctic species is required for risk assessment of fuel spills in Antarctic coastal waters. The lethal and sublethal (movement behavior) sensitivities of adults and juveniles of the Antarctic amphipod Paramoera walkeri to the water accommodated fractions (WAFs) of 3 fuels were estimated in extended-duration tests at -1 degrees C to 21 d. Response of P. walkeri for lethal hydrocarbon concentrations was slow, with 50% lethal concentrations (LC50s) first able to be estimated at 7 d for adults exposed to Special Antarctic Blend diesel (SAB), which had the highest hydrocarbon concentrations of the 3 fuel WAFs. Juveniles showed greater response to marine gas oil (MGO) and intermediate residual fuel oil (IFO 180) at longer exposure durations and were most sensitive at 21 d to IFO 180 (LC50 12 mu g/L). Adults were initially more sensitive than juveniles; at 21 d, however, juveniles were more than twice as sensitive as adults to SAB (LC50 =153 mu g/L and 377 mu g/L, respectively). Significant effects on movement behavior were evident at earlier time points and lower concentrations than was mortality in all 3 fuel WAFs, and juveniles were highly sensitive to sublethal effects of MGO. These first estimates of Antarctic amphipod sensitivity to diesel and fuel oils in seawater contribute to the development of ecologically relevant risk assessments for management of hydrocarbon contamination in the region. (C) 2017 SETAC</t>
  </si>
  <si>
    <t>[Brown, Kathryn E.; Harrison, Peter L.] Southern Cross Univ, Marine Ecol Res Ctr, Lismore, NSW, Australia; [Brown, Kathryn E.; King, Catherine K.] Australian Antarctic Div, Antarctic Conservat &amp; Management, Kingston, Tas, Australia</t>
  </si>
  <si>
    <t>Southern Cross University; Australian Antarctic Division</t>
  </si>
  <si>
    <t>Brown, KE (corresponding author), Southern Cross Univ, Marine Ecol Res Ctr, Lismore, NSW, Australia.;Brown, KE (corresponding author), Australian Antarctic Div, Antarctic Conservat &amp; Management, Kingston, Tas, Australia.</t>
  </si>
  <si>
    <t>Kathryn.Brown@aad.gov.au</t>
  </si>
  <si>
    <t>Brown, Kathryn/AAE-9933-2021; King, Catherine K/G-7059-2017; Harrison, Peter L/B-4763-2011</t>
  </si>
  <si>
    <t>King, Catherine K/0000-0003-3356-0381; Brown, Kathryn/0000-0002-9093-8742</t>
  </si>
  <si>
    <t>Australian Antarctic Science grant [AAS 3054]; Australian Postgraduate Award through Southern Cross University</t>
  </si>
  <si>
    <t>Australian Antarctic Science grant; Australian Postgraduate Award through Southern Cross University</t>
  </si>
  <si>
    <t>This research was funded through an Australian Antarctic Science grant (AAS 3054, to P.L. Harrison) and an Australian Postgraduate Award through Southern Cross University. Essential logistical support was provided by the Australian Antarctic Division, and the authors thank members of the summer research expeditions at Davis 2009-2010 and 2010-2011 and at Casey 2011-2012, in particular the marine science and laboratory teams, including S. Payne, B. Sfiligoj, M. Ho, J. Ericson, A. Bryant, L. Marcus, A. Miskelly, J. van den Hoff, E. Woolfendene, M. Lindsay, J. Wasley, A. Cooper, and N. Alexander, for support in field collections and experimental work.</t>
  </si>
  <si>
    <t>0730-7268</t>
  </si>
  <si>
    <t>1552-8618</t>
  </si>
  <si>
    <t>ENVIRON TOXICOL CHEM</t>
  </si>
  <si>
    <t>Environ. Toxicol. Chem.</t>
  </si>
  <si>
    <t>10.1002/etc.3778</t>
  </si>
  <si>
    <t>Environmental Sciences; Toxicology</t>
  </si>
  <si>
    <t>Environmental Sciences &amp; Ecology; Toxicology</t>
  </si>
  <si>
    <t>FE6JX</t>
  </si>
  <si>
    <t>WOS:000408316900024</t>
  </si>
  <si>
    <t>Cabrera, MA; Blamey, JM</t>
  </si>
  <si>
    <t>Angeles Cabrera, Ma; Blamey, Jenny M.</t>
  </si>
  <si>
    <t>Cloning, overexpression, and characterization of a thermostable nitrilase from an Antarctic Pyrococcus sp.</t>
  </si>
  <si>
    <t>EXTREMOPHILES</t>
  </si>
  <si>
    <t>Nitrilase; Overexpression; Thermostability; Archaeon; Antarctica</t>
  </si>
  <si>
    <t>BIOCHEMICAL-CHARACTERIZATION; IMINODIACETIC ACID; PURIFICATION; ARYLACETONITRILASE; EXPRESSION; ALIGNMENT; ENZYMES; GENE</t>
  </si>
  <si>
    <t>Nitriles are important chemical building blocks for the synthesis of intermediates in fine chemical and pharmaceutical industries. Here, we report a new highly thermostable nitrilase from an Antarctic Pyrococcus sp. MC-FB, a hyperthermophilic archaeon. A gene that encoded a nitrilase was identified and subsequently cloned and overexpressed in Escherichia coli. The recombinant nitrilase, named NitMC-FB, is active as a homodimer (60 kDa) with an optimal temperature and pH of 90 degrees C and 7.0, respectively. NitMC-FB hydrolyzes preferentially aromatic nitriles, being the first aromatic nitrilase from an archaeon described so far. The K-M and V (max) parameters were determined to be 13.9 mM and 3.7 mu mol/min*mg, respectively, with 2-cyanopyridine as the substrate. Additionally, the recombinant nitrilase is highly thermostable with a half-life of 8 h at 90 degrees C.</t>
  </si>
  <si>
    <t>[Angeles Cabrera, Ma; Blamey, Jenny M.] Univ Santiago Chile, Ave Libertador Bernardo O Higgins 3363, Santiago, Chile; [Angeles Cabrera, Ma; Blamey, Jenny M.] Fdn Cient &amp; Cultural Biociencia, Jose Domingo Canas 2280, Jos, Chile</t>
  </si>
  <si>
    <t>Universidad de Santiago de Chile</t>
  </si>
  <si>
    <t>Blamey, JM (corresponding author), Univ Santiago Chile, Ave Libertador Bernardo O Higgins 3363, Santiago, Chile.;Blamey, JM (corresponding author), Fdn Cient &amp; Cultural Biociencia, Jose Domingo Canas 2280, Jos, Chile.</t>
  </si>
  <si>
    <t>jblamey@bioscience.cl</t>
  </si>
  <si>
    <t>Blamey, Jenny M/M-2637-2014</t>
  </si>
  <si>
    <t>Blamey, Jenny M/0000-0002-7640-316X</t>
  </si>
  <si>
    <t>Becas CONICYT (Comision Nacional de Investigacion Cientifica y Tecnologica); INACH (Instituto Antartico Chileno)</t>
  </si>
  <si>
    <t>We acknowledge the financial support of Becas CONICYT (Comision Nacional de Investigacion Cientifica y Tecnologica) and INACH (Instituto Antartico Chileno).</t>
  </si>
  <si>
    <t>SPRINGER JAPAN KK</t>
  </si>
  <si>
    <t>TOKYO</t>
  </si>
  <si>
    <t>CHIYODA FIRST BLDG EAST, 3-8-1 NISHI-KANDA, CHIYODA-KU, TOKYO, 101-0065, JAPAN</t>
  </si>
  <si>
    <t>1431-0651</t>
  </si>
  <si>
    <t>1433-4909</t>
  </si>
  <si>
    <t>Extremophiles</t>
  </si>
  <si>
    <t>10.1007/s00792-017-0948-9</t>
  </si>
  <si>
    <t>FE5CQ</t>
  </si>
  <si>
    <t>WOS:000408230000004</t>
  </si>
  <si>
    <t>Madigan, MT; Kempher, ML; Bender, KS; Sullivan, P; Sattley, WM; Dohnalkova, AC; Joye, SB</t>
  </si>
  <si>
    <t>Madigan, Michael T.; Kempher, Megan L.; Bender, Kelly S.; Sullivan, Paul; Sattley, W. Matthew; Dohnalkova, Alice C.; Joye, Samantha B.</t>
  </si>
  <si>
    <t>Characterization of a cold-active bacterium isolated from the South Pole Ice Tunnel</t>
  </si>
  <si>
    <t>Antarctic microbiology; Amundsen-Scott South Pole Station; Pseudomonas psychrophila</t>
  </si>
  <si>
    <t>MCMURDO DRY VALLEYS; COVERED LAKE FRYXELL; DEGREES-C; SP-NOV; PSYCHROPHILIC BACTERIUM; MICROBIAL ACTIVITY; GLACIAL ICE; HOT-SPRINGS; SEA-ICE; ANTARCTICA</t>
  </si>
  <si>
    <t>Extremely cold microbial habitats on Earth (those below -30 degrees C) are rare and have not been surveyed for microbes as extensively as environments in the 0 to -20 degrees C range. Using cryoprotected growth media incubated at -5 degrees C, we enriched a cold-active Pseudomonas species from -50 degrees C ice collected from a utility tunnel for wastewater pipes under Amundsen-Scott South Pole Station, Antarctica. The isolate, strain UC-1, is related to other cold-active Pseudomonas species, most notably P. psychrophila, and grew at -5 degrees C to +34-37 degrees C; growth of UC-1 at +3 degrees C was significantly faster than at +34 degrees C. Strain UC-1 synthesized a surface exopolymer and high levels of unsaturated fatty acids under cold growth conditions. A 16S rRNA gene diversity screen of the ice sample that yielded strain UC-1 revealed over 1200 operational taxonomic units (OTUs) distributed across eight major classes of Bacteria. Many of the OTUs were Clostridia and Bacteriodia and some of these were probably of wastewater origin. However, a significant fraction of the OTUs were Proteobacteria and Actinobacteria of likely environmental origin. Our results shed light on the lower temperature limits to life and the possible existence of functional microbial communities in ultra-cold environments.</t>
  </si>
  <si>
    <t>[Madigan, Michael T.; Kempher, Megan L.; Bender, Kelly S.] Southern Illinois Univ, Dept Microbiol, Carbondale, IL 62901 USA; [Kempher, Megan L.] Univ Oklahoma, Dept Microbiol &amp; Plant Biol, Norman, OK 73019 USA; [Sullivan, Paul] US Antarctic Program, Amundsen Scott Stn, Arlington, VA USA; [Sattley, W. Matthew] Indiana Wesleyan Univ, Div Nat Sci, Marion, IN 46953 USA; [Dohnalkova, Alice C.] Pacific Northwest Natl Lab, Richland, WA 99352 USA; [Joye, Samantha B.] Univ Georgia, Dept Marine Sci, Athens, GA 30602 USA</t>
  </si>
  <si>
    <t>Southern Illinois University System; Southern Illinois University; University of Oklahoma System; University of Oklahoma - Norman; United States Department of Energy (DOE); Pacific Northwest National Laboratory; University System of Georgia; University of Georgia</t>
  </si>
  <si>
    <t>Madigan, MT (corresponding author), Southern Illinois Univ, Dept Microbiol, Carbondale, IL 62901 USA.</t>
  </si>
  <si>
    <t>madigan@siu.edu</t>
  </si>
  <si>
    <t>Sattley, W. Matthew/0000-0001-6712-2836</t>
  </si>
  <si>
    <t>NASA Exobiology/Astrobiology Program [NNX11AG45G]; Department of Energy's Office of Biological and Environmental Research located at the Pacific Northwest National Laboratory in Richland, WA; NASA [NNX11AG45G, 145622] Funding Source: Federal RePORTER</t>
  </si>
  <si>
    <t>NASA Exobiology/Astrobiology Program; Department of Energy's Office of Biological and Environmental Research located at the Pacific Northwest National Laboratory in Richland, WA; NASA(National Aeronautics &amp; Space Administration (NASA))</t>
  </si>
  <si>
    <t>This project was supported in part by NASA Exobiology/Astrobiology Program Award NNX11AG45G to SBJ. Electron microscopy was performed at the Environmental Molecular Sciences Laboratory (EMSL), a national scientific user facility sponsored by the Department of Energy's Office of Biological and Environmental Research, located at the Pacific Northwest National Laboratory in Richland, WA. Special thanks are extended to Dr. Michael New (NASA) and Dr. Roberta Marinelli (NSF) for arranging the sample collection visit of MTM to Amundsen-Scott Station, and to the New York Air National Guard for round trip LC-130 transportation from McMurdo to the South Pole. MTM thanks Deborah Jung and Spencer Horn for technical assistance.</t>
  </si>
  <si>
    <t>10.1007/s00792-017-0950-2</t>
  </si>
  <si>
    <t>WOS:000408230000006</t>
  </si>
  <si>
    <t>Grant, TJ</t>
  </si>
  <si>
    <t>Grant, Timothy J.</t>
  </si>
  <si>
    <t>Inferences of ocean currents from seismic streamer position data</t>
  </si>
  <si>
    <t>GEOPHYSICAL PROSPECTING</t>
  </si>
  <si>
    <t>Acquisition; Inverse Problem</t>
  </si>
  <si>
    <t>INVERSE PROBLEMS</t>
  </si>
  <si>
    <t>This paper describes the first attempt to infer ocean currents from the shapes of seismic streamers using real data. It demonstrates that it is feasible to infer the ocean currents, using a total least-squares solution at each shotpoint, when there is no lateral steering. There are some artefacts in the inferred currents when there is lateral steering; this is believed to be caused by errors in estimating the streamer velocity. This paper describes the residual equations that form the cost function and discusses how to choose weights in the cost function based on physical criteria. Correctly choosing weights is something of an art and requires further research to make automatic and robust.</t>
  </si>
  <si>
    <t>[Grant, Timothy J.] Schlumberger Gould Res, Madingley Rd, Cambridge CB3 0EL, England; [Grant, Timothy J.] British Antarctic Survey, Madingley Rd, Cambridge CB3 0ET, England</t>
  </si>
  <si>
    <t>Schlumberger; UK Research &amp; Innovation (UKRI); Natural Environment Research Council (NERC); NERC British Antarctic Survey</t>
  </si>
  <si>
    <t>Grant, TJ (corresponding author), Schlumberger Gould Res, Madingley Rd, Cambridge CB3 0EL, England.;Grant, TJ (corresponding author), British Antarctic Survey, Madingley Rd, Cambridge CB3 0ET, England.</t>
  </si>
  <si>
    <t>timothy_grant@hotmail.co.uk</t>
  </si>
  <si>
    <t>Natural Environment Research Council [NE/L008246/1]; Schlumberger; NERC [NE/L008246/1, bas0100033] Funding Source: UKRI; Natural Environment Research Council [bas0100033, NE/L008246/1] Funding Source: researchfish</t>
  </si>
  <si>
    <t>Natural Environment Research Council(UK Research &amp; Innovation (UKRI)Natural Environment Research Council (NERC)); Schlumberger(Schlumberger); NERC(UK Research &amp; Innovation (UKRI)Natural Environment Research Council (NERC)); Natural Environment Research Council(UK Research &amp; Innovation (UKRI)Natural Environment Research Council (NERC))</t>
  </si>
  <si>
    <t>The author would like to thank Robert Laws for help and guidance throughout this project, Ken Welker for describing how the node positions are calculated, Nicolas Barral for discussing reasons why the drag on different streamers may be different, the seismic vessel Western Neptune for collecting the data, and many others at WesternGeco who helped with my queries. Finally, the author would like to thank the Natural Environment Research Council (Grant NE/L008246/1) and Schlumberger for funding this research.</t>
  </si>
  <si>
    <t>0016-8025</t>
  </si>
  <si>
    <t>1365-2478</t>
  </si>
  <si>
    <t>GEOPHYS PROSPECT</t>
  </si>
  <si>
    <t>Geophys. Prospect.</t>
  </si>
  <si>
    <t>10.1111/1365-2478.12479</t>
  </si>
  <si>
    <t>FE3YG</t>
  </si>
  <si>
    <t>WOS:000408151000003</t>
  </si>
  <si>
    <t>Ma, J; Tang, JY; Wang, S; Chen, ZL; Li, XD; Li, YH</t>
  </si>
  <si>
    <t>Ma, Jing; Tang, Jing Yan; Wang, Su; Chen, Zhi Ling; Li, Xue Dong; Li, Yan Hong</t>
  </si>
  <si>
    <t>Illumina sequencing of bacterial 16S rDNA and 16S rRNA reveals seasonal and species-specific variation in bacterial communities in four moss species</t>
  </si>
  <si>
    <t>APPLIED MICROBIOLOGY AND BIOTECHNOLOGY</t>
  </si>
  <si>
    <t>Illumina sequencing; Seasonal dynamics; Bacterial communities; Moss; rDNA; rRNA</t>
  </si>
  <si>
    <t>SP NOV.; EPIPHYTIC BACTERIA; ANTARCTIC MOSS; SOIL; DEGRADATION; GENOME; METHYLOBACTERIUM; ACTINOBACTERIUM; NANOPARTICLES; METHYLIBIUM</t>
  </si>
  <si>
    <t>In order to better understand the factors that influence bacterial diversity and community composition in moss-associated bacteria, a study of bacterial communities in four moss species collected in three seasons was carried out via high-throughput sequencing of 16S rDNA and 16S rRNA. Moss species included Cratoneuron filicinum, Pylaisiella polyantha, Campyliadelphus polygamum, and Grimmia pilifera, with samples collected in May, July, and October 2015 from rocks at Beijing Songshan National Nature Reserve. In total, the bacterial richness and diversity were high regardless of moss species, sampling season, or data source (DNA vs. RNA). Bacterial sequences were assigned to a total of 558 OTUs and 279 genera in 16 phyla. Proteobacteria and Actinobacteria were the two most abundant phyla, and Cellvibrio, Lapillicoccus, Jatrophihabitans, Friedmanniella, Oligoflexus, and Bosea the most common genera in the samples. A clustering algorithm and principal coordinate analysis revealed that C. filicinum and C. polygamum had similar bacterial communities, as did P. polyantha and G. pilifera. Metabolically active bacteria showed the same pattern in addition to seasonal variation: bacterial communities were most similar in summer and autumn, looking at each moss species separately. In contrast, DNA profiles lacked obvious seasonal dynamics. A partial least squares discriminant analysis identified three groups of samples that correlated with differences in moss species resources. Although bacterial community composition did vary with the sampling season and data source, these were not the most important factors influencing bacterial communities. Previous reports exhibited that mosses have been widely used in biomonitoring of air pollution by enriching some substances or elements in the moss-tag technique and the abundant moss associated bacteria might also be important components involved in the related biological processes. Thus, this survey not only enhanced our understanding of the factors which influence microbial communities in mosses but also would be helpful for better use and development of the moss-tag technique in the environmental biomonitoring.</t>
  </si>
  <si>
    <t>[Ma, Jing; Tang, Jing Yan; Wang, Su; Chen, Zhi Ling; Li, Xue Dong; Li, Yan Hong] Capital Normal Univ, Coll Life Sci, Xisanhuan North Rd 105, Beijing 100048, Peoples R China</t>
  </si>
  <si>
    <t>Capital Normal University</t>
  </si>
  <si>
    <t>Li, YH (corresponding author), Capital Normal Univ, Coll Life Sci, Xisanhuan North Rd 105, Beijing 100048, Peoples R China.</t>
  </si>
  <si>
    <t>liyh@cnu.edu.cn</t>
  </si>
  <si>
    <t>Li, Yanhong/GWV-3194-2022; tang, jing/HHR-9815-2022; li, xuedong/JYP-4367-2024; Sun, Yuchen/JZD-1692-2024; TANG, JINGYU/HNQ-5979-2023</t>
  </si>
  <si>
    <t>National Natural Science Foundation of China [31470136]</t>
  </si>
  <si>
    <t>This study was funded by the scientific research program of the National Natural Science Foundation of China (No. 31470136).</t>
  </si>
  <si>
    <t>0175-7598</t>
  </si>
  <si>
    <t>1432-0614</t>
  </si>
  <si>
    <t>APPL MICROBIOL BIOT</t>
  </si>
  <si>
    <t>Appl. Microbiol. Biotechnol.</t>
  </si>
  <si>
    <t>10.1007/s00253-017-8391-5</t>
  </si>
  <si>
    <t>FD5IB</t>
  </si>
  <si>
    <t>WOS:000407563000016</t>
  </si>
  <si>
    <t>Weldrick, CK; Jelinski, DE</t>
  </si>
  <si>
    <t>Weldrick, Christine K.; Jelinski, Dennis E.</t>
  </si>
  <si>
    <t>Seasonal dynamics in a nearshore isotopic niche and spatial subsidies from multi-trophic aquaculture</t>
  </si>
  <si>
    <t>CANADIAN JOURNAL OF FISHERIES AND AQUATIC SCIENCES</t>
  </si>
  <si>
    <t>SABLEFISH ANOPLOPOMA-FIMBRIA; PARTICULATE ORGANIC-MATTER; STABLE-ISOTOPE; FOULING ORGANISMS; COASTAL WATERS; MIXING MODELS; FOOD; CARBON; FISH; RATIOS</t>
  </si>
  <si>
    <t>A poorly understood food web dynamic concerns possible seasonal variation in spatial subsidies associated with multi-trophic aquaculture and their effects on extractive and naturally occurring organisms. We used the stable isotopes delta C-13 and delta N-15 and circular statistics to investigate niche overlap across a year-long period at an experimental multi-trophic aquaculture facility in British Columbia, Canada. A two-source mixing model revealed that particulate organic matter was the most important food source for all sample invertebrates (mean range 40%-98%) compared with farm effluent (mean range 3%-35%). There were significant month-to-month changes in delta C-13 and delta N-15 for all species except for the brooding transparent tunicate (Corella inflata). We did not detect any directionality for the entire community, but did identify variable directional shifts for each species, suggesting resource partitioning driven by competition and (or) morphology-based differences in feeding strategies. This was further supported by seasonal variation in inter-and intraspecific isotopic niche widths. Isotopic niche overlap among co-occurring invertebrates appeared to be stronger during winter and summer than autumn months. Our study provides valuable insights on the role of multi-trophic derived effluent on a nearshore marine community composed of both natural and cultured species within the same feeding guild.</t>
  </si>
  <si>
    <t>[Weldrick, Christine K.; Jelinski, Dennis E.] Univ Victoria, Dept Geog, Lab Ecosyst &amp; Landscape Ecol, Victoria, BC V8W 3R4, Canada; [Jelinski, Dennis E.] Univ Tasmania, Antarctic Climate &amp; Ecosyst Cooperat Res Ctr, Private Bag 80, Hobart, Tas 7001, Australia</t>
  </si>
  <si>
    <t>University of Victoria; Antarctic Climate &amp; Ecosystems Cooperative Research Centre (ACE CRC); University of Tasmania</t>
  </si>
  <si>
    <t>Jelinski, DE (corresponding author), Univ Victoria, Dept Geog, Lab Ecosyst &amp; Landscape Ecol, Victoria, BC V8W 3R4, Canada.;Jelinski, DE (corresponding author), Univ Tasmania, Antarctic Climate &amp; Ecosyst Cooperat Res Ctr, Private Bag 80, Hobart, Tas 7001, Australia.</t>
  </si>
  <si>
    <t>jelinski@mail.geog.uvic.ca</t>
  </si>
  <si>
    <t>Weldrick, Christine/N-2617-2017</t>
  </si>
  <si>
    <t>Weldrick, Christine/0000-0003-1099-438X</t>
  </si>
  <si>
    <t>Natural Sciences and Engineering Research Council of Canada (NSERC)</t>
  </si>
  <si>
    <t>Natural Sciences and Engineering Research Council of Canada (NSERC)(Natural Sciences and Engineering Research Council of Canada (NSERC))</t>
  </si>
  <si>
    <t>We are grateful to S.F. Cross for access to the multi-trophic aquaculture facility and logistical support. C.K. Weldrick was supported in part by grants to D.E. Jelinski and S.F. Cross from the Natural Sciences and Engineering Research Council of Canada (NSERC). We appreciate the editorial assistance of D. Braithwaite. D.E. Jelinski thanks Guinness Bell-Martin for constructive feedback during preparation of the final version of the manuscript.</t>
  </si>
  <si>
    <t>0706-652X</t>
  </si>
  <si>
    <t>1205-7533</t>
  </si>
  <si>
    <t>CAN J FISH AQUAT SCI</t>
  </si>
  <si>
    <t>Can. J. Fish. Aquat. Sci.</t>
  </si>
  <si>
    <t>10.1139/cjfas-2016-0372</t>
  </si>
  <si>
    <t>FE6KY</t>
  </si>
  <si>
    <t>WOS:000408319600007</t>
  </si>
  <si>
    <t>Barbaro, E; Zangrando, R; Padoan, S; Karroca, O; Toscano, G; Cairns, WRL; Barbante, C; Gambaro, A</t>
  </si>
  <si>
    <t>Barbaro, Elena; Zangrando, Roberta; Padoan, Sara; Karroca, Ornela; Toscano, Giuseppa; Cairns, Warren R. L.; Barbante, Carlo; Gambaro, Andrea</t>
  </si>
  <si>
    <t>Aerosol and snow transfer processes: An investigation on the behavior of water-soluble organic compounds and ionic species</t>
  </si>
  <si>
    <t>Ions; Amino acids; Sugars; Phenolic compounds; Aerosol-snow transfer processes</t>
  </si>
  <si>
    <t>DICARBOXYLIC-ACIDS; AMINO-ACIDS; ANTARCTIC AEROSOL; ARCTIC AEROSOLS; MARINE AEROSOLS; TRACERS; COASTAL; SUGARS; DISTRIBUTIONS; CHEMISTRY</t>
  </si>
  <si>
    <t>The concentrations of water-soluble compounds (ions, carboxylic acids, amino acids, sugars, phenolic compounds) in aerosol and snow have been determined at the coastal Italian base Mario Zucchelli (Antarctica) during the 2014-2015 austral summer. The main aim of this research was to investigate the air-snow transfer processes of a number of classes of chemical compounds and investigate their potential as tracers for specific sources. The composition and particle size distribution of Antarctic aerosol was measured, and water-soluble compounds accounted for 66% of the PM10 total mass concentration. The major ions Na+, Mg2+, Cl- and SO42- made up 99% of the total water soluble compound concentration indicating that sea spray input was the main source of aerosol. These ionic species were found mainly in the coarse fraction of the aerosol resulting in enhanced deposition, as reflected by the snow composition. Biogenic sources were identified using chemical markers such as carboxylic acids, amino acids, sugars and phenolic compounds. This study describes the first characterization of amino acids and sugar concentrations in surface snow. High concentrations of amino acids were found after a snowfall event, their presence is probably due to the degradation of biological material scavenged during the snow event. Alcohol sugars increased in concentration after the snow event, suggesting a deposition of primary biological particles, such as airborne fungal spores. (C) 2017 Elsevier Ltd. All rights reserved.</t>
  </si>
  <si>
    <t>[Barbaro, Elena; Padoan, Sara; Karroca, Ornela; Toscano, Giuseppa; Barbante, Carlo; Gambaro, Andrea] Ca Foscari Univ Venice, Dept Environm Sci Informat &amp; Stat, Via Torino 155, I-30172 Venice, Italy; [Zangrando, Roberta; Cairns, Warren R. L.; Barbante, Carlo; Gambaro, Andrea] CNR, Inst Dynam Environm Proc, Via Torino 155, I-30172 Venice, Italy</t>
  </si>
  <si>
    <t>Universita Ca Foscari Venezia; Consiglio Nazionale delle Ricerche (CNR); Istituto per la Dinamica dei Processi Ambientali (IDPA-CNR)</t>
  </si>
  <si>
    <t>Barbaro, E (corresponding author), Ca Foscari Univ Venice, Dept Environm Sci Informat &amp; Stat, Via Torino 155, I-30172 Venice, Italy.</t>
  </si>
  <si>
    <t>barbaro@unive.it</t>
  </si>
  <si>
    <t>Barbante, Carlo/B-3195-2011; BARBARO, ELENA/AAK-3106-2021; Barbaro, Elena/AAX-8809-2020; Cairns, Warren/AAX-5018-2020</t>
  </si>
  <si>
    <t>Barbaro, Elena/0000-0003-2639-7475; Cairns, Warren/0000-0002-7128-7753; Barbante, Carlo/0000-0003-4177-2288; PADOAN, SARA/0000-0003-4333-1726</t>
  </si>
  <si>
    <t>Italian Programma Nazionale di Ricerche in Antartide (PNRA) through the project Air-snow exchanges and relationships for trace elements and organic compounds of climatic interest [PdR2013/AZ3.04]; National Research Council of Italy (Consiglio Nazionale delle Ricerche, CNR)</t>
  </si>
  <si>
    <t>Italian Programma Nazionale di Ricerche in Antartide (PNRA) through the project Air-snow exchanges and relationships for trace elements and organic compounds of climatic interest; National Research Council of Italy (Consiglio Nazionale delle Ricerche, CNR)</t>
  </si>
  <si>
    <t>This work was financially supported by the Italian Programma Nazionale di Ricerche in Antartide (PNRA) through the project (PdR2013/AZ3.04) Air-snow exchanges and relationships for trace elements and organic compounds of climatic interest. The research was also supported by the National Research Council of Italy (Consiglio Nazionale delle Ricerche, CNR). The authors also acknowledge Elga Lab Water (High Wycombe, UK) for providing the ultrapure water systems. In conclusion we would like to thank Dr. Silvia Illuminati (Polytechnic University of Marche e Ancona, Italy) for her help and cooperation during the sampling activities in Antarctica.</t>
  </si>
  <si>
    <t>10.1016/j.chemosphere.2017.05.098</t>
  </si>
  <si>
    <t>EY7TZ</t>
  </si>
  <si>
    <t>WOS:000404196400015</t>
  </si>
  <si>
    <t>Turetta, C; Barbaro, E; Capodaglio, G; Barbante, C</t>
  </si>
  <si>
    <t>Turetta, Clara; Barbaro, Elena; Capodaglio, Gabriele; Barbante, Carlo</t>
  </si>
  <si>
    <t>Dissolved rare earth elements in the central-western sector of the Ross Sea, Southern Ocean: Geochemical tracing of seawater masses</t>
  </si>
  <si>
    <t>Rare earth elements; Ross Sea; Southern Ocean; Ocean circulation</t>
  </si>
  <si>
    <t>ANTARCTIC COASTAL SEAWATER; LEAD SPECIATION; SURFACE WATERS; AUSTRAL SUMMER; NORTH PACIFIC; INDIAN-OCEAN; CADMIUM; CIRCULATION; EVOLUTION; METALS</t>
  </si>
  <si>
    <t>The present essay contributes to the existing literature on rare earth elements (REEs) in the southern hemisphere by presenting the first data, to our knowledge, on the vertical profiles of dissolved REEs in 71 samples collected in the central-western sector of the Ross Sea (Southern Ocean-SO). The REEs were measured in the water samples collected during the 2002-2003 and 2005-2006 austral summers. 4 samples were collected and analysed in the framework of a test experiment, as part of the WISSARD Project (Whillans Ice Stream Subglacial Access Research Drilling). Our results show significant differences between the REE patterns of the main water masses present in the SO: we could observe specific signature in the High Salinity Shelf Water (HSSW), Ice Shelf Water (ISW) and Low Salinity Shelf Water (LSSW). A significant increase in Terbium (Tb) concentration was observed in the HSSW and ISW, the two principal water masses contributing to the formation of Antarctic Bottom Water (AABW) in the Ross Sea area, and in LSSW. Some of the HSSW samples show enrichment in Neodymium (Nd). Dissolved REE could therefore be used as tracers to understand the deep circulation of the SO (Pacific sector). We hypothesize that: (I) the characteristic dissolved REE pattern may derive from the composition of source area and from the hydrothermal activity of the central-western area of the Ross Sea; (II) the Tb anomaly observed in the AABW on the South Australian platform could be partially explained by the contribution of AABW generated in the Ross Sea region. (C) 2017 Elsevier Ltd. All rights reserved.</t>
  </si>
  <si>
    <t>[Turetta, Clara; Barbaro, Elena; Capodaglio, Gabriele; Barbante, Carlo] CNR, Inst Dynam Environm Proc, Via Torino 155, I-30172 Venice, Italy; [Barbaro, Elena; Capodaglio, Gabriele; Barbante, Carlo] Univ Ca Foscari, Dept Environm Sci Informat &amp; Stat, Via Torino 155, I-30172 Venice, Italy</t>
  </si>
  <si>
    <t>Consiglio Nazionale delle Ricerche (CNR); Istituto per la Dinamica dei Processi Ambientali (IDPA-CNR); Universita Ca Foscari Venezia</t>
  </si>
  <si>
    <t>Turetta, C (corresponding author), CNR, Inst Dynam Environm Proc, Via Torino 155, I-30172 Venice, Italy.</t>
  </si>
  <si>
    <t>clara.turetta@idpa.cnr.it; barbaro@unive.it; capoda@unive.it; barbante@unive.it</t>
  </si>
  <si>
    <t>Barbaro, Elena/AAX-8809-2020; Capodaglio, Gabriele/D-5295-2014; Barbante, Carlo/B-3195-2011; Turetta, Clara/O-2849-2015; BARBARO, ELENA/AAK-3106-2021</t>
  </si>
  <si>
    <t>Barbaro, Elena/0000-0003-2639-7475; Capodaglio, Gabriele/0000-0002-3689-4865; Turetta, Clara/0000-0003-3130-2901; Barbante, Carlo/0000-0003-4177-2288</t>
  </si>
  <si>
    <t>Italian National Antarctic Research Programme (PNRA); National Science Foundation (NSF) [OPP-0838933, 1346250, 1439774]; Directorate For Geosciences; Division Of Polar Programs [1346250] Funding Source: National Science Foundation</t>
  </si>
  <si>
    <t>Italian National Antarctic Research Programme (PNRA); National Science Foundation (NSF)(National Science Foundation (NSF)); Directorate For Geosciences; Division Of Polar Programs(National Science Foundation (NSF)NSF - Directorate for Geosciences (GEO))</t>
  </si>
  <si>
    <t>This work was financially supported by the Italian National Antarctic Research Programme (PNRA)-Sector 9 Chemistry of Polar Environments. Our thanks go to all the crew of R/V Italica for their help during sampling operations, and to the scientists of the PNRA-Sector 8 Oceanography for physical parameter measurements. We are also indebted to John Priscu and all the WISSARD staff for providing samples from the 2012 WISSARD sampling campaign. The WISSARD project was funded by the National Science Foundation (NSF, grants OPP-0838933, 1346250, and 1439774). We thank the WISSARD science team for their assistance in sample collection; the names of WISSARD science team members can be found at http://www.wissard.org. Finally, we would like to thank Elga Lab Water, High Wycombe UK for supplying the pure water systems used in this study.</t>
  </si>
  <si>
    <t>10.1016/j.chemosphere.2017.05.142</t>
  </si>
  <si>
    <t>WOS:000404196400049</t>
  </si>
  <si>
    <t>Holland, MM; Landrum, L; Kostov, Y; Marshall, J</t>
  </si>
  <si>
    <t>Holland, Marika M.; Landrum, Laura; Kostov, Yavor; Marshall, John</t>
  </si>
  <si>
    <t>Sensitivity of Antarctic sea ice to the Southern Annular Mode in coupled climate models</t>
  </si>
  <si>
    <t>Antarctic sea ice; Southern Annular Mode; Climate models</t>
  </si>
  <si>
    <t>CMIP5 MODELS; HEMISPHERE CLIMATE; OZONE HOLE; OCEAN; VARIABILITY; TRENDS; SIMULATIONS; CIRCULATION; ATMOSPHERE; EXTENT</t>
  </si>
  <si>
    <t>We assess the sea ice response to Southern Annular Mode (SAM) anomalies for pre-industrial control simulations from the Coupled Model Intercomparison Project (CMIP5). Consistent with work by Ferreira et al. (J Clim 28:1206-1226, 2015. doi:10.1175/JCLI-D-14-00313.1), the models generally simulate a two-timescale response to positive SAM anomalies, with an initial increase in ice followed by an eventual sea ice decline. However, the models differ in the cross-over time at which the change in ice response occurs, in the overall magnitude of the response, and in the spatial distribution of the response. Late twentieth century Antarctic sea ice trends in CMIP5 simulations are related in part to different modeled responses to SAM variability acting on different time-varying transient SAM conditions. This explains a significant fraction of the spread in simulated late twentieth century southern hemisphere sea ice extent trends across the model simulations. Applying the modeled sea ice response to SAM variability but driven by the observed record of SAM suggests that variations in the austral summer SAM, which has exhibited a significant positive trend, have driven a modest sea ice decrease. However, additional work is needed to narrow the considerable model uncertainty in the climate response to SAM variability and its implications for 20th-21st century trends.</t>
  </si>
  <si>
    <t>[Holland, Marika M.; Landrum, Laura] NCAR, Boulder, CO 80305 USA; [Kostov, Yavor; Marshall, John] MIT, 77 Massachusetts Ave, Cambridge, MA 02139 USA</t>
  </si>
  <si>
    <t>National Center Atmospheric Research (NCAR) - USA; Massachusetts Institute of Technology (MIT)</t>
  </si>
  <si>
    <t>Holland, MM (corresponding author), NCAR, Boulder, CO 80305 USA.</t>
  </si>
  <si>
    <t>NSF FESD program [1338814]; NSF MOBY Grant [1048926]; NASA Grant [NNX14AH74G]; NASA [NNX14AH74G, 683299] Funding Source: Federal RePORTER</t>
  </si>
  <si>
    <t>NSF FESD program; NSF MOBY Grant; NASA Grant(National Aeronautics &amp; Space Administration (NASA)); NASA(National Aeronautics &amp; Space Administration (NASA))</t>
  </si>
  <si>
    <t>The authors were supported under the NSF FESD program, Grant award #1338814. Y.K. received support from an NSF MOBY Grant, award #1048926. L.L. received support from a NASA Grant, award NNX14AH74G. We acknowledge the World Climate Research Programme's Working Group on Coupled Modelling, which is responsible for CMIP, and we thank the climate modeling groups (listed in Table 1 of this paper)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We also thank the CESM Large Ensemble Community Project and supercomputing resources provided by NSF/CISL/Yellowstone for providing the CESM-LE simulations. We also thank Dr. Peter Gent for comments on an earlier version of this manuscript.</t>
  </si>
  <si>
    <t>5-6</t>
  </si>
  <si>
    <t>10.1007/s00382-016-3424-9</t>
  </si>
  <si>
    <t>FF2HJ</t>
  </si>
  <si>
    <t>WOS:000408718200019</t>
  </si>
  <si>
    <t>Wong, TE; Bakker, AMR; Keller, K</t>
  </si>
  <si>
    <t>Wong, Tony E.; Bakker, Alexander M. R.; Keller, Klaus</t>
  </si>
  <si>
    <t>Impacts of Antarctic fast dynamics on sea-level projections and coastal flood defense</t>
  </si>
  <si>
    <t>CLIMATIC CHANGE</t>
  </si>
  <si>
    <t>Sea-level projections; West Antarctic ice sheet; Coastal flood defense; Climate impacts; Cliff failure and hydrofracturing</t>
  </si>
  <si>
    <t>ICE-SHEET; EXPERT JUDGMENT; NEW-ORLEANS; CLIMATE; RISE; MODEL; SUBSIDENCE; SCENARIOS; FRAMEWORK; DRIVEN</t>
  </si>
  <si>
    <t>Strategies to manage the risks posed by future sea-level rise hinge on a sound characterization of the inherent uncertainties. One of the major uncertainties is the possible rapid disintegration of large fractions of the Antarctic ice sheet in response to rising global temperatures. This could potentially lead to several meters of sea-level rise during the next few centuries. Previous studies have typically been silent on two coupled questions: (i) What are probabilistic estimates of this fast dynamic contribution to sea-level rise? (ii) What are the implications for strategies to manage coastal flooding risks? Here, we present probabilistic hindcasts and projections of sea-level rise to 2100. The fast dynamic mechanism is approximated by a simple parameterization, designed to allow for a careful quantification of the uncertainty in its contribution to sea-level rise. We estimate that global temperature increases ranging from 1.9 to 3.1 A degrees C coincide with fast Antarctic disintegration, and these contributions account for sea-level rise of 21-74 cm this century (5-95% range, Representative Concentration Pathway 8.5). We use a simple cost-benefit analysis of coastal defense to demonstrate in a didactic exercise how neglecting this mechanism and associated uncertainty can (i) lead to strategies which fall sizably short of protection targets and (ii) increase the expected net costs.</t>
  </si>
  <si>
    <t>[Wong, Tony E.; Bakker, Alexander M. R.; Keller, Klaus] Penn State Univ, Earth &amp; Environm Syst Inst, 2217 EESB, University Pk, PA 16802 USA; [Bakker, Alexander M. R.] Minist Infrastruct &amp; Environm, Rijkswaterstaat, The Hague, Netherlands; [Keller, Klaus] Penn State Univ, Dept Geosci, University Pk, PA 16802 USA; [Keller, Klaus] Carnegie Mellon Univ, Dept Engn &amp; Publ Policy, Pittsburgh, PA 15289 USA</t>
  </si>
  <si>
    <t>Wong, TE (corresponding author), Penn State Univ, Earth &amp; Environm Syst Inst, 2217 EESB, University Pk, PA 16802 USA.</t>
  </si>
  <si>
    <t>twong@psu.edu</t>
  </si>
  <si>
    <t>Keller, Klaus/A-6742-2013; Wong, Tony/AAS-9534-2020</t>
  </si>
  <si>
    <t>Wong, Tony/0000-0002-7304-3883</t>
  </si>
  <si>
    <t>National Science Foundation through Network for Sustainable Climate Risk Management (SCRiM) [GEO-1240507]; Penn State Center for Climate Risk Management; Directorate For Geosciences [1240507] Funding Source: National Science Foundation</t>
  </si>
  <si>
    <t>National Science Foundation through Network for Sustainable Climate Risk Management (SCRiM); Penn State Center for Climate Risk Management; Directorate For Geosciences(National Science Foundation (NSF)NSF - Directorate for Geosciences (GEO))</t>
  </si>
  <si>
    <t>We thank Dave Pollard for lending his insight into reasonable prior ranges and central values for the Antarctic ice sheet fast dynamic parameters and for comments on the initial version of the manuscript. We thank Kelsey Ruckert and Yawen Guan for their assistance in providing and interpreting codes relevant to the original DAIS model and its calibration. We also thank Kelsey Ruckert for manuscript formatting assistance. We thank Aimee Slangen for supplying and assistance interpreting the regional sea-level fingerprinting data. We gratefully acknowledge Richard Alley, Murali Haran, Chris and Bella Forest, Rob Nicholas, Patrick Reed, Michael Oppenheimer, Tad Pfeffer, Rob Lempert, David Johnson, Roger Cooke, and Dale Jennings for invaluable inputs. This work was partially supported by the National Science Foundation through the Network for Sustainable Climate Risk Management (SCRiM) under NSF cooperative agreement GEO-1240507 as well as the Penn State Center for Climate Risk Management. Any conclusions or recommendations expressed in this material are those of the authors and do not necessarily reflect the views of the funding agencies. Any errors and opinions are, of course, those of the authors.</t>
  </si>
  <si>
    <t>0165-0009</t>
  </si>
  <si>
    <t>1573-1480</t>
  </si>
  <si>
    <t>Clim. Change</t>
  </si>
  <si>
    <t>10.1007/s10584-017-2039-4</t>
  </si>
  <si>
    <t>FF5EV</t>
  </si>
  <si>
    <t>WOS:000409001300019</t>
  </si>
  <si>
    <t>Talalay, PG; Pyne, AR</t>
  </si>
  <si>
    <t>Talalay, Pavel G.; Pyne, Alex R.</t>
  </si>
  <si>
    <t>Geological drilling in McMurdo Dry Valleys and McMurdo Sound, Antarctica: Historical development</t>
  </si>
  <si>
    <t>COLD REGIONS SCIENCE AND TECHNOLOGY</t>
  </si>
  <si>
    <t>Drilling in permafrost; Offshore drilling; Drilling fluids</t>
  </si>
  <si>
    <t>PERMAFROST; CLIMATE; ICE</t>
  </si>
  <si>
    <t>Geologically, Antarctica is the least explored place on earth. A thick ice sheet covers 98% of the continent, the environment is harsh, and the movement of people and equipment is difficult and costly. Yet in recent decades the McMurdo Sound region has attracted intensive geological drilling because it is crucial for better understanding of past ice sheet behavior, including the evolution of both the East and West Antarctic Ice Sheets. Drilling started with the Dry Valley Drilling Project (DVDP) in 1973, resulting in 15 boreholes ranging in depth from 4 to 381 m. The last hole, DVDP-15, was drilled in 1975 from the local fast sea-ice covering McMurdo Sound. Since then, eight offshore sites (MSSTS, CIROS-2, CIROS-1, CRP-1, CRP-2/2A, CRP-3, AND-1B, AND-2A) have been cored, with much experience gained in both operational support and drilling procedures. Penetration depth has increased from 64.6 m (DVDP-15, 1975) to 1284.9 m (AND-1B, 2006) below the seafloor. This paper reviews both onshore and offshore geological drilling in the McMurdo Dry Valleys and McMurdo Sound, focusing on special aspects of drilling operations, drilling problems, and possible solutions. The paper also includes the brief introduction of the challenging Coulman High Project, which proposes to use the fast-moving Ross Ice Shelf as a drilling platform. Finally, recommendations are given for future planners regarding (1) operating and logistical problems in Antarctic harsh environment; (2) drilling complications in permafrost; (3) drill bit design; (4) possible land, sea ice and ice shelf platforms; (5) sea riser structure, and (6) drilling fluid composition.</t>
  </si>
  <si>
    <t>[Talalay, Pavel G.] Jilin Univ, Polar Res Ctr, 938 Ximinzhu Str, Changchun 130021, Jilin, Peoples R China; [Pyne, Alex R.] Victoria Univ Wellington, Antarctic Res Ctr, Wellington 6012, New Zealand</t>
  </si>
  <si>
    <t>Jilin University; Victoria University Wellington</t>
  </si>
  <si>
    <t>Talalay, PG (corresponding author), Jilin Univ, Polar Res Ctr, 938 Ximinzhu Str, Changchun 130021, Jilin, Peoples R China.</t>
  </si>
  <si>
    <t>ptalalay@yahoo.com</t>
  </si>
  <si>
    <t>Talalay, Pavel/0000-0002-8230-4600</t>
  </si>
  <si>
    <t>National Science Foundation of China [41327804]; Chinese Polar Environment Comprehensive Investigation and Assessment Programmes [2016-04-02]</t>
  </si>
  <si>
    <t>National Science Foundation of China(National Natural Science Foundation of China (NSFC)); Chinese Polar Environment Comprehensive Investigation and Assessment Programmes</t>
  </si>
  <si>
    <t>This paper describes research conducted with the support of the National Science Foundation of China (Project No. 41327804) and the Chinese Polar Environment Comprehensive Investigation and Assessment Programmes (Project No. 2016-04-02). The authors thank B. Webster for his recollections as a young assistant driller on several of the on-land DVDP drill holes and the Antarctica NZ Digital Asset Manager website for free use of the posted pictures. The authors also thank P.J. Barrett (Victoria University of Wellington) for fruitful comments, editing this paper and providing CPR and CIROS drilling system pictures. We are deeply grateful to P. R. Kyle (New Mexico Institute of Mining and Technology) for providing DVDP drill rig set up pictures.</t>
  </si>
  <si>
    <t>0165-232X</t>
  </si>
  <si>
    <t>1872-7441</t>
  </si>
  <si>
    <t>COLD REG SCI TECHNOL</t>
  </si>
  <si>
    <t>Cold Reg. Sci. Tech.</t>
  </si>
  <si>
    <t>10.1016/j.coldregions.2017.06.007</t>
  </si>
  <si>
    <t>Engineering, Environmental; Engineering, Civil; Geosciences, Multidisciplinary</t>
  </si>
  <si>
    <t>Engineering; Geology</t>
  </si>
  <si>
    <t>FD7FX</t>
  </si>
  <si>
    <t>WOS:000407693100013</t>
  </si>
  <si>
    <t>Bekker, A; Soal, KI; McMahon, KJ</t>
  </si>
  <si>
    <t>Bekker, A.; Soal, K. I.; McMahon, K. J.</t>
  </si>
  <si>
    <t>Whole-body vibration exposure on board a Polar Supply and Research Vessel in open water and in ice</t>
  </si>
  <si>
    <t>Whole-body vibration; Ice-going ship; Vibration Dose Value; ISO 2631-1</t>
  </si>
  <si>
    <t>The Requirements for Polar Ships specify the requisites by the International Association of Classification Societies to ensure a safe journey for crew travelling on steel ships that navigate in ice-infested polar waters. One identified problem in these requirements is that they do not yet contain guidelines to direct shipbuilders as to the allowable vibration limits for human vibration exposure. This is attributed to the absence of scientifically reported field research on vibration conditions in human environments gathered when ships break through ice. This study investigated the levels of whole-body vibration exposure associated with open water and ice passage of a Polar Supply and Research Vessel. It was found that occupants are exposed to perceivable vibration for most of the voyage and are likely to experience vibration at levels considered not uncomfortable. As a result of high crest factors r.m.s. metrics do not offer a robust means of quantifying in-service ship-borne vibration. In comparison with sailing in calm water, whole-body vibration exposure increased by 21 times in rough open water and up to elevenfold during ice-passage.</t>
  </si>
  <si>
    <t>[Bekker, A.; Soal, K. I.; McMahon, K. J.] Univ Stellenbosch, Dept Mech &amp; Mechatron Engn, Private Bag X1, ZA-7602 Matieland, South Africa</t>
  </si>
  <si>
    <t>Stellenbosch University</t>
  </si>
  <si>
    <t>Bekker, A (corresponding author), Univ Stellenbosch, Dept Mech &amp; Mechatron Engn, Private Bag X1, ZA-7602 Matieland, South Africa.</t>
  </si>
  <si>
    <t>annieb@sun.ac.za</t>
  </si>
  <si>
    <t>National Research Foundation; Department of Science and Technology under the South African National Antarctic Programme</t>
  </si>
  <si>
    <t>The research of the University Stellenbosch is supported by the National Research Foundation and the Department of Science and Technology under the South African National Antarctic Programme. Our partners on the full-scale measurement project, namely Aalto University, the University of Oulu, Aker Arctic Technology, Rolls-Royce, Watsila, DNV and the Department of Environmental Affairs of South Africa, are gratefully acknowledged.</t>
  </si>
  <si>
    <t>10.1016/j.coldregions.2017.06.008</t>
  </si>
  <si>
    <t>WOS:000407693100017</t>
  </si>
  <si>
    <t>Latif, M; Martin, T; Reintges, A; Park, W</t>
  </si>
  <si>
    <t>Latif, Mojib; Martin, Torge; Reintges, Annika; Park, Wonsun</t>
  </si>
  <si>
    <t>Southern Ocean Decadal Variability and Predictability</t>
  </si>
  <si>
    <t>CURRENT CLIMATE CHANGE REPORTS</t>
  </si>
  <si>
    <t>Southern Ocean; Climate trends; Internal variability; Atmosphere-ice-ocean interaction; Open-ocean deep convection; Climate models</t>
  </si>
  <si>
    <t>ANTARCTIC SEA-ICE; CIRCUMPOLAR CURRENT; DEEP-CONVECTION; ANNULAR MODE; SURFACE TEMPERATURE; RECENT TRENDS; CMIP5 MODELS; FRESH-WATER; CLIMATE; CIRCULATION</t>
  </si>
  <si>
    <t>The Southern Ocean featured some remarkable changes during the recent decades. For example, large parts of the Southern Ocean, despite rapidly rising atmospheric greenhouse gas concentrations, depicted a surface cooling since the 1970s, whereas most of the planet has warmed considerably. In contrast, climate models generally simulate Southern Ocean surface warming when driven with observed historical radiative forcing. The mechanisms behind the surface cooling and other prominent changes in the Southern Ocean sector climate during the recent decades, such as expanding sea ice extent, abyssal warming, and CO2 uptake, are still under debate. Observational coverage is sparse, and records are short but rapidly growing, making the Southern Ocean climate system one of the least explored. It is thus difficult to separate current trends from underlying decadal to centennial scale variability. Here, we present the state of the discussion about some of the most perplexing decadal climate trends in the Southern Ocean during the recent decades along with possible mechanisms and contrast these with an internal mode of Southern Ocean variability present in state-of-the art climate models.</t>
  </si>
  <si>
    <t>[Latif, Mojib; Martin, Torge; Reintges, Annika; Park, Wonsun] GEOMAR Helmholtz Ctr Ocean Res Kiel, Kiel, Germany; [Latif, Mojib] Ctr Excellence Future Ocean, Kiel, Germany</t>
  </si>
  <si>
    <t>Helmholtz Association; GEOMAR Helmholtz Center for Ocean Research Kiel</t>
  </si>
  <si>
    <t>Latif, M (corresponding author), GEOMAR Helmholtz Ctr Ocean Res Kiel, Kiel, Germany.;Latif, M (corresponding author), Ctr Excellence Future Ocean, Kiel, Germany.</t>
  </si>
  <si>
    <t>mlatif@geomar.de</t>
  </si>
  <si>
    <t>Martin, Torge/H-2613-2017; Park, Wonsun/J-8097-2012</t>
  </si>
  <si>
    <t>Park, Wonsun/0000-0002-6345-8428; Martin, Torge/0000-0002-0882-8780; Reintges, Annika/0000-0003-0003-3200</t>
  </si>
  <si>
    <t>CLIMPRE InterDec project - Bundesministerium fur Bildung und Forschung (BMBF), Germany [01LP1609B]; PALMOD project - Bundesministerium fur Bildung und Forschung (BMBF), Germany [01LP1503D]</t>
  </si>
  <si>
    <t>CLIMPRE InterDec project - Bundesministerium fur Bildung und Forschung (BMBF), Germany(Federal Ministry of Education &amp; Research (BMBF)); PALMOD project - Bundesministerium fur Bildung und Forschung (BMBF), Germany(Federal Ministry of Education &amp; Research (BMBF))</t>
  </si>
  <si>
    <t>We thank two anonymous reviewers and the editor for their very helpful comments on an earlier version of the manuscript. This work was supported by CLIMPRE InterDec project (01LP1609B) and the PALMOD project (01LP1503D) both funded by the Bundesministerium fur Bildung und Forschung (BMBF), Germany. The study is a contribution to the Cluster of Excellence The Future Ocean at the University of Kiel (EXC80/2).</t>
  </si>
  <si>
    <t>2198-6061</t>
  </si>
  <si>
    <t>CURR CLIM CHANGE REP</t>
  </si>
  <si>
    <t>Curr. Clim. Chang. Rep.</t>
  </si>
  <si>
    <t>10.1007/s40641-017-0068-8</t>
  </si>
  <si>
    <t>VI1KS</t>
  </si>
  <si>
    <t>WOS:000461108900001</t>
  </si>
  <si>
    <t>Patty, F; Favier, L; Sun, S; Durand, G</t>
  </si>
  <si>
    <t>Patty, Frank; Favier, Lionel; Sun, Sainan; Durand, Gael</t>
  </si>
  <si>
    <t>Progress in Numerical Modeling of Antarctic Ice-Sheet Dynamics</t>
  </si>
  <si>
    <t>Ice-sheet modeling; Antarctica; Marine ice; Sheet instability</t>
  </si>
  <si>
    <t>Numerical modeling of the Antarctic ice sheet has gone through a paradigm shift over the last decade. While initially models focussed on long-time diffusive response to surface mass balance changes, processes occurring at the marine boundary of the ice sheet are progressively incorporated in newly developed state-of-the-art ice-sheet models. These models now exhibit fast, short-term volume changes, in line with current observations of mass loss. Coupling with ocean models is currently on its way and applied to key areas of the Antarctic ice sheet. New model intercomparisons have been launched, focusing on ice/ocean interaction (MISMIP+, MISOMIP) or ice-sheet model initialization and multi-ensemble projections (ISMIP6). Nevertheless, the inclusion of new processes pertaining to ice-shelf calving, evolution of basal friction, and other processes, also increase uncertainties in the contribution of the Antarctic ice sheet to future sea-level rise.</t>
  </si>
  <si>
    <t>[Patty, Frank; Favier, Lionel; Sun, Sainan] Univ Libre Bruxelles, Lab Glaciol, Brussels, Belgium; [Durand, Gael] Univ Grenoble Alpes, IGE, Grenoble, France</t>
  </si>
  <si>
    <t>Universite Libre de Bruxelles; Communaute Universite Grenoble Alpes; Universite Grenoble Alpes (UGA)</t>
  </si>
  <si>
    <t>Patty, F (corresponding author), Univ Libre Bruxelles, Lab Glaciol, Brussels, Belgium.</t>
  </si>
  <si>
    <t>fpattyn@ulb.ac.be; gael.durand@univ-grenoble-alpes.fr</t>
  </si>
  <si>
    <t>Pattyn, Frank/AAA-9640-2019</t>
  </si>
  <si>
    <t>Pattyn, Frank/0000-0003-4805-5636; favier, lionel/0000-0002-5392-3031</t>
  </si>
  <si>
    <t>10.1007/s40641-017-0069-7</t>
  </si>
  <si>
    <t>WOS:000461108900002</t>
  </si>
  <si>
    <t>Haley, C; von der Meden, C; Atkinson, L; Reed, C</t>
  </si>
  <si>
    <t>Haley, Craig; von der Meden, Charles; Atkinson, Lara; Reed, Cecile</t>
  </si>
  <si>
    <t>Habitat associations and distribution of the hyperbenthic shrimp, Nauticaris marionis, around the sub-Antarctic Prince Edward Islands</t>
  </si>
  <si>
    <t>DEEP-SEA RESEARCH PART I-OCEANOGRAPHIC RESEARCH PAPERS</t>
  </si>
  <si>
    <t>Epibenthic assemblages; Substratum type; Depth; Biogenic habitat; Caridean shrimp, Southern Ocean</t>
  </si>
  <si>
    <t>BIOLOGICAL STRUCTURES; BENTHIC BIODIVERSITY; ECOSYSTEM ENGINEERS; RELATIVE IMPORTANCE; DEEP; CORAL; OCEAN; FAUNA; FOOD; CONSEQUENCES</t>
  </si>
  <si>
    <t>The association of organisms with particular habitats and habitat-forming organisms, can strongly influence species distributions, interactions and wider ecosystem services. At the sub-Antarctic Prince Edward Islands, the caridean shrimp Nauticaris marionis is a principal part of the benthic ecosystem, occurring between ca. 50 m and 600 m. Its role as atrophic link between the primary productivity and higher predators is established, but little is understood of its in situ habitat usage and associations or of how these structure patterns of abundance. We investigated these aspects directly using a benthic camera sled, sampling 27 stations between 50 m and 500 m. Substratum type was characterised, and estimates of percentage cover of the 13 main groups of habitat-forming epibenthic taxa were made, alongside absolute counts of N. marionis within 'digital quadrats' drawn from 300 m transects. The distribution of N. marionis was influenced by depth, substratum type and overall biogenic cover, being limited to habitats between 50 and 160 m depth on mud or gravel substrata only, and having &gt; 50% biogenic cover. The presence/absence of N. marionis related to significantly different epibenthic assemblages (termed biogenic habitats), but this effect was contingent on depth. Likewise, densities of N. marionis were significantly affected by biogenic habitat type, identifying an association with two biogenic habitat groups, one dominated by red-algae, the other by structurally complex bryozoan species. These associations likely relate to the structural complexity of the two habitat groups, rather than the specific taxa involved. The apparent absence of N. marionis at depths &gt; 160 m contrasts with earlier records and poses questions about the trophic importance of the shrimp in deeper habitats.</t>
  </si>
  <si>
    <t>[Haley, Craig; Atkinson, Lara; Reed, Cecile] Univ Cape Town, Marine Res Inst Ma Re, Biol Sci Dept, ZA-7701 Rondebosch, South Africa; [Haley, Craig; von der Meden, Charles; Atkinson, Lara] South African Environm Observat Network, Egagasini Node, 5th Flr Foretrust Bldg,Martin Hammerschlag Way, ZA-8001 Cape Town, South Africa</t>
  </si>
  <si>
    <t>University of Cape Town; National Research Foundation - South Africa; South African Environmental Observation Network (SAEON)</t>
  </si>
  <si>
    <t>Atkinson, L (corresponding author), South African Environm Observat Network, Egagasini Node, 5th Flr Foretrust Bldg,Martin Hammerschlag Way, ZA-8001 Cape Town, South Africa.</t>
  </si>
  <si>
    <t>lara@saeon.ac.za</t>
  </si>
  <si>
    <t>von der meden, Charles/0000-0002-0910-1612</t>
  </si>
  <si>
    <t>National Research Foundation (NRF) through a Professional Development Programme [80361]; South African Environmental Observation Network (SAEON)</t>
  </si>
  <si>
    <t>National Research Foundation (NRF) through a Professional Development Programme; South African Environmental Observation Network (SAEON)(National Research Foundation - South Africa)</t>
  </si>
  <si>
    <t>This research was conducted with the financial support of the National Research Foundation (NRF) (80361) through a Professional Development Programme grant (C. von der Meden), and the South African Environmental Observation Network (SAEON) which funded C. Haley. Additionally, the authors thank Professor Isabelle Ansorge (Department of Oceanography, University of Cape Town), the South African National Antarctic Programme (SANAP) and the Department of Environmental Affairs (DEA), with special thanks to Captain Syndercombe and the crew of the S.A. Agulhas II, Chief Scientist Sir Dr Hans Verheye, Mr Hermann Engel, Mr Marcel van den Berg and Mr Marco Worship. The work would also not have been possible without the expertise and dedicated assistance of Sea Technology Services, Cape Town.</t>
  </si>
  <si>
    <t>0967-0637</t>
  </si>
  <si>
    <t>1879-0119</t>
  </si>
  <si>
    <t>DEEP-SEA RES PT I</t>
  </si>
  <si>
    <t>Deep-Sea Res. Part I-Oceanogr. Res. Pap.</t>
  </si>
  <si>
    <t>10.1016/j.dsr.2017.07.005</t>
  </si>
  <si>
    <t>FJ7VD</t>
  </si>
  <si>
    <t>WOS:000412966900005</t>
  </si>
  <si>
    <t>Duffy, GA; Coetzee, BWT; Latombe, G; Akerman, AH; McGeoch, MA; Chown, SL</t>
  </si>
  <si>
    <t>Duffy, Grant A.; Coetzee, Bernard W. T.; Latombe, Guillaume; Akerman, Alexander H.; McGeoch, Melodie A.; Chown, Steven L.</t>
  </si>
  <si>
    <t>Barriers to globally invasive species are weakening across the Antarctic</t>
  </si>
  <si>
    <t>alien species; biological invasions; environmental niche; invasive species risk-assessment; species distribution modelling; sub-Antarctic Islands</t>
  </si>
  <si>
    <t>SOUTHERN-OCEAN ISLANDS; DISTRIBUTION MODELS; CLIMATE-CHANGE; HUMAN IMPACTS; BIOLOGICAL INVASIONS; MARION ISLAND; NEW-ZEALAND; TERRESTRIAL; NICHE; MANAGEMENT</t>
  </si>
  <si>
    <t>Aim: Biological invasions are a substantial threat to Antarctic biodiversity and a priority conservation policy focus for Antarctic Treaty Parties and the sovereign states of surrounding islands. Key to their strategies is prevention, including assessment of establishment risk for alien species. Despite establishment of some of the worst globally invasive species across the Antarctic region, assessments of establishment potential of these species are non-existent. Here, we address this deficit and determine whether these invasive species constitute a significant conservation threat to the broader Antarctic region both now and in response to future regional climate change. Location: Antarctica and the Southern Ocean islands (45 degrees-90 degrees S). Methods: We used ensemble species distribution models to assess the current and future climate suitability of the Antarctic region for 69 of the worst globally invasive species and 24 insect and plant species that have already established somewhere in the region. Results: The Antarctic continent is unsuitable for all of the worst globally invasive species under current conditions, but areas of the Antarctic Peninsula are predicted to become climatically suitable for up to six globally invasive species within the next century. By contrast, all Southern Ocean islands are presently climatically suitable for additional non-native species, with the threat increasing in the future. Main conclusions: Our findings demonstrate that climate, which is often cited as a key barrier to alien species establishment, may afford some protection to continental Antarctica, but that this protection is not currently extended to the Southern Ocean islands. Furthermore, existing climatic barriers to alien species establishment will weaken as warming continues across the region. This not only illustrates the value of applying distribution modelling methods to this largely ice-covered region, but demonstrates how these methods can be used to inform targeted surveillance of introduction pathways and sites that have the highest risk of establishment of invasive alien species.</t>
  </si>
  <si>
    <t>[Duffy, Grant A.; Coetzee, Bernard W. T.; Latombe, Guillaume; Akerman, Alexander H.; McGeoch, Melodie A.; Chown, Steven L.] Monash Univ, Sch Biol Sci, Clayton, Vic, Australia; [Duffy, Grant A.] Univ Witwatersrand, Global Change Inst, Johannesburg, South Africa; [Duffy, Grant A.] Kruger Natl Pk, Sci Serv, Org Trop Studies, Mpumalanga, South Africa</t>
  </si>
  <si>
    <t>Monash University; University of Witwatersrand</t>
  </si>
  <si>
    <t>Duffy, GA (corresponding author), Monash Univ, Sch Biol Sci, Clayton, Vic, Australia.;Duffy, GA (corresponding author), Univ Witwatersrand, Global Change Inst, Johannesburg, South Africa.;Duffy, GA (corresponding author), Kruger Natl Pk, Sci Serv, Org Trop Studies, Mpumalanga, South Africa.</t>
  </si>
  <si>
    <t>grant.duffy@monash.edu</t>
  </si>
  <si>
    <t>Coetzee, Bernard WT/AAR-8390-2021; Chown, Steven/ABD-7646-2021; Latombe, Guillaume/AAI-1012-2021; Chown, Steven/H-3347-2011; McGeoch, Melodie/F-8353-2011</t>
  </si>
  <si>
    <t>Coetzee, Bernard WT/0000-0002-9913-6295; Latombe, Guillaume/0000-0002-8589-8387; Chown, Steven/0000-0001-6069-5105; Duffy, Grant/0000-0002-9031-8164; McGeoch, Melodie/0000-0003-3388-2241</t>
  </si>
  <si>
    <t>Australian Antarctic Science [4307]</t>
  </si>
  <si>
    <t>Australian Antarctic Science</t>
  </si>
  <si>
    <t>Australian Antarctic Science, Grant/Award Number: 4307</t>
  </si>
  <si>
    <t>10.1111/ddi.12593</t>
  </si>
  <si>
    <t>FF1GK</t>
  </si>
  <si>
    <t>WOS:000408647600002</t>
  </si>
  <si>
    <t>Shi, XX; Lohmann, G</t>
  </si>
  <si>
    <t>Shi, Xiaoxu; Lohmann, Gerrit</t>
  </si>
  <si>
    <t>Sensitivity of open-water ice growth and ice concentration evolution in a coupled atmosphere-ocean-sea ice model</t>
  </si>
  <si>
    <t>DYNAMICS OF ATMOSPHERES AND OCEANS</t>
  </si>
  <si>
    <t>Sea ice concentration; Sea ice transport; AMOC; Lead closing parameter</t>
  </si>
  <si>
    <t>MERIDIONAL OVERTURNING CIRCULATION; GREASE-ICE; PART I; THERMOHALINE CIRCULATION; THICKNESS DISTRIBUTION; DECADAL TRENDS; GLOBAL CLIMATE; ARCTIC-OCEAN; PARAMETERIZATION; SYSTEM</t>
  </si>
  <si>
    <t>A coupled atmosphere-ocean-sea ice model is applied to investigate to what degree the area-thickness distribution of new ice formed in open water affects the ice and ocean properties. Two sensitivity experiments are performed which modify the horizontal-to-vertical aspect ratio of open-water ice growth. The resulting changes in the Arctic sea-ice concentration strongly affect the surface albedo, the ocean heat release to the atmosphere, and the sea-ice production. The changes are further amplified through a positive feedback mechanism among the Arctic sea ice, the Atlantic Meridional Overturning Circulation (AMOC), and the surface air temperature in the Arctic, as the Fram Strait sea ice import influences the freshwater budget in the North Atlantic Ocean. Anomalies in sea-ice transport lead to changes in sea surface properties of the North Atlantic and the strength of AMOC. For the Southern Ocean, the most pronounced change is a warming along the Antarctic Circumpolar Current (ACC), owing to the interhemispheric bipolar seasaw linked to AMOC weakening. Another insight of this study lies on the improvement of our climate model. The ocean component FESOM is a newly developed ocean-sea ice model with an unstructured mesh and multi-resolution. We find that the subpolar sea-ice boundary in the Northern Hemisphere can be improved by tuning the process of open-water ice growth, which strongly influences the sea ice concentration in the marginal ice zone, the North Atlantic circulation, salinity and Arctic sea ice volume. Since the distribution of new ice on open water relies on many uncertain parameters and the knowledge of the detailed processes is currently too crude, it is a challenge to implement the processes realistically into models. Based on our sensitivity experiments, we conclude a pronounced uncertainty related to open-water sea ice growth which could significantly affect the climate system sensitivity. (C) 2017 The Author(s). Published by Elsevier B.V.</t>
  </si>
  <si>
    <t>[Shi, Xiaoxu; Lohmann, Gerrit] Helmholtz Ctr Polar &amp; Marine Res, Alfred Wegener Inst, Bussestr 24, D-27570 Bremerhaven, Germany</t>
  </si>
  <si>
    <t>Shi, XX (corresponding author), Helmholtz Ctr Polar &amp; Marine Res, Alfred Wegener Inst, Bussestr 24, D-27570 Bremerhaven, Germany.</t>
  </si>
  <si>
    <t>xshi@awi.de</t>
  </si>
  <si>
    <t>Lohmann, Gerrit/M-7453-2016</t>
  </si>
  <si>
    <t>Lohmann, Gerrit/0000-0003-2089-733X; Shi, Xiaoxu/0000-0001-7793-9639</t>
  </si>
  <si>
    <t>0377-0265</t>
  </si>
  <si>
    <t>1872-6879</t>
  </si>
  <si>
    <t>DYNAM ATMOS OCEANS</t>
  </si>
  <si>
    <t>Dyn. Atmos. Oceans</t>
  </si>
  <si>
    <t>10.1016/j.dynatmoce.2017.05.003</t>
  </si>
  <si>
    <t>Geochemistry &amp; Geophysics; Meteorology &amp; Atmospheric Sciences; Oceanography</t>
  </si>
  <si>
    <t>FI5QH</t>
  </si>
  <si>
    <t>WOS:000412038400002</t>
  </si>
  <si>
    <t>Zhao, C; King, MA; Watson, CS; Barletta, VR; Bordoni, A; Dell, M; Whitehouse, PL</t>
  </si>
  <si>
    <t>Zhao, Chen; King, Matt A.; Watson, Christopher S.; Barletta, Valentina R.; Bordoni, Andrea; Dell, Matthew; Whitehouse, Pippa L.</t>
  </si>
  <si>
    <t>Rapid ice unloading in the Fleming Glacier region, southern Antarctic Peninsula, and its effect on bedrock uplift rates</t>
  </si>
  <si>
    <t>Antarctic Peninsula; Wordie Ice Shelf; ice-mass loss; glacial isostatic adjustment; GPS; upper mantle viscosity</t>
  </si>
  <si>
    <t>SEA-LEVEL; ISOSTATIC-ADJUSTMENT; MARGUERITE BAY; BREAK-UP; MODEL; SURFACE; DEFORMATION; DEGLACIATION; HOLOCENE; SHELVES</t>
  </si>
  <si>
    <t>Rapid regional warming in the Antarctic Peninsula has led to the significant retreat and eventual collapse of several major ice shelves since the 1970s, triggering the subsequent acceleration and thinning of their feeding glaciers. The Wordie Ice Shelf, lying off the west coast of the Antarctic Peninsula, has undergone long-term disintegration since the 1960s with a substantial calving event occurring around 1989, followed by continuous steady retreat and its almost-complete disappearance. The dynamic response of the upstream glaciers to the ice shelf collapse and the response of the solid Earth to the associated mass loss are not fully understood. To quantify the mass loss from the system, we generated a digital elevation model (DEM) using airborne vertical and oblique imagery from 1966 and compared it to a DEM derived from 2008 SPOT data. This analysis reveals lowering over that time of approximately 60 m at the front of Fleming Glacier. Using IceBridge and ICESat-2/GLAS data spanning 2002-2014, we show an increased rate of mean ice-surface lowering, with rates post-2008 more than twice those of 2002-2008. We use these load change data as a basis for the simulation of viscoelastic solid Earth deformation. We subtract modeled elastic deformation rates, and a suite of modeled viscous rates, from GPS-derived three-dimensional bedrock velocities at sites to the south of Fleming Glacier to infer properties of Earth rheology. Assuming the pre-breakup bedrock uplift was positive due to post-Last Glacial Maximum (LGM) ice retreat, our viscoelastic-corrected GPS uplift rates suggest upper mantle viscosities are &gt;2 x 10(19) Pa s and likely &gt;1 x 10(20) Pas in this region, 1-2 orders of magnitude greater than previously found for the northern Antarctic Peninsula. Horizontal velocities at the GPS site nearest the Fleming Glacier, after the application of elastic and plate tectonic corrections, point away from Marguerite Bay rather than the present glacier front. This suggests that horizontal motion in the region reflects the earlier retreat of the glacier system following the LGM, compatible with a relatively strong mantle in this region. These findings highlight the need for improved understanding of ice load changes in this region through the late Holocene in order to accurately model glacial isostatic adjustment. (C) 2017 Elsevier B.V. All rights reserved.</t>
  </si>
  <si>
    <t>[Zhao, Chen; King, Matt A.; Watson, Christopher S.; Dell, Matthew] Univ Tasmania, Sch Land &amp; Food, Hobart, Tas, Australia; [Barletta, Valentina R.] Tech Univ Denmark, DTU Space, Lyngby, Denmark; [Bordoni, Andrea] Tech Univ Denmark, DTU Compute, Lyngby, Denmark; [Whitehouse, Pippa L.] Univ Durham, Dept Geog, Durham, England</t>
  </si>
  <si>
    <t>University of Tasmania; Technical University of Denmark; Technical University of Denmark; Durham University</t>
  </si>
  <si>
    <t>Zhao, C (corresponding author), Univ Tasmania, Sch Land &amp; Food, Hobart, Tas, Australia.</t>
  </si>
  <si>
    <t>Chen.Zhao@utas.edu.au</t>
  </si>
  <si>
    <t>Watson, Christopher S/D-4707-2013; Zhao, Chen/S-2693-2019; King, Matt/B-4622-2008; Barletta, Valentina R./E-9128-2012</t>
  </si>
  <si>
    <t>Zhao, Chen/0000-0003-0368-1334; King, Matt/0000-0001-5611-9498; Barletta, Valentina Roberta/0000-0003-4427-0830; Watson, Christopher/0000-0002-7464-4592; Whitehouse, Pippa/0000-0002-9092-3444</t>
  </si>
  <si>
    <t>Australian Government Research Training Program Scholarship; Australian Research Council [FT110100207, SR140300001]; NERC [NE/K009958/1, NE/F01452X/1]; French Space Agency (CNES); National Science Foundation (NSF); National Aeronautics and Space Administration (NASA) under NSF [EAR-0735156]; Natural Environment Research Council [NE/F01452X/1, NE/K009958/1] Funding Source: researchfish; NERC [NE/K009958/1, NE/F01452X/1] Funding Source: UKRI</t>
  </si>
  <si>
    <t>Australian Government Research Training Program Scholarship(Australian GovernmentDepartment of Industry, Innovation and Science); Australian Research Council(Australian Research Council); NERC(UK Research &amp; Innovation (UKRI)Natural Environment Research Council (NERC)); French Space Agency (CNES)(Centre National D'etudes Spatiales); National Science Foundation (NSF)(National Science Foundation (NSF)); National Aeronautics and Space Administration (NASA) under NSF(National Aeronautics &amp; Space Administration (NASA)); Natural Environment Research Council(UK Research &amp; Innovation (UKRI)Natural Environment Research Council (NERC)); NERC(UK Research &amp; Innovation (UKRI)Natural Environment Research Council (NERC))</t>
  </si>
  <si>
    <t>CZ is a recipient of an Australian Government Research Training Program Scholarship. MAK is a recipient of an Australian Research Council Future Fellowship (project number FT110100207). PLW is a recipient of a NERC Independent Research Fellowship (NE/K009958/1). The work was partially supported by Australian Research Council Special Research Initiative for Antarctic Gateway Partnership (Project ID SR140300001) and NERC grant NE/F01452X/1. IceBridge ATM and LVIS data used in this paper were all acquired by NASA's Operation IceBridge Project. The 1966 aerial photography was provided by USGS via the Polar Geospatial Center. We thank Etienne Berthier for assistance with the SPOT DEM and British Antarctic Survey engineers for maintaining and downloading the GPS sites. SPOT 5 images and DEMs were provided by the International Polar Year SPIRIT project (Korona et al., 2009), funded by the French Space Agency (CNES). This work is based on data services provided by the UNAVCO Facility with support from the National Science Foundation (NSF) and National Aeronautics and Space Administration (NASA) under NSF Cooperative Agreement No. EAR-0735156. VE-CL0V3RS was developed by V.R.B and A.B in a self-funded project. We thank NASA JPL for making GIPSY available, Richard Peltier for making their model outputs available, and Alex Gardner for making pre-publication velocities available.</t>
  </si>
  <si>
    <t>10.1016/j.epsl.2017.06.002</t>
  </si>
  <si>
    <t>FC1BD</t>
  </si>
  <si>
    <t>WOS:000406571500017</t>
  </si>
  <si>
    <t>Gillies, CL; Crawford, C; Hancock, B</t>
  </si>
  <si>
    <t>Gillies, Chris L.; Crawford, Christine; Hancock, Boze</t>
  </si>
  <si>
    <t>Restoring Angasi oyster reefs: What is the endpoint ecosystem we are aiming for and how do we get there?</t>
  </si>
  <si>
    <t>ECOLOGICAL MANAGEMENT &amp; RESTORATION</t>
  </si>
  <si>
    <t>ecological restoration; habitat restoration; marine conservation; oyster reefs; reference system</t>
  </si>
  <si>
    <t>RESTORATION</t>
  </si>
  <si>
    <t>Three-dimensional reefs and beds created predominately by the native Angasi Oyster or Flat Oyster (Ostrea angasi) were once common across its range in Australia's southern coastal waters but were lost during the mid-late1800s and early 1900s due to a combination of destructive fishing practices, overfishing and changes to estuarine conditions. Despite the continued presence of low densities of individuals and cessation of commercial fishing, reefs structures and their associated communities have shown little signs of natural recovery. Since 2014, a range of oyster reef restoration projects have commenced in Australia, guided by international restoration protocols that prioritise the re-establishment of the keystone species on artificial stable substrates placed in locations where natural oyster reefs have previously existed. These projects invariably need clear and realistic goals and objectives for restoration, which are aided by the use of a reference ecosystem as a model or target, for the local oyster reef ecosystem being restored, yet few reference sites exist. Reefs, established by Angasi, are absent from much or all of its geographical distribution, and the ecosystem has been poorly studied to date; hence, the application of restoration target ecosystems will largely depend on deriving a model based on historical descriptions and observation of what remains. Here, we develop an interim reference model to help set restoration objectives and recommended procedural framework for Angasi reef restoration based on available knowledge of the ecology, biology and aquaculture of the keystone species. We use the Port Phillip Bay oyster reef restoration project as a case study for using the reference model to guide interventions and evaluate the progress of recovery.</t>
  </si>
  <si>
    <t>[Gillies, Chris L.] Nat Conservancy Australia, 2-01,60 Leicester St, Carlton, Vic 3053, Australia; [Crawford, Christine] Univ Tasmania, IMAS Fisheries &amp; Aquaculture Ctr, Inst Marine &amp; Antarctic Studies, Hobart, Tas, Australia; [Hancock, Boze] Nature Conservancy, Narragansett, RI USA</t>
  </si>
  <si>
    <t>University of Tasmania; Nature Conservancy</t>
  </si>
  <si>
    <t>Gillies, CL (corresponding author), Nat Conservancy Australia, 2-01,60 Leicester St, Carlton, Vic 3053, Australia.</t>
  </si>
  <si>
    <t>chris.gillies@tnc.org</t>
  </si>
  <si>
    <t>Australian Government's National Environmental Science Programme (NESP); The Thomas Foundation</t>
  </si>
  <si>
    <t>Australian Government's National Environmental Science Programme (NESP)(Australian Government); The Thomas Foundation</t>
  </si>
  <si>
    <t>This work was undertaken for the Marine Biodiversity Hub, a collaborative partnership supported through funding from the Australian Government's National Environmental Science Programme (NESP). NESP Marine Biodiversity Hub partners include the University of Tasmania, CSIRO, Geoscience Australia, Australian Institute of Marine Science, Museum Victoria, Charles Darwin University, the University of Western Australia, Integrated Marine Observing System, NSW Office of Environment and Heritage, NSW Department of Primary Industries.; We thank Michael Shipley for supplying technical information on O.angasi and Tein McDonald, Paul Hamer, Simon Branigan and two anonymous reviewers for improving earlier version of this manuscript. We extend a special thank you to The Thomas Foundation for providing financial support for The Nature Conservancy's Great Southern Seascapes Program, which led to the development of the Conservancy's oyster reef restoration work across Australia.</t>
  </si>
  <si>
    <t>1442-7001</t>
  </si>
  <si>
    <t>1442-8903</t>
  </si>
  <si>
    <t>ECOL MANAG RESTOR</t>
  </si>
  <si>
    <t>Ecol. Manag. Restor.</t>
  </si>
  <si>
    <t>10.1111/emr.12278</t>
  </si>
  <si>
    <t>FG9PQ</t>
  </si>
  <si>
    <t>WOS:000410771800008</t>
  </si>
  <si>
    <t>Wright, JT; Gribben, PE</t>
  </si>
  <si>
    <t>Wright, Jeffrey T.; Gribben, Paul E.</t>
  </si>
  <si>
    <t>Disturbance-mediated facilitation by an intertidal ecosystem engineer</t>
  </si>
  <si>
    <t>ECOLOGY</t>
  </si>
  <si>
    <t>abiotic stress; boulder-field; disturbance; ecosystem engineering; facilitation; Galeolaria caespitosa; intertidal; serpulid; tube worm</t>
  </si>
  <si>
    <t>INVASIVE CRAB; POSITIVE INTERACTIONS; MARINE-INVERTEBRATES; PLANT-COMMUNITIES; OYSTER REEFS; ORGANISMS; HABITAT; STRESS; RECRUITMENT; PATTERNS</t>
  </si>
  <si>
    <t>Ecosystem engineers facilitate communities by providing a structural habitat that reduces abiotic stress or predation pressure for associated species. However, disturbance may damage or move the engineer to a more stressful environment, possibly increasing the importance of facilitation for associated communities. In this study, we determined how disturbance to intertidal boulders (i.e., flipping) and the subsequent movement of a structural ecosystem engineer, the tube-forming serpulid worm Galeolaria caespitosa, from the bottom (natural state, low abiotic stress) to the top (disturbed state, high abiotic stress) surface of boulders influenced the importance of facilitation for intertidal communities across two intertidal zones. Theory predicts stronger relative facilitation should occur in the harsher environments of the top of boulders and the high intertidal zone. To test this prediction, we experimentally positioned boulders with the serpulids either face up or face down for 12 months in low and high zones in an intertidal boulder field. There were very different communities associated with the different boulders and serpulids had the strongest facilitative effects on the more stressful top surface of boulders with approximately double the species richness compared to boulders lacking serpulids. Moreover, within the serpulid matrix itself there was also approximately double the species richness (both zones) and abundance (high zone only) of small invertebrates on the top of boulders compared to the bottom. The high relative facilitation on the top of boulders reflected a large reduction in temperature by the serpulid matrix on that surface (up to 10 degrees C) highlighting a key role for modification of the abiotic environment in determining the community-wide facilitation. This study has demonstrated that disturbance and subsequent movement of an ecosystem engineer to a more stressful environment increased the importance of facilitation and allowed species to persist that would otherwise be unable to survive in that environment.</t>
  </si>
  <si>
    <t>[Wright, Jeffrey T.] Univ Tasmania, Inst Marine &amp; Antarctic Studies, Private Bag 129, Hobart, Tas 7001, Australia; [Gribben, Paul E.] Univ New South Wales, Sch Biol Earth &amp; Environm Sci, Ctr Marine Bioinnovat, Sydney, NSW 2052, Australia; [Gribben, Paul E.] Sydney Inst Marine Sci, 19 Chowder Bay Rd, Mosman, NSW 2088, Australia</t>
  </si>
  <si>
    <t>University of Tasmania; University of New South Wales Sydney; Sydney Institute of Marine Science</t>
  </si>
  <si>
    <t>Wright, JT (corresponding author), Univ Tasmania, Inst Marine &amp; Antarctic Studies, Private Bag 129, Hobart, Tas 7001, Australia.</t>
  </si>
  <si>
    <t>jeffrey.wright@utas.edu.au</t>
  </si>
  <si>
    <t>Wright, Jeffrey/J-7536-2014</t>
  </si>
  <si>
    <t>Wright, Jeffrey/0000-0002-1085-4582; Gribben, Paul/0000-0003-2650-5501</t>
  </si>
  <si>
    <t>Australian Research Council Future Fellowship [FT140100322]</t>
  </si>
  <si>
    <t>Australian Research Council Future Fellowship(Australian Research Council)</t>
  </si>
  <si>
    <t>PEG was supported by an Australian Research Council Future Fellowship (FT140100322).</t>
  </si>
  <si>
    <t>0012-9658</t>
  </si>
  <si>
    <t>1939-9170</t>
  </si>
  <si>
    <t>10.1002/ecy.1932</t>
  </si>
  <si>
    <t>FF3SA</t>
  </si>
  <si>
    <t>Green Accepted, Green Published</t>
  </si>
  <si>
    <t>WOS:000408836600020</t>
  </si>
  <si>
    <t>Castillo, SP; Crego, RD; Jimenez, JE; Rozzi, R</t>
  </si>
  <si>
    <t>Castillo, Simon P.; Crego, Ramiro D.; Jimenez, Jaime E.; Rozzi, Ricardo</t>
  </si>
  <si>
    <t>Native-predator-invasive-prey trophic interactions in Tierra del Fuego: the beginning of biological resistance?</t>
  </si>
  <si>
    <t>[Castillo, Simon P.] Pontificia Univ Catolica Chile, Dept Ecol, POB 8331150, Santiago, Chile; [Castillo, Simon P.; Crego, Ramiro D.; Jimenez, Jaime E.; Rozzi, Ricardo] Fac Sci, Inst Ecol &amp; Biodivers Chile, Casilla 653, Santiago, Chile; [Crego, Ramiro D.; Jimenez, Jaime E.; Rozzi, Ricardo] Univ North Texas, Dept Biol Sci, Subantarctic Biocultural Conservat Program, 1511 W Sycamore, Denton, TX USA; [Crego, Ramiro D.; Jimenez, Jaime E.; Rozzi, Ricardo] Univ Magallanes, Omora Ethnobot Pk,Manuel Bulnes 1855, Punta Arenas, Chile; [Rozzi, Ricardo] Univ North Texas, Dept Philosophy &amp; Relig, 1155 Union Circle, Denton, TX USA</t>
  </si>
  <si>
    <t>Pontificia Universidad Catolica de Chile; University of North Texas System; University of North Texas Denton; Universidad de Magallanes; University of North Texas System; University of North Texas Denton</t>
  </si>
  <si>
    <t>Castillo, SP (corresponding author), Pontificia Univ Catolica Chile, Dept Ecol, POB 8331150, Santiago, Chile.;Castillo, SP (corresponding author), Fac Sci, Inst Ecol &amp; Biodivers Chile, Casilla 653, Santiago, Chile.</t>
  </si>
  <si>
    <t>spcastil@uc.cl</t>
  </si>
  <si>
    <t>Castillo, Simon P/AGW-1928-2022; Jimenez, Jaime E./AAO-7531-2020; Crego, Ramiro Daniel/I-3964-2019; Rozzi, Ricardo/G-1047-2012</t>
  </si>
  <si>
    <t>Castillo, Simon P/0000-0002-0606-2160; Crego, Ramiro Daniel/0000-0001-8583-5936; Rozzi, Ricardo/0000-0001-5265-8726</t>
  </si>
  <si>
    <t>Chilean Forest Service [711/2014]; sub-Antarctic Biocultural Conservation Program of the University of North Texas; University of Magallanes; Institute of Ecology and Biodiversity of Chile [ICMP 05-002, CONICYT PFB-23]</t>
  </si>
  <si>
    <t>Chilean Forest Service; sub-Antarctic Biocultural Conservation Program of the University of North Texas; University of Magallanes; Institute of Ecology and Biodiversity of Chile</t>
  </si>
  <si>
    <t>The expeditions were supported by the Chilean Forest Service (permit number 711/2014) and funded by the sub-Antarctic Biocultural Conservation Program of the University of North Texas, University of Magallanes, and the Institute of Ecology and Biodiversity of Chile (ICMP 05-002 and CONICYT PFB-23). We thank the Wankara laboratory for allowing us to use their facilities in Puerto Williams, Navarino Island, Chile. Miles Wetherington provided comments that considerably improved our manuscript.</t>
  </si>
  <si>
    <t>10.1002/ecy.1873</t>
  </si>
  <si>
    <t>WOS:000408836600027</t>
  </si>
  <si>
    <t>Blackwell, BD; McFarlane, JA; Fischer, AM; Dollery, BE</t>
  </si>
  <si>
    <t>Blackwell, Boyd D.; McFarlane, Jim A.; Fischer, Andrew M.; Dollery, Brian E.</t>
  </si>
  <si>
    <t>Diversifying Cores but Stagnant Peripheries: Mining and Other Industry Employment Contributions to Development in Local Government Areas of the Northern Territory</t>
  </si>
  <si>
    <t>ECONOMIC PAPERS</t>
  </si>
  <si>
    <t>employment; growth; mining; Northern Territory; specialisation</t>
  </si>
  <si>
    <t>URBAN ECONOMIC BASE; RANGER URANIUM-MINE; TANAMI GOLD MINE; WESTERN-AUSTRALIA; REMOTE AUSTRALIA; PILBARA; GROWTH; BOOM; PERSPECTIVE; COMMUNITIES</t>
  </si>
  <si>
    <t>The economic structure of local government areas (LGAs) of the Northern Territory (NT) are mapped and analysed using economic base theory. Using a three-stage geospatial visualisation we find that: (i) Mining and agriculture are predominantly providing job concentration in a handful of remote LGAs. (ii) Employment growth is derived from public services, with private sector industries contributing almost equally in most LGAs. (iii) NT LGAs exhibit core-periphery characteristics including vulnerable peripheries, often alongside mature mining operations. (iv) However, mature mining is also found alongside diversified sub-cores, providing a model for more vulnerable LGAs.</t>
  </si>
  <si>
    <t>[Blackwell, Boyd D.; McFarlane, Jim A.] Univ New England, UNE Business Sch, EBL Bldg,Trevenna Rd, Armidale, NSW 2351, Australia; [Fischer, Andrew M.] Univ Tasmania, Inst Marine &amp; Antarctic Studies, Newnham, Tas, Australia; [Dollery, Brian E.] Univ New England, UNE Ctr Local Govt, Armidale, NSW, Australia</t>
  </si>
  <si>
    <t>University of New England; University of Tasmania; University of New England</t>
  </si>
  <si>
    <t>Blackwell, BD (corresponding author), Univ New England, UNE Business Sch, EBL Bldg,Trevenna Rd, Armidale, NSW 2351, Australia.</t>
  </si>
  <si>
    <t>boydb@une.edu.au</t>
  </si>
  <si>
    <t>Blackwell, Boyd Dirk/I-1362-2018</t>
  </si>
  <si>
    <t>Blackwell, Boyd Dirk/0000-0001-8143-158X; Dollery, Brian/0000-0003-2760-865X; Fischer, Andrew/0000-0001-5284-6428</t>
  </si>
  <si>
    <t>Australian Government Cooperative Research Centres (CRCs) Program through the CRC for Remote Economic Participation (CRC-REP); University of New England</t>
  </si>
  <si>
    <t>This work was supported by the Australian Government Cooperative Research Centres (CRCs) Program through the CRC for Remote Economic Participation (CRC-REP) and the University of New England; the views expressed herein do not necessarily represent the views of the CRC-REP, Ninti One Ltd or its participants.</t>
  </si>
  <si>
    <t>0812-0439</t>
  </si>
  <si>
    <t>1759-3441</t>
  </si>
  <si>
    <t>ECON PAP</t>
  </si>
  <si>
    <t>Econ. Pap.</t>
  </si>
  <si>
    <t>10.1111/1759-3441.12182</t>
  </si>
  <si>
    <t>Economics</t>
  </si>
  <si>
    <t>Business &amp; Economics</t>
  </si>
  <si>
    <t>FF4GV</t>
  </si>
  <si>
    <t>WOS:000408896700007</t>
  </si>
  <si>
    <t>Williams, J; Hindell, JS; Jenkins, GP; Tracey, S; Hartmann, K; Swearer, SE</t>
  </si>
  <si>
    <t>Williams, Joel; Hindell, Jeremy S.; Jenkins, Greg P.; Tracey, Sean; Hartmann, Klaas; Swearer, Stephen E.</t>
  </si>
  <si>
    <t>The influence of freshwater flows on two estuarine resident fish species show differential sensitivity to the impacts of drought, flood and climate change</t>
  </si>
  <si>
    <t>ENVIRONMENTAL BIOLOGY OF FISHES</t>
  </si>
  <si>
    <t>Acoustic tracking; Fish; Estuaries; Animal tracking; Co-inhabiting; Climate change; Freshwater flows; Movement; Tagging</t>
  </si>
  <si>
    <t>BREAM ACANTHOPAGRUS-BUTCHERI; BLACK BREAM; AUSTRALIAN BASS; NOVEMACULEATA PERCIFORMES; ENVIRONMENTAL-INFLUENCES; MACQUARIA-NOVEMACULEATA; SALT-WEDGE; MOVEMENT; HABITAT; ASSEMBLAGES</t>
  </si>
  <si>
    <t>Estuaries are particularly susceptible to climate change and drought resulting in atypical changes to freshwater flows. How such changes in flow impact on the ecology of estuarine fishes may depend on how a species moves in response to changing flow conditions. Acoustic telemetry was used to interpret fine-scale movements of two co-inhabiting estuarine fish species, black bream, Acanthopagrus butcheri and estuary perch, Macquaria colonorum in relation to freshwater flows, season and moon phase. We found black bream to be highly mobile, regularly travelling the length of the estuary and into the neighbouring estuaries. In contrast, estuary perch had particular home ranges and made occasional, upstream or downstream movements. Possibly influenced by freshwater flows, estuary perch moved at greater rates in the Tambo compared to fish in the Mitchell. Black bream resided in the upper estuary during winter and spring and the lower estuary during summer and autumn, whereas estuary perch remained in the upper estuary throughout the year, with occasional downstream movements in winter and spring. This study revealed 1) significantly large increases in freshwater flows result in mass downstream movements in both species, 2) fish moved upstream during full moons and 3) there are contrasting spatio-temporal patterns in movement between species. The results from this study highlight that estuarine fishes are likely to show differential sensitivity to the impacts of drought and climate change and illustrate how acoustic telemetry methods can be used to determine the environmental needs of fishes and help efforts to conserve and manage estuaries worldwide.</t>
  </si>
  <si>
    <t>[Williams, Joel] NSW Dept Primary Ind, Fisheries Res, Nelson Bay, NSW 2315, Australia; [Hindell, Jeremy S.] Dept Environm Land Water &amp; Planning, East Melbourne, Vic 3002, Australia; [Jenkins, Greg P.; Swearer, Stephen E.] Univ Melbourne, Sch Biosci, Parkville, Vic 3010, Australia; [Jenkins, Greg P.] Deakin Univ, Sch Life &amp; Environm Sci, Ctr Integrated Ecol, Geelong, Vic 3220, Australia; [Tracey, Sean; Hartmann, Klaas] Univ Tasmania, Inst Marine &amp; Antarctic Studies, Private Bag 49, Hobart, Tas 7001, Australia</t>
  </si>
  <si>
    <t>NSW Department of Primary Industries; University of Melbourne; Deakin University; University of Tasmania</t>
  </si>
  <si>
    <t>Williams, J (corresponding author), NSW Dept Primary Ind, Fisheries Res, Nelson Bay, NSW 2315, Australia.</t>
  </si>
  <si>
    <t>joel.williams@dpi.nsw.gov.au</t>
  </si>
  <si>
    <t>Swearer, Stephen/X-4882-2018; Jenkins, Gregory/AAE-9856-2020; Hartmann, Klaas/B-3991-2008; SWEARER, STEPHEN/AAC-1527-2020; Williams, Joel/R-8997-2019; Tracey, Sean/J-7446-2014</t>
  </si>
  <si>
    <t>Swearer, Stephen/0000-0001-6381-9943; SWEARER, STEPHEN/0000-0001-6381-9943; Williams, Joel/0000-0002-4173-3855; Tracey, Sean/0000-0002-6735-5899; Jenkins, Gregory/0000-0001-5793-6844</t>
  </si>
  <si>
    <t>Australian Research Council [LP0668997]; Fisheries Victoria, Department of Sustainability and Environment; Gippsland Coastal Board; Australian Research Council [LP0668997] Funding Source: Australian Research Council</t>
  </si>
  <si>
    <t>Australian Research Council(Australian Research Council); Fisheries Victoria, Department of Sustainability and Environment; Gippsland Coastal Board; Australian Research Council(Australian Research Council)</t>
  </si>
  <si>
    <t>Funding for this study was provided by the Australian Research Council (LP0668997), Fisheries Victoria, Department of Sustainability and Environment, and the Gippsland Coastal Board.</t>
  </si>
  <si>
    <t>0378-1909</t>
  </si>
  <si>
    <t>1573-5133</t>
  </si>
  <si>
    <t>ENVIRON BIOL FISH</t>
  </si>
  <si>
    <t>Environ. Biol. Fishes</t>
  </si>
  <si>
    <t>10.1007/s10641-017-0632-z</t>
  </si>
  <si>
    <t>Ecology; Marine &amp; Freshwater Biology</t>
  </si>
  <si>
    <t>FI6SK</t>
  </si>
  <si>
    <t>WOS:000412126400007</t>
  </si>
  <si>
    <t>Gonçalves, VN; Oliveira, FS; Carvalho, CR; Schaefer, CEGR; Rosa, CA; Rosa, LH</t>
  </si>
  <si>
    <t>Goncalves, Vivian N.; Oliveira, Fabio S.; Carvalho, Camila R.; Schaefer, Carlos E. G. R.; Rosa, Carlos A.; Rosa, Luiz H.</t>
  </si>
  <si>
    <t>Antarctic rocks from continental Antarctica as source of potential human opportunistic fungi</t>
  </si>
  <si>
    <t>Antarctica; Extremophile; Taxonomy; Virulence factors</t>
  </si>
  <si>
    <t>SUBCUTANEOUS PHEOHYPHOMYCOSIS; DIVERSITY; COMMUNITIES; MACROALGAE; ECOLOGY; BIOPROSPECTION; MICROORGANISMS; SPECTABILIS; DIMORPHISM; RESISTANCE</t>
  </si>
  <si>
    <t>We assessed the diversity of culturable fungi associated with rocks of continental Antarctica to evaluate their physiological opportunistic virulence potential in vitro. The seventy fungal isolates obtained were identified as nine species of Acremonium, Byssochlamys, Cladosporium, Debaryomyces, Penicillium, and Rhodotorula. Acremonium sp., D. hansenii, P. chrysogenum, P. citrinum, P. tardochrysogenum, and R. mucilaginosa were able to grow at 37 degrees C; in addition, B. spectabilis displayed a high level of growth at 37 and 45 degrees C. Thirty-one isolates of P. chrysogenum, P. citrinum, and P. tardochrysogenum were able to produce partial haemolysis on blood agar at 37 degrees C. Acremonium sp., P. citrinum, and P. tardochrysogenum showed spore sizes ranging from 2.81 to 5.13 mu m diameters at 37 degrees C. Of these, P. chrysogenum and P. tardochrysogenum displayed macro- and micro morphological polymorphism. Our results suggest that rocks of the ultra-extreme cold and dry environment of Antarctica harbour cryptic fungi phylogenetically close to opportunistic pathogenic and mycotoxigenic taxa with physiologic virulence characteristics in vitro.</t>
  </si>
  <si>
    <t>[Goncalves, Vivian N.; Carvalho, Camila R.; Rosa, Carlos A.; Rosa, Luiz H.] Univ Fed Minas Gerais, Dept Microbiol, BR-31270901 Belo Horizonte, MG, Brazil; [Oliveira, Fabio S.] Univ Fed Minas Gerais, Dept Geog, Belo Horizonte, MG, Brazil; [Schaefer, Carlos E. G. R.] Univ Fed Vicosa, Dept Soil Sci, Vicosa, MG, Brazil</t>
  </si>
  <si>
    <t>Universidade Federal de Minas Gerais; Universidade Federal de Minas Gerais; Universidade Federal de Vicosa</t>
  </si>
  <si>
    <t>Rosa, LH (corresponding author), Univ Fed Minas Gerais, Dept Microbiol, BR-31270901 Belo Horizonte, MG, Brazil.</t>
  </si>
  <si>
    <t>lhrosa@icb.ufmg.br</t>
  </si>
  <si>
    <t>Oliveira, Fabio/AAJ-7764-2021; Schaefer, Carlos Ernesto/AAY-4977-2020</t>
  </si>
  <si>
    <t>Oliveira, Fabio/0000-0002-1450-7609; Ernesto Goncalves Reynaud Schaefer, Carlos/0000-0001-5735-3227; Ernesto Goncalves Reynaud Schaefer, Carlos/0000-0001-7060-1598</t>
  </si>
  <si>
    <t>CNPq PROANTAR [407230/2013-0]; INCT Criosfera; FAPEMIG [0050-13]; CAPES [23038.003478/2013-92]</t>
  </si>
  <si>
    <t>CNPq PROANTAR(Conselho Nacional de Desenvolvimento Cientifico e Tecnologico (CNPQ)); INCT Criosfera; FAPEMIG(Fundacao de Amparo a Pesquisa do Estado de Minas Gerais (FAPEMIG)); CAPES(Coordenacao de Aperfeicoamento de Pessoal de Nivel Superior (CAPES))</t>
  </si>
  <si>
    <t>We acknowledge the financial support from CNPq PROANTAR 407230/2013-0, INCT Criosfera, FAPEMIG (0050-13), and CAPES (23038.003478/2013-92).</t>
  </si>
  <si>
    <t>SHIROYAMA TRUST TOWER 5F, 4-3-1 TORANOMON, MINATO-KU, TOKYO, 105-6005, JAPAN</t>
  </si>
  <si>
    <t>10.1007/s00792-017-0947-x</t>
  </si>
  <si>
    <t>WOS:000408230000003</t>
  </si>
  <si>
    <t>Lee, SH; Lee, MC; Puthumana, J; Park, JC; Kang, S; Han, J; Shin, KH; Park, HG; Om, AS; Lee, JS</t>
  </si>
  <si>
    <t>Lee, Seung-Hwi; Lee, Min-Chul; Puthumana, Jayesh; Park, Jun Chul; Kang, Sujin; Han, Jeonghoon; Shin, Kyung-Hoon; Park, Heum Gi; Om, Ae-Son; Lee, Jae-Seong</t>
  </si>
  <si>
    <t>Effects of temperature on growth and fatty acid synthesis in the cyclopoid copepod Paracyclopina nana</t>
  </si>
  <si>
    <t>FISHERIES SCIENCE</t>
  </si>
  <si>
    <t>Copepod; Paracyclopina nana; Lipogenesis; Temperature; Fatty acids</t>
  </si>
  <si>
    <t>MARINE PLANKTONIC COPEPODS; CLIMATE-CHANGE; BRACHIONUS-PLICATILIS; HARPACTICOID COPEPOD; TIGRIOPUS-JAPONICUS; PELAGIC COPEPODS; ANTARCTIC KRILL; MULLER ROTIFERA; LIPID-STORAGE; CHLOROPHYLL-A</t>
  </si>
  <si>
    <t>We have used the cyclopoid copepod Paracyclopina nana to understand responses to the temperature shift. To determine the changes of molecular mechanisms, which would lead to physiological changes in P. nana, we investigated mRNA expression involved in lipogenesis, the area of lipid droplets, the ratio of fatty acids, and life parameters (growth and fecundity) in response to temperature changes (15, 20, and 30 A degrees C) with comparative control at 25 A degrees C. Setting the temperature 25 A degrees C as a standard point, there were increases in mRNA expression, the area of the lipid droplets, and fatty acid composition at temperatures below the standard (15 A degrees C), while all the markers mentioned above significantly decreased at higher temperatures than the standard (25 A degrees C). Through fecundity and growth rate experiments, daily nauplii production was reduced and growth retardation was observed at both 15 and 20 A degrees C, but no noticeable differences in the two parameters were observed at 30 A degrees C compared to the control (25 A degrees C). This study provides a better understanding of the effects of temperature on lipogenesis in copepods.</t>
  </si>
  <si>
    <t>[Lee, Seung-Hwi] Honam Univ, Dept Food &amp; Nutr, Coll Hlth Sci, Gwangju 62399, South Korea; [Lee, Seung-Hwi; Om, Ae-Son] Hanyang Univ, Dept Food &amp; Nutr, Coll Human Ecol, Seoul 04763, South Korea; [Lee, Min-Chul; Puthumana, Jayesh; Park, Jun Chul; Han, Jeonghoon; Lee, Jae-Seong] Sungkyunkwan Univ, Dept Biol Sci, Coll Sci, Suwon 16419, South Korea; [Kang, Sujin; Shin, Kyung-Hoon] Hanyang Univ, Dept Marine Sci &amp; Convergent Technol, Ansan 15588, South Korea; [Park, Heum Gi] Gangneung Wonju Natl Univ, Dept Marine Biosci, Coll Life Sci, Kangnung 25457, South Korea</t>
  </si>
  <si>
    <t>Honam University; Hanyang University; Sungkyunkwan University (SKKU); Hanyang University; Kangnung Wonju National University</t>
  </si>
  <si>
    <t>Lee, JS (corresponding author), Sungkyunkwan Univ, Dept Biol Sci, Coll Sci, Suwon 16419, South Korea.</t>
  </si>
  <si>
    <t>jslee2@skku.edu</t>
  </si>
  <si>
    <t>Park, Jordan Jun Chul/ABI-6276-2020; Lee, MC/ABI-5926-2020; Lee, Jae-Seong/H-6013-2015; Han, Jeonghoon/ABI-6920-2020; Puthumana, Jayesh/ABI-5137-2020; Shin, Kyung-Hoon/AAD-6999-2021; Puthumana, Jayesh/ABA-2358-2020; Puthumana, Jayesh/AAI-7891-2021</t>
  </si>
  <si>
    <t>Lee, Jae-Seong/0000-0003-0944-5172; Shin, Kyung-Hoon/0000-0002-3169-4274; Puthumana, Jayesh/0000-0002-3423-6420; Park, Heum Gi/0000-0002-4113-8749</t>
  </si>
  <si>
    <t>Development of Techniques for Assessment and Management of Hazardous Chemicals in the Marine Environment program of the Korean Ministry of Oceans and Fisheries</t>
  </si>
  <si>
    <t>We thank two anonymous reviewers for their valuable comments on the manuscript. This work was made possible by a grant from the Development of Techniques for Assessment and Management of Hazardous Chemicals in the Marine Environment program of the Korean Ministry of Oceans and Fisheries funded to Jae-Seong Lee.</t>
  </si>
  <si>
    <t>0919-9268</t>
  </si>
  <si>
    <t>1444-2906</t>
  </si>
  <si>
    <t>FISHERIES SCI</t>
  </si>
  <si>
    <t>Fish. Sci.</t>
  </si>
  <si>
    <t>10.1007/s12562-017-1104-2</t>
  </si>
  <si>
    <t>Fisheries</t>
  </si>
  <si>
    <t>FF5NL</t>
  </si>
  <si>
    <t>WOS:000409038500007</t>
  </si>
  <si>
    <t>Alvarado, R; Leiva, S</t>
  </si>
  <si>
    <t>Alvarado, Roxana; Leiva, Sergio</t>
  </si>
  <si>
    <t>Agar-degrading bacteria isolated from Antarctic macroalgae</t>
  </si>
  <si>
    <t>FOLIA MICROBIOLOGICA</t>
  </si>
  <si>
    <t>GREAT SALT PLAINS; BETA-AGARASE; MARINE-BACTERIA; SP NOV.; HETEROTROPHIC BACTERIA; ACTIVE ENZYMES; DIVERSITY; MICROORGANISMS; PURIFICATION; IDENTIFICATION</t>
  </si>
  <si>
    <t>This study describes the taxonomic diversity of pigmented, agar-degrading bacteria isolated from the surface of macroalgae collected in King George Island, Antarctica. A total of 30 pigmented, agarolytic bacteria were isolated from the surface of the Antarctic macroalgae Adenocystis utricularis, Monostroma hariotii, Iridaea cordata, and Pantoneura plocamioides. Based on the 16S rRNA data, the agarolytic isolates were affiliated to the genera Algibacter, Arthrobacter, Brachybacterium, Cellulophaga, Citricoccus, Labedella, Microbacterium, Micrococcus, Salinibacterium, Sanguibacter, and Zobellia. Isolates phylogenetically related to Cellulophaga algicola showed the highest agarase activity in culture supernatants when tested at 4 and 37 A degrees C. This is the first investigation of pigmented agar-degrading bacteria, members of microbial communities associated with Antarctic macroalgae, and the results suggest that they represent a potential source of cold-adapted agarases of possible biotechnological interest.</t>
  </si>
  <si>
    <t>[Alvarado, Roxana; Leiva, Sergio] Univ Austral Chile, Inst Bioquim &amp; Microbiol, Fac Ciencias, Casilla 567, Valdivia, Chile</t>
  </si>
  <si>
    <t>Universidad Austral de Chile</t>
  </si>
  <si>
    <t>Leiva, S (corresponding author), Univ Austral Chile, Inst Bioquim &amp; Microbiol, Fac Ciencias, Casilla 567, Valdivia, Chile.</t>
  </si>
  <si>
    <t>sleiva@uach.cl</t>
  </si>
  <si>
    <t>Alvarado Beltran, Maria Roxana/0000-0001-9811-4855</t>
  </si>
  <si>
    <t>Instituto Antartico Chileno (INACH) [RT_06-13]</t>
  </si>
  <si>
    <t>Instituto Antartico Chileno (INACH)</t>
  </si>
  <si>
    <t>We thank the INACH staff at Station Prof. Julio Escudero for logistic support. Special thanks to Dr. Ivan Gomez and his group (Project Anillo ART1101) for its valuable support during the field work. This study was supported by Grant RT_06-13 from the Instituto Antartico Chileno (INACH).</t>
  </si>
  <si>
    <t>0015-5632</t>
  </si>
  <si>
    <t>1874-9356</t>
  </si>
  <si>
    <t>FOLIA MICROBIOL</t>
  </si>
  <si>
    <t>Folia Microbiol.</t>
  </si>
  <si>
    <t>10.1007/s12223-017-0511-1</t>
  </si>
  <si>
    <t>FF7AK</t>
  </si>
  <si>
    <t>WOS:000409167900006</t>
  </si>
  <si>
    <t>Carroll, G; Cox, M; Harcourt, R; Pitcher, BJ; Slip, D; Jonsen, I</t>
  </si>
  <si>
    <t>Carroll, Gemma; Cox, Martin; Harcourt, Robert; Pitcher, Benjamin J.; Slip, David; Jonsen, Ian</t>
  </si>
  <si>
    <t>Hierarchical influences of prey distribution on patterns of prey capture by a marine predator</t>
  </si>
  <si>
    <t>FUNCTIONAL ECOLOGY</t>
  </si>
  <si>
    <t>accelerometry; acoustic survey; foraging ecology; little penguin; marine predator; predator-prey dynamics; prey capture; prey encounter; resource selection function; seabird</t>
  </si>
  <si>
    <t>FORAGING STRATEGIES; HABITAT SELECTION; PENGUINS; SUCCESS; ABUNDANCE; DENSITY; SPACE; ACCESSIBILITY; VARIABILITY; PATCHINESS</t>
  </si>
  <si>
    <t>1. Prey distribution acts at multiple spatial scales to influence foraging success by predators. The overall distribution of prey may shape foraging ranges, the distance between patches may influence the ability of predators to detect and move between profitable areas, and individual patch characteristics may affect prey capture efficiency. 2. In this study, we assessed relationships between spatially explicit patterns of prey capture by a central place forager, the little penguin (using GPS tracking and accelerometry), and the distribution of aggregations of potential forage fish prey (using boat-based active acoustics) in eastern Australia. We used complementary resource selection functions to estimate the distribution of both prey captures and aggregations across the study area, based on a suite of habitat characteristics. 3. We found that 99% of prey captures by penguins occurred in the top 20 m of the water column. The estimated distribution of prey captures across the study area was similar to the distribution of aggregations above 20 m depth, indicating that penguins effectively matched the local distribution of their prey. 4. The distances between consecutive prey captures followed a bimodal distribution, with means of 8.1 +/- 2.2 and 57.4 +/- 1.7 m. Based on the length of aggregations and the distances separating aggregations along survey transects, this implies that foraging behaviour occurs on multiple spatial scales corresponding to within-patch and between-patch movements respectively. 5. Morphological characteristics of aggregations above 20 m depth were important for explaining variance in the number of prey caught by penguins in an area, with penguins catching more prey where aggregations were relatively dense, compact and shallow. 6. These results reveal spatially explicit patterns of prey capture, and provide a framework for understanding how features of prey distribution influence prey intake by predators in patchy environments.</t>
  </si>
  <si>
    <t>[Carroll, Gemma; Harcourt, Robert; Pitcher, Benjamin J.; Slip, David; Jonsen, Ian] Macquarie Univ, Dept Biol Sci, Fac Sci &amp; Engn, N Ryde, NSW 2109, Australia; [Cox, Martin] Australian Antarctic Div, 203 Channel Hwy, Kingston, Tas, Australia; [Slip, David] Taronga Conservat Soc Australia, Bradleys Head Rd, Mosman, NSW 2088, Australia</t>
  </si>
  <si>
    <t>Macquarie University; Australian Antarctic Division; Taronga Conservation Society Australia</t>
  </si>
  <si>
    <t>Carroll, G (corresponding author), Macquarie Univ, Dept Biol Sci, Fac Sci &amp; Engn, N Ryde, NSW 2109, Australia.</t>
  </si>
  <si>
    <t>gemma.carroll@mq.edu.au</t>
  </si>
  <si>
    <t>Pitcher, Benjamin J/A-9631-2012; Carroll, Gemma/K-3203-2014</t>
  </si>
  <si>
    <t>Carroll, Gemma/0000-0001-7776-0946; Harcourt, Robert/0000-0003-4666-2934; Pitcher, Benjamin/0000-0002-8580-0343; Jonsen, Ian/0000-0001-5423-6076; Slip, David/0000-0002-9010-7236</t>
  </si>
  <si>
    <t>Australian Research Council Linkage Grant [LP110200603]; Macquarie University Research Excellence Scholarship; Macquarie University; Macquarie University Research Fellowship; Australian Research Council [LP110200603] Funding Source: Australian Research Council</t>
  </si>
  <si>
    <t>Australian Research Council Linkage Grant(Australian Research Council); Macquarie University Research Excellence Scholarship; Macquarie University; Macquarie University Research Fellowship; Australian Research Council(Australian Research Council)</t>
  </si>
  <si>
    <t>We thank the NSW National Parks and Wildlife Service for their ongoing commitment to this project and for logistical support on Montague Island. We thank Vanessa Pirotta and Andrew Irvine for their assistance in the field during the acoustic surveys, and Andrew Brierly and St. Andrews University for loan of the EK80 echosounder. This project is funded by an Australian Research Council Linkage Grant to R.H. and D.S. (LP110200603), G.C. is funded by a Macquarie University Research Excellence Scholarship, I.J. is funded by a Macquarie University Vice Chancellor's Innovation Fellowship and B.J.P. is funded by a Macquarie University Research Fellowship. The authors have no conflict of interest to declare.</t>
  </si>
  <si>
    <t>0269-8463</t>
  </si>
  <si>
    <t>1365-2435</t>
  </si>
  <si>
    <t>FUNCT ECOL</t>
  </si>
  <si>
    <t>Funct. Ecol.</t>
  </si>
  <si>
    <t>10.1111/1365-2435.12873</t>
  </si>
  <si>
    <t>FF6IY</t>
  </si>
  <si>
    <t>WOS:000409112700008</t>
  </si>
  <si>
    <t>Wijayawardene, NN; Hyde, KD; Rajeshkumar, KC; Hawksworth, DL; Madrid, H; Kirk, PM; Braun, U; Singh, RV; Crous, PW; Kukwa, M; Lücking, R; Kurtzman, CP; Yurkov, A; Haelewaters, D; Aptroot, A; Lumbsch, HT; Timdal, E; Ertz, D; Etayo, J; Phillips, AJL; Groenewald, JZ; Papizadeh, M; Selbmann, L; Dayarathne, MC; Weerakoon, G; Jones, EBG; Suetrong, S; Tian, Q; Castañeda-Ruiz, RF; Bahkali, AH; Pang, KL; Tanaka, K; Dai, DQ; Sakayaroj, J; Hujslová, M; Lombard, L; Shenoy, BD; Suija, A; Maharachchikumbura, SSN; Thambugala, KM; Wanasinghe, DN; Sharma, BO; Gaikwad, S; Pandit, G; Zucconi, L; Onofri, S; Egidi, E; Raja, HA; Kodsueb, R; Cáceres, MES; Pérez-Ortega, S; Fiuza, PO; Monteiro, JS; Vasilyeva, LN; Shivas, RG; Prieto, M; Wedin, M; Olariaga, I; Lateef, AA; Agrawal, Y; Fazeli, SAS; Amoozegar, MA; Zhao, GZ; Pfliegler, WP; Sharma, G; Oset, M; Abdel-Wahab, MA; Takamatsu, S; Bensch, K; de Silva, NI; De Kesel, A; Karunarathna, A; Boonmee, S; Pfister, DH; Lu, YZ; Luo, ZL; Boonyuen, N; Daranagama, DA; Senanayake, IC; Jayasiri, SC; Samarakoon, MC; Zeng, XY; Doilom, M; Quijada, L; Rampadarath, S; Heredia, G; Dissanayake, AJ; Jayawardana, RS; Perera, RH; Tang, LZ; Phukhamsakda, C; Hernández-Restrepo, M; Ma, XY; Tibpromma, S; Gusmao, LFP; Weerahewa, D; Karunarathna, SC</t>
  </si>
  <si>
    <t>Wijayawardene, Nalin N.; Hyde, Kevin D.; Rajeshkumar, Kunhiraman C.; Hawksworth, David L.; Madrid, Hugo; Kirk, Paul M.; Braun, Uwe; Singh, Rajshree V.; Crous, Pedro W.; Kukwa, Martin; Luecking, Robert; Kurtzman, Cletus P.; Yurkov, Andrey; Haelewaters, Danny; Aptroot, Andre; Lumbsch, H. Thorsten; Timdal, Einar; Ertz, Damien; Etayo, Javier; Phillips, Alan J. L.; Groenewald, Johannes Z.; Papizadeh, Moslem; Selbmann, Laura; Dayarathne, Monika C.; Weerakoon, Gothamie; Jones, E. B. Gareth; Suetrong, Satinee; Tian, Qing; Castaneda-Ruiz, Rafael F.; Bahkali, Ali H.; Pang, Ka-Lai; Tanaka, Kazuaki; Dai, Dong Qin; Sakayaroj, Jariya; Hujslova, Martina; Lombard, Lorenzo; Shenoy, Belle D.; Suija, Ave; Maharachchikumbura, Sajeewa S. N.; Thambugala, Kasun M.; Wanasinghe, Dhanushka N.; Sharma, Bharati O.; Gaikwad, Subhash; Pandit, Gargee; Zucconi, Laura; Onofri, Silvano; Egidi, Eleonora; Raja, Huzefa A.; Kodsueb, Rampai; Caceres, Marcela E. S.; Perez-Ortega, Sergio; Fiuza, Patricia O.; Monteiro, Josiane Santana; Vasilyeva, Larissa N.; Shivas, Roger G.; Prieto, Maria; Wedin, Mats; Olariaga, Ibai; Lateef, Adebola Azeez; Agrawal, Yamini; Fazeli, Seyed Abolhassan Shahzadeh; Amoozegar, Mohammad Ali; Zhao, Guo Zhu; Pfliegler, Walter P.; Sharma, Gunjan; Oset, Magdalena; Abdel-Wahab, Mohamed A.; Takamatsu, Susumu; Bensch, Konstanze; de Silva, Nimali Indeewari; De Kesel, Andre; Karunarathna, Anuruddha; Boonmee, Saranyaphat; Pfister, Donald H.; Lu, Yong-Zhong; Luo, Zong-Long; Boonyuen, Nattawut; Daranagama, Dinushani A.; Senanayake, Indunil C.; Jayasiri, Subashini C.; Samarakoon, Milan C.; Zeng, Xiang-Yu; Doilom, Mingkwan; Quijada, Luis; Rampadarath, Sillma; Heredia, Gabriela; Dissanayake, Asha J.; Jayawardana, Ruvishika S.; Perera, Rekhani H.; Tang, Li Zhou; Phukhamsakda, Chayanard; Hernandez-Restrepo, Margarita; Ma, Xiaoya; Tibpromma, Saowaluck; Gusmao, Luis F. P.; Weerahewa, Darshani; Karunarathna, Samantha C.</t>
  </si>
  <si>
    <t>Notes for genera: Ascomycota</t>
  </si>
  <si>
    <t>FUNGAL DIVERSITY</t>
  </si>
  <si>
    <t>Article 59; Classification; One name; Pleomorphic fungi; Taxonomy</t>
  </si>
  <si>
    <t>FRESH-WATER HABITATS; SEMIARID CAATINGA BIOME; LICHEN-FORMING FUNGI; SP-NOV ASCOMYCOTA; GEN. SP-NOV; COMPREHENSIVE PHYLOGENETIC ANALYSIS; DEMATIACEOUS HYPHOMYCETOUS GENUS; INTERESTING LICHENICOLOUS FUNGI; SOUTH FLORIDA MICROFUNGI; SAO-PAULO STATE</t>
  </si>
  <si>
    <t>Knowledge of the relationships and thus the classification of fungi, has developed rapidly with increasingly widespread use of molecular techniques, over the past 10-15 years, and continues to accelerate. Several genera have been found to be polyphyletic, and their generic concepts have subsequently been emended. New names have thus been introduced for species which are phylogenetically distinct from the type species of particular genera. The ending of the separate naming of morphs of the same species in 2011, has also caused changes in fungal generic names. In order to facilitate access to all important changes, it was desirable to compile these in a single document. The present article provides a list of generic names of Ascomycota (approximately 6500 accepted names published to the end of 2016), including those which are lichen-forming. Notes and summaries of the changes since the last edition of 'Ainsworth &amp; Bisby's Dictionary of the Fungi' in 2008 are provided. The notes include the number of accepted species, classification, type species (with location of the type material), culture availability, life-styles, distribution, and selected publications that have appeared since 2008. This work is intended to provide the foundation for updating the ascomycete component of the Without prejudice list of generic names of Fungi'' published in 2013, which will be developed into a list of protected generic names. This will be subjected to the XIXth International Botanical Congress in Shenzhen in July 2017 agreeing to a modification in the rules relating to protected lists, and scrutiny by procedures determined by the Nomenclature Committee for Fungi (NCF). The previously invalidly published generic names Barriopsis, Collophora (as Collophorina), Cryomyces, Dematiopleospora, Heterospora (as Heterosporicola), Lithophila, Palmomyces (as Palmaria) and Saxomyces are validated, as are two previously invalid family names, Bartaliniaceae and Wiesneriomycetaceae. Four species of Lalaria, which were invalidly published are transferred to Taphrina and validated as new combinations. Catenomycopsis Tibell &amp; Constant. is reduced under Chaenothecopsis Vain., while Dichomera Cooke is reduced under Botryosphaeria Ces. &amp; De Not. (Art. 59).</t>
  </si>
  <si>
    <t>[Wijayawardene, Nalin N.; Hyde, Kevin D.; Dayarathne, Monika C.; de Silva, Nimali Indeewari; Senanayake, Indunil C.; Phukhamsakda, Chayanard; Karunarathna, Samantha C.] Chinese Acad Sci, Kunming Inst Bot, Key Lab Plant Diverse &amp; Biogeog East Asia, Kunming 650201, Yunnan, Peoples R China; [Wijayawardene, Nalin N.; Hyde, Kevin D.; Dayarathne, Monika C.; Tian, Qing; Wanasinghe, Dhanushka N.; de Silva, Nimali Indeewari; Karunarathna, Anuruddha; Boonmee, Saranyaphat; Lu, Yong-Zhong; Luo, Zong-Long; Daranagama, Dinushani A.; Senanayake, Indunil C.; Jayasiri, Subashini C.; Samarakoon, Milan C.; Zeng, Xiang-Yu; Doilom, Mingkwan; Dissanayake, Asha J.; Jayawardana, Ruvishika S.; Perera, Rekhani H.; Phukhamsakda, Chayanard; Ma, Xiaoya; Tibpromma, Saowaluck; Karunarathna, Samantha C.] Mae Fah Luang Univ, Ctr Excellence Fungal Res, Chiang Rai 57100, Thailand; [Wijayawardene, Nalin N.; Hyde, Kevin D.; Tian, Qing; Wanasinghe, Dhanushka N.; de Silva, Nimali Indeewari; Karunarathna, Anuruddha; Boonmee, Saranyaphat; Lu, Yong-Zhong; Luo, Zong-Long; Senanayake, Indunil C.; Zeng, Xiang-Yu; Phukhamsakda, Chayanard; Ma, Xiaoya; Tibpromma, Saowaluck; Karunarathna, Samantha C.] World Agroforestry Ctr East &amp; Cent Asia, Kunming 650201, Yunnan, Peoples R China; [Wijayawardene, Nalin N.; Hyde, Kevin D.; Thambugala, Kasun M.; Wanasinghe, Dhanushka N.; Karunarathna, Anuruddha; Daranagama, Dinushani A.; Perera, Rekhani H.; Tibpromma, Saowaluck; Karunarathna, Samantha C.] Mushroom Res Fdn, 128 M 3 Ban Pa Deng T Pa Pae, Chiang Mai 50150, Thailand; [Rajeshkumar, Kunhiraman C.; Singh, Rajshree V.] NFCCI, Agharkar Res Inst, Biodivers &amp; Palaeobiol Fungi Grp, Pune 411004, Maharashtra, India; [Hawksworth, David L.; Kirk, Paul M.] Royal Bot Gardens, Richmond TW9 3DS, Surrey, England; [Hawksworth, David L.] Nat Hist Museum, Dept Life Sci, Cromwell Rd, London SW7 5BD, England; [Hawksworth, David L.] Jilin Agr Univ, Changchun 130118, Jilin, Peoples R China; [Madrid, Hugo] Univ Mayor Chile, Fac Ciencias, Ctr Genom &amp; Bioinformat, Camino Piramide 5750, Santiago, Chile; [Braun, Uwe] Martin Luther Univ Halle Wittenberg, Inst Biol, Bereich Geobot &amp; Bot Garten, Neuwerk 21, D-06099 Halle, Germany; [Crous, Pedro W.; Groenewald, Johannes Z.; Lombard, Lorenzo; Hernandez-Restrepo, Margarita] Westerdijk Fungal Biodivers Inst, Uppsalalaan 8, NL-3584 CT Utrecht, Netherlands; [Kukwa, Martin; Oset, Magdalena] Univ Gdansk, Fac Biol, Dept Plant Taxon &amp; Nat Conservat, Wita Stwosza 59, PL-80308 Gdansk, Poland; [Luecking, Robert] Bot Garden &amp; Bot Museum, Konigin Luise Str 6-8, D-14195 Berlin, Germany; [Kurtzman, Cletus P.] USDA, Agr Res Serv, Natl Ctr Agr Utilizat Res, Mycotoxin Prevent &amp; Appl Microbiol Res Unit, Peoria, IL 61604 USA; [Yurkov, Andrey] Leibniz Inst DSMZ German Collect Microorganisms &amp;, Inhoffenstr 7B, D-38124 Braunschweig, ME, Germany; [Haelewaters, Danny; Pfister, Donald H.] Harvard Univ, Farlow Reference Lib &amp; Herbarium Cryptogam Bot, 22 Div Ave, Cambridge, MA 02138 USA; [Haelewaters, Danny; Pfister, Donald H.] Harvard Univ, Dept Organism &amp; Evolutionary Biol, 22 Div Ave, Cambridge, MA 02138 USA; [Aptroot, Andre] ABL Herbarium, Gvd, Veenstr 107, NL-3762 XK Soesterberg, Netherlands; [Lumbsch, H. Thorsten] Field Museum, Sci &amp; Educ, 1400 S Lake Shore Dr, Chicago, IL 60605 USA; [Timdal, Einar] Univ Oslo, Nat Hist Museum, POB 1172, N-0318 Oslo, Norway; [Ertz, Damien; De Kesel, Andre] Bot Garden Meise Res Dept, Nieuwelaan 38, B-1860 Meise, Belgium; [Etayo, Javier] IES Zizur, Dept Biol, Ronda S Cristobal 196, Navarra 31180, Spain; [Phillips, Alan J. L.] Univ Lisbon, Biosyst &amp; Integrat Sci Inst BioISI, Fac Sci, Campo Grande, P-1749016 Lisbon, Portugal; [Papizadeh, Moslem; Fazeli, Seyed Abolhassan Shahzadeh] ACECR, IBRC, Microorganisms Bank, Tehran, Iran; [Selbmann, Laura; Zucconi, Laura; Onofri, Silvano] Univ Tuscia, Viterbo, Italy; [Weerakoon, Gothamie] Integrat Res Ctr Sci &amp; Educ, Field Museum, Sci Affiliate, Chicago, IL USA; [Weerakoon, Gothamie] Natl Inst Fundamental Studies, Kandy, Sri Lanka; [Jones, E. B. Gareth; Sakayaroj, Jariya; Boonyuen, Nattawut] 33 B St Edwards Rd, Southsea PO5 3DH, England; [Suetrong, Satinee; Sakayaroj, Jariya; Boonyuen, Nattawut] Natl Ctr Genet Engn &amp; Biotechnol BIOTEC, 113 Thailand Sci Pk,Phahonyothin Rd, Khlong Luang 12120, Pathum Thani, Thailand; [Castaneda-Ruiz, Rafael F.] Inst Invest Fundamentales Agr Trop Alejandro Humb, Santiago De Las Vegas, Habana, Cuba; [Bahkali, Ali H.] King Saud Univ, Coll Sci, Dept Bot &amp; Microbiol, POB 2455, Riyadh 1145, Saudi Arabia; [Pang, Ka-Lai] Natl Taiwan Ocean Univ, Inst Marine Biol, 2 Pei Ning Rd, Keelung 20224, Taiwan; [Pang, Ka-Lai] Natl Taiwan Ocean Univ, Ctr Excellence Oceans, 2 Pei Ning Rd, Keelung 20224, Taiwan; [Tanaka, Kazuaki] Hirosaki Univ, Fac Agr &amp; Life Sci, 3 Bunkyo Cho, Hirosaki, Aomori 0368561, Japan; [Dai, Dong Qin; Tang, Li Zhou] Qujing Normal Univ, Ctr Yunnan Plateau Biol Resources Protect &amp; Utili, Coll Biol Resource &amp; Food Engn, Qujing 655011, Yunnan, Peoples R China; [Hujslova, Martina] Acad Sci Czech Republ, Inst Microbiol, Videnska 1083, CR-14220 Prague 4, Czech Republic; [Shenoy, Belle D.] CSIR, Natl Inst Oceanog Reg Ctr, 176 Lawsons Bay Colony, Visakhapatnam 17, Andhra Prades, India; [Suija, Ave] Univ Tartu, Inst Ecol &amp; Earth Sci, Tartu, Estonia; [Maharachchikumbura, Sajeewa S. N.] Sultan Qaboos Univ, Coll Agr &amp; Marine Sci, Dept Crop Sci, POB 34, Al Khoud, Oman; [Thambugala, Kasun M.; Perera, Rekhani H.] Guizhou Acad Agr Sci, Guizhou Key Lab Agr Biotechnol, Guiyang 550006, Guizhou, Peoples R China; [Sharma, Bharati O.; Gaikwad, Subhash; Pandit, Gargee] Agharkar Res Inst, Biodivers &amp; Palaeobiol Lichens Grp, Pune 411004, Maharashtra, India; [Egidi, Eleonora] La Trobe Univ, Dept Physiol Anat &amp; Microbiol, Bundoora, Vic 3086, Australia; [Raja, Huzefa A.] Univ North Carolina Greensboro, Dept Chem &amp; Biochem, Greensboro, NC 27402 USA; [Kodsueb, Rampai] Pibulsongkram Rajabhat Univ, Fac Sci &amp; Technol, Microbiol Program, Phitsanulok 65000, Thailand; [Caceres, Marcela E. S.] Univ Fed Sergipe, Dept Biociencias, BR-49500000 Itabaiana, Sergipe, Brazil; [Perez-Ortega, Sergio] Real Jardin Botan CSIC, Plaza Murillo 2, Madrid 28014, Spain; [Fiuza, Patricia O.; Monteiro, Josiane Santana; Gusmao, Luis F. P.] Univ Estadual Feira de Santana, Lab Micol, Dept Ciencias Biol, Av Transnordestina S-N Bairro Novo Horizonte, BR-44036900 Feira De Santana, BA, Brazil; [Vasilyeva, Larissa N.] Russian Acad Sci, Far East Branch, Inst Biol &amp; Soil Sci, Vladivostok 690022, Russia; [Shivas, Roger G.] Univ South Queensland, Ctr Crop Hlth, Inst Agr &amp; Environm, Toowoomba, Qld 4350, Australia; [Prieto, Maria] Univ Rey Juan Carlos, Dept Biol &amp; Geol Fis &amp; Quim Inorgan, C Tulipan S-N, Madrid 28933, Spain; [Prieto, Maria; Wedin, Mats; Olariaga, Ibai] Swedish Museum Nat Hist, Dept Bot, POB 50007, S-10405 Stockholm, Sweden; [Lateef, Adebola Azeez] Univ Ilorin, Fac Life Sci, Dept Plant Biol, Ilorin, Nigeria; [Agrawal, Yamini] Shahid Rajguru Coll Appl Sci Women, Vasundhara Enclave, East Delhi 110096, India; [Fazeli, Seyed Abolhassan Shahzadeh] Univ Sci &amp; Culture, Dept Mol &amp; Cellular Biol, Fac Basic Sci &amp; Adv Technol Biol, Tehran, Iran; [Amoozegar, Mohammad Ali] Univ Tehran, Coll Sci, Dept Microbiol, Extremophiles Lab, Tehran, Iran; [Amoozegar, Mohammad Ali] Univ Tehran, Coll Sci, Ctr Excellence Phylogeny Living Organisms, Tehran, Iran; [Zhao, Guo Zhu] Beijing Forestry Univ, Coll Biol Sci &amp; Biotechnol, Beijing 100083, Peoples R China; [Pfliegler, Walter P.] Univ Debrecen, Dept Biotechnol &amp; Microbiol, Debrecen, Hungary; [Sharma, Gunjan] NCR Biotech Sci Cluster, Reg Ctr Biotechnol, Faridabad 121001, Haryana, India; [Abdel-Wahab, Mohamed A.] Sohag Univ, Dept Bot &amp; Microbiol, Fac Sci, Sohag, Egypt; [Takamatsu, Susumu] Mie Univ, Grad Sch Bioresources, 1577 Kurima Machiya, Tsu, Mie 5148507, Japan; [Bensch, Konstanze] Bot Staatssammlung Munchen, Menzinger Str 67, D-80638 Munich, Germany; [de Silva, Nimali Indeewari; Samarakoon, Milan C.] Chiang Mai Univ, Dept Biol, Fac Sci, Chiang Mai 50200, Thailand; [Karunarathna, Anuruddha; Weerahewa, Darshani] Open Univ Sri Lanka, Dept Bot, Nugegoda, Sri Lanka; [Luo, Zong-Long] Dali Univ, Coll Agr &amp; Biol Sci, Dali 671003, Yunnan, Peoples R China; [Jayasiri, Subashini C.; Zeng, Xiang-Yu] Guizhou Univ, Minist Educ, Engn Res Ctr Southwest Biopharmaceut Resources, Guiyang 550025, Guizhou, Peoples R China; [Quijada, Luis] Univ La Laguna, Dept Bot Ecol &amp; Fisiol Vegetal, 38200 Apdo 456 Avda Francisco Sanchez S-N, Tenerife, Canary Islands, Spain; [Rampadarath, Sillma] Univ Mauritius, Dept Agr &amp; Food Sci, Fac Agr, Reduit, Mauritius; [Heredia, Gabriela] Inst Ecol AC, Lab Microfungi, Xalapa, Veracruz, Mexico</t>
  </si>
  <si>
    <t>Chinese Academy of Sciences; Kunming Institute of Botany, CAS; Mae Fah Luang University; Department of Science &amp; Technology (India); Agharkar Research Institute (ARI); Royal Botanic Gardens, Kew; Natural History Museum London; Jilin Agricultural University; Martin Luther University Halle Wittenberg; Fahrenheit Universities; University of Gdansk; United States Department of Agriculture (USDA); Leibniz Institut fur Deutsche Sammlung von Mikroorganismen und Zellkulturen (DSMZ); Harvard University; Harvard University; Field Museum of Natural History (Chicago); University of Oslo; Universidade de Lisboa; BIOISI; Academic Center for Education, Culture &amp; Research (ACECR); Tuscia University; Field Museum of Natural History (Chicago); National Institute of Fundamental Studies (NIFS); National Science &amp; Technology Development Agency - Thailand; National Center Genetic Engineering &amp; Biotechnology (BIOTEC); King Saud University; National Taiwan Ocean University; National Taiwan Ocean University; Hirosaki University; Qujing Normal University; Czech Academy of Sciences; Institute of Microbiology of the Czech Academy of Sciences; Council of Scientific &amp; Industrial Research (CSIR) - India; CSIR - National Institute of Oceanography (NIO); University of Tartu; Tartu University Institute of Ecology &amp; Earth Sciences; Sultan Qaboos University; Guizhou Academy of Agricultural Sciences; Department of Science &amp; Technology (India); Agharkar Research Institute (ARI); La Trobe University; University of North Carolina; University of North Carolina Greensboro; Pibulsongkram Rajabhat University; Universidade Federal de Sergipe; Consejo Superior de Investigaciones Cientificas (CSIC); CSIC - Real Jardin Botanico de Madrid; Universidade Estadual de Feira de Santana; Russian Academy of Sciences; Federal Scientific Center of the East Asia Terrestrial Biodiversity, Far Eastern Branch of the Russian Academy of Sciences; University of Southern Queensland; Universidad Rey Juan Carlos; Swedish Museum of Natural History; University of Ilorin; University of Tehran; University of Tehran; Beijing Forestry University; University of Debrecen; Department of Biotechnology (DBT) India; Regional Centre for Biotechnology; Egyptian Knowledge Bank (EKB); Sohag University; Mie University; Chiang Mai University; Open University Sri Lanka; Dali University; Guizhou University; Universidad de la Laguna; University of Mauritius; Instituto de Ecologia - Mexico</t>
  </si>
  <si>
    <t>Karunarathna, SC (corresponding author), Chinese Acad Sci, Kunming Inst Bot, Key Lab Plant Diverse &amp; Biogeog East Asia, Kunming 650201, Yunnan, Peoples R China.;Karunarathna, SC (corresponding author), Mae Fah Luang Univ, Ctr Excellence Fungal Res, Chiang Rai 57100, Thailand.;Karunarathna, SC (corresponding author), World Agroforestry Ctr East &amp; Cent Asia, Kunming 650201, Yunnan, Peoples R China.;Karunarathna, SC (corresponding author), Mushroom Res Fdn, 128 M 3 Ban Pa Deng T Pa Pae, Chiang Mai 50150, Thailand.</t>
  </si>
  <si>
    <t>samanthakarunarathna@gmail.com</t>
  </si>
  <si>
    <t>Puchooa, Daneshwar/HLH-1147-2023; Kodsueb, Rampai/F-6081-2010; Lombard, Lorenzo/GSD-5228-2022; Monteiro, Josiane/O-3168-2015; Dai, Dong-Qin/AAE-3389-2019; de Silva, Nimali Indeewari/E-3234-2015; Shenoy, Belle Damodara/T-2216-2019; Zucconi, L./U-9781-2018; Karunarathna, Samantha Chandranath/JCE-5110-2023; Etayo, Javier/H-4039-2015; Tibpromma, Saowaluck/AAY-9436-2021; Abdel-Wahab, Mohamed/Z-4157-2019; Crous, Pedro/H-1489-2012; Hyde, Kevin/F-7890-2010; Doilom, Mingkwan/V-3017-2017; lu, yongzhong/AAZ-9634-2021; Boonyuen, Nattawut/P-5144-2019; Takamatsu, Susumu/L-5526-2019; Phukhamsakda, Chayanard/GWM-8315-2022; Perera, Rekhani Hansika/ABF-6144-2020; Pang, Ka-Lai/ABF-8500-2020; Karunarathna, Anuruddha -/U-1940-2017; Quijada, Luis/AFO-8640-2022; Olariaga, Ibai/AAB-1577-2019; Haelewaters, Danny/AAL-4179-2021; Amoozegar, Mohammad Ali/R-6639-2019; Jayasiri, Ushettige Don Subashini Chathumini/O-6534-2015; Hujslova, Martina/K-8097-2014; Amoozegar, Mohammad Ali/S-2220-2017; Crous, Pedro/ISB-2589-2023; Lombard, Lorenzo/B-2042-2010; Luo, Zong-Long/AAY-8239-2021; Boonyuen, Nattawut/AAU-5318-2020; Madrid, Hugo/AAA-4995-2019; Ruiz, Rafael F. Castañeda/B-2511-2008; Agrawal, Yamini/AAJ-2185-2021; Wanasinghe, Dhanushka Nadeeshan/ITT-1314-2023; Fiuza, Patrícia/L-9223-2013; Rajeshkumar, Kunhiraman C/AEI-7459-2022; Pfliegler, Walter P./D-1114-2018; Sakayaroj, Jariya/D-1845-2012; Phillips, Alan John, Lander/C-6102-2011; Boonyuen, Nattawut/GRJ-2399-2022; Shenoy, Belle Damodara/E-4569-2011; Raja, Huzefa/J-4794-2015; Maharachchikumbura, Sajeewa/C-9403-2013; Wijayawardene, Nalin N./O-6538-2019; Groenewald, Johannes Z/F-4667-2011; Bahkali, Ali/E-3720-2014; Samarakoon, Milan C./AAA-1905-2022; tian, qing/JMQ-8820-2023; Luo, Zong-Long/JPA-0303-2023; Yurkov, Andrey M./E-7854-2011; Egidi, Eleonora/AAG-7513-2020; Kukwa, Martin/X-9510-2019; Boonmee, Saranyaphat/ABF-1720-2020; Zeng, Xiang-Yu/AAE-5590-2022; SENANAYAKE, INDUNIL CHINTHANI/ACM-1501-2022; Wanasinghe, Dhanushka Nadeeshan/P-1693-2017; Caceres, Marcela E S/H-7039-2012; Lumbsch, Thorsten/K-3573-2012; Dayarathne, Monika Chandani/S-1903-2019; Weerakoon, Gothamie/AAJ-3035-2021; Boonyuen, Nattawut/GPT-1218-2022; Sharma, Gunjan/AAD-8795-2020; Karunarathna, Samantha Chandranath/Y-8599-2019; Dissanayake, Asha/AAG-4869-2020; Daranagama, Dinushani/AAR-8997-2021; Jones, Gareth E. B./C-5137-2013; Thambugala, Kasun/AGD-8435-2022; pascholati gusmao, luis fernando/E-1063-2012; Prieto, Maria/Q-5033-2017; Heredia, Gabriela/I-9194-2014; Perez-Ortega, Sergio/G-1257-2016</t>
  </si>
  <si>
    <t>Puchooa, Daneshwar/0000-0002-4268-1698; Kodsueb, Rampai/0000-0002-5593-5837; Dai, Dong-Qin/0000-0001-8935-8807; Zucconi, L./0000-0001-9793-2303; Karunarathna, Samantha Chandranath/0000-0001-7080-0781; Abdel-Wahab, Mohamed/0000-0002-3176-8675; Phukhamsakda, Chayanard/0000-0002-1033-937X; Perera, Rekhani Hansika/0000-0002-1360-5362; Pang, Ka-Lai/0000-0003-4403-925X; Karunarathna, Anuruddha -/0000-0003-0956-6636; Quijada, Luis/0000-0003-1666-6758; Haelewaters, Danny/0000-0002-6424-0834; Amoozegar, Mohammad Ali/0000-0002-9638-0532; Boonyuen, Nattawut/0000-0001-7131-6035; Fiuza, Patrícia/0000-0002-9428-8257; Rajeshkumar, Kunhiraman C/0000-0003-0401-8294; Phillips, Alan John, Lander/0000-0001-6367-9784; Boonyuen, Nattawut/0000-0001-7131-6035; Raja, Huzefa/0000-0002-0824-9463; Maharachchikumbura, Sajeewa/0000-0001-9127-0783; Groenewald, Johannes Z/0000-0002-9474-6246; Samarakoon, Milan C./0000-0002-4815-125X; Luo, Zong-Long/0000-0001-7307-4885; Yurkov, Andrey M./0000-0002-1072-5166; Egidi, Eleonora/0000-0002-1211-2355; Kukwa, Martin/0000-0003-1560-909X; Boonmee, Saranyaphat/0000-0001-5202-2955; Zeng, Xiang-Yu/0000-0003-1341-1004; SENANAYAKE, INDUNIL CHINTHANI/0000-0002-7165-2394; Wanasinghe, Dhanushka Nadeeshan/0000-0003-1759-3933; Boonyuen, Nattawut/0000-0001-7131-6035; Sharma, Gunjan/0000-0003-2199-9389; Dissanayake, Asha/0000-0002-8061-8884; Daranagama, Dinushani/0000-0001-5704-8943; Thambugala, Kasun/0000-0002-6210-0504; pascholati gusmao, luis fernando/0000-0003-3288-3971; Aptroot, Andre/0000-0001-7949-2594; Lucking, Robert/0000-0002-3431-4636; Prieto, Maria/0000-0002-1692-9821; shahzadeh fazeli, seyed abolhassan/0000-0002-0720-2954; Monteiro, Josiane/0000-0002-1717-9532; ONOFRI, Silvano/0000-0001-8872-1440; Madrid, Hugo/0000-0002-7767-0796; Heredia, Gabriela/0000-0001-7047-412X; Perez-Ortega, Sergio/0000-0002-5411-3698; Oset, Magdalena/0000-0003-4068-434X; de Silva, Nimali Indeewari/0000-0002-1577-280X; Shivas, Roger/0000-0001-7494-8716; Lateef, Adebola/0000-0002-0510-7996; Lumbsch, Thorsten/0000-0003-1512-835X; da Silva Caceres, Marcela Eugenia/0000-0002-5612-1309</t>
  </si>
  <si>
    <t>Thailand Research Fund (TRF) [RSA5980068]; National Research Council of Thailand (NRCT) [60201000201]; Mae Fah Luang University [592010200112]; Fondo Nacional de Desarrollo Cientifico y Tecnologico (FONDECYT), Chile [11140562]; Programa de Salud Animal y Vegetal [P131LH003033]; Key Laboratory of Yunnan Province Universities of the Diversity and Ecological Adaptive Evolution for Animals and plants on Yun-Gui Plateau; Ministry of Science and Technology, Taiwan [105-2621-B-019 -002-]; National Natural Science Foundation of China [31570019]; Royal Golden Jubilee Ph.D. Program [PHD./0072/2553]; Japan Society for the Promotion of Science (JSPS) [26291084, 16K07474]; Hungarian Ministry of Human Capacities [UNKP-16-4-IV]; Yunnan Provincial Department of Human Resources and Social Security [179122]; International Scientific Partnership Program ISPP at King Saud University [0089]; SERB, DST, Government of India [YSS/2015/001590]; Swedish Research Council [VR 621-2012-3990, VR 2016-03589]; Biosystems and Integrative Sciences Institute (BioISI) [FCT/UID/Multi/04046/2013]; Italian National Program for Antarctic Researches (PNRA); Comision Nacional de Investigacion Cientifica y Tecnologica (CONICYT); Grants-in-Aid for Scientific Research [15H04491, 16K07474, 26291084] Funding Source: KAKEN</t>
  </si>
  <si>
    <t>Thailand Research Fund (TRF)(Thailand Research Fund (TRF)); National Research Council of Thailand (NRCT)(National Research Council of Thailand (NRCT)); Mae Fah Luang University; Fondo Nacional de Desarrollo Cientifico y Tecnologico (FONDECYT), Chile(Comision Nacional de Investigacion Cientifica y Tecnologica (CONICYT)CONICYT FONDECYT); Programa de Salud Animal y Vegetal; Key Laboratory of Yunnan Province Universities of the Diversity and Ecological Adaptive Evolution for Animals and plants on Yun-Gui Plateau; Ministry of Science and Technology, Taiwan(Ministry of Science and Technology, Taiwan); National Natural Science Foundation of China(National Natural Science Foundation of China (NSFC)); Royal Golden Jubilee Ph.D. Program(Thailand Research Fund (TRF)); Japan Society for the Promotion of Science (JSPS)(Ministry of Education, Culture, Sports, Science and Technology, Japan (MEXT)Japan Society for the Promotion of Science); Hungarian Ministry of Human Capacities; Yunnan Provincial Department of Human Resources and Social Security; International Scientific Partnership Program ISPP at King Saud University; SERB, DST, Government of India; Swedish Research Council(Swedish Research Council); Biosystems and Integrative Sciences Institute (BioISI); Italian National Program for Antarctic Researches (PNRA); Comision Nacional de Investigacion Cientifica y Tecnologica (CONICYT)(Comision Nacional de Investigacion Cientifica y Tecnologica (CONICYT)); Grants-in-Aid for Scientific Research(Ministry of Education, Culture, Sports, Science and Technology, Japan (MEXT)Japan Society for the Promotion of ScienceGrants-in-Aid for Scientific Research (KAKENHI))</t>
  </si>
  <si>
    <t>Nalin Wijayawardene would like to thank Lechat Christian, Yuanpin Xiao, Danushka Sandaruwan, Paul Mungai, Huang Zhang, Ishani Goonasekara, Chada Norphanphoun, Ishara Manawasingha, Rajesh Jeewon, Thilini Chethana and Hasini Ekanayaka for their assistances and suggestions. We would like to thank Mark Stadler for his help to check names in Xylariales. Nalin Wijayawardene and Pedro Crous thank Ulrike Damm for her comments and suggestions for validating several names. K.D. Hyde thanks The Chinese Academy of Sciences, for the award of Visiting Professorship for Senior International Scientists at Kunming Institute of Botany. K. D. Hyde and Monika C. Dayarathne would like to thank the Thailand Research Fund (TRF) grant no RSA5980068 entitled Biodiversity, phylogeny and role of fungal endophytes on above parts of Rhizophora apiculata and Nypa fruticans, National Research Council of Thailand (NRCT) entitled Diseases of mangrove trees and maintenance of good forestry practice (Grant number: 60201000201) and Mae Fah Luang University grant Biodiversity, phylogeny and role of fungal endophytes of Pandanaceae'' (Grant number: 592010200112). Hugo Madrid was funded by Comision Nacional de Investigacion Cientifica y Tecnologica (CONICYT), Fondo Nacional de Desarrollo Cientifico y Tecnologico (FONDECYT), Chile, project no. 11140562.'' Rafael F. Castaneda-Ruiz is grateful to the Organizacion Superior de Direccion Empresarial, Grupo Agricola, (OSDE) from the Cuban Ministry of Agriculture and Programa de Salud Animal y Vegetal'', project P131LH003033. Dong Qin Dai would like to thank the Key Laboratory of Yunnan Province Universities of the Diversity and Ecological Adaptive Evolution for Animals and plants on Yun-Gui Plateau for the support. Ka-Lai Pang thanks Ministry of Science and Technology, Taiwan for financial support (105-2621-B-019 -002-). Guo Zhu Zhao was funded by the National Natural Science Foundation of China (No. 31570019). Mingkwan Doilom acknowledges the Royal Golden Jubilee Ph.D. Program (PHD./0072/2553 in 4.S.M.F./53/A.2. K. Tanaka would like to thank the Japan Society for the Promotion of Science (JSPS; 26291084 and 16K07474). Walter P. Pfliegler was supported through the UNKP-16-4-IV New National Excellence Program of the Hungarian Ministry of Human Capacities. Samantha C. Karunarathna thanks Yunnan Provincial Department of Human Resources and Social Security funded postdoctoral project (number 179122) for supporting his postdoctoral research study. The authors extend their appreciation to the International Scientific Partnership Program ISPP at King Saud University for funding this research work through ISPP#0089. KC Rajeshkumar thanks SERB, DST, Government of India for providing financial support under the project YSS/2015/001590 and Dr. K. M. Paknikar, Director, ARI for providing the facility. Mats Wedin thanks the Swedish Research Council, grants VR 621-2012-3990 and VR 2016-03589. Alan JL Phillips acknowledges the support from Biosystems and Integrative Sciences Institute (BioISI, FCT/UID/Multi/04046/2013). L. Selbmann, L. Zucconi and S. Onofri thank the Italian National Program for Antarctic Researches (PNRA) for the financial support. The Italian National Antarctic Museum (MNA) is acknowledged for supporting the Mycological Section and the Culture Collection of Fungi from Extreme Environments (CCFEE).</t>
  </si>
  <si>
    <t>1560-2745</t>
  </si>
  <si>
    <t>1878-9129</t>
  </si>
  <si>
    <t>FUNGAL DIVERS</t>
  </si>
  <si>
    <t>Fungal Divers.</t>
  </si>
  <si>
    <t>FK4GF</t>
  </si>
  <si>
    <t>WOS:000413448200001</t>
  </si>
  <si>
    <t>Krumbholz, A; Groth, M; Esefeld, J; Peter, HU; Zell, R</t>
  </si>
  <si>
    <t>Krumbholz, Andi; Groth, Marco; Esefeld, Jan; Peter, Hans-Ulrich; Zell, Roland</t>
  </si>
  <si>
    <t>Genome Sequence of a Novel Picorna-Like RNA Virus from Feces of the Antarctic Fur Seal (Arctocephalus gazella)</t>
  </si>
  <si>
    <t>A novel RNA virus was detected in a fecal sample collected from the Antarctic fur seal (Arctocephalus gazella) in King George Island, Antarctica. The almost-complete genome sequence reveals two open reading frames and a dicistrovirus-like gene order.</t>
  </si>
  <si>
    <t>[Krumbholz, Andi] Inst Infekt Med Christian Albrechts Univ Kiel, Campus Kiel, Kiel, Germany; [Krumbholz, Andi] Univ Klinikums Schleswig Holstein, Campus Kiel, Kiel, Germany; [Groth, Marco] Leibniz Inst Alternsforsch, Fritz Lipmann Inst, CF DNA Sequenzierung, Jena, Germany; [Esefeld, Jan; Peter, Hans-Ulrich] Friedrch Schiller Univ Jena, AG Polar &amp; Ornitho Okol, Inst OKol, Jena, Germany; [Zell, Roland] Friedrich Schiller Univ Jena, Inst Med Mikrobiol, Sekt Expt Virol, Univ Klinikum Jena, Jena, Germany</t>
  </si>
  <si>
    <t>University of Kiel; Schleswig Holstein University Hospital; Leibniz Institut fur Alternsforschung - Fritz-Lipmann-Institut (FLI); University of Hamburg; University Medical Center Hamburg-Eppendorf; Friedrich Schiller University of Jena</t>
  </si>
  <si>
    <t>Zell, R (corresponding author), Friedrich Schiller Univ Jena, Inst Med Mikrobiol, Sekt Expt Virol, Univ Klinikum Jena, Jena, Germany.</t>
  </si>
  <si>
    <t>roland.zell@med.uni-jena.de</t>
  </si>
  <si>
    <t>Zell, Roland/J-4676-2019; Krumbholz, Andi/ABB-8634-2020</t>
  </si>
  <si>
    <t>Zell, Roland/0000-0002-8317-2152; Krumbholz, Andi/0000-0002-1094-350X</t>
  </si>
  <si>
    <t>DFG Cluster of Excellence Inflammation at Interfaces and Future Ocean</t>
  </si>
  <si>
    <t>DFG Cluster of Excellence Inflammation at Interfaces and Future Ocean(German Research Foundation (DFG))</t>
  </si>
  <si>
    <t>The Institute of Clinical Molecular Biology (ICMB), Kiel, provided Sanger sequencing facilities (supported in part by the DFG Cluster of Excellence Inflammation at Interfaces and Future Ocean).</t>
  </si>
  <si>
    <t>e01001-17</t>
  </si>
  <si>
    <t>10.1128/genomeA.01001-17</t>
  </si>
  <si>
    <t>VI1FK</t>
  </si>
  <si>
    <t>WOS:000460732900028</t>
  </si>
  <si>
    <t>Draft Genome Sequences of Three Sub-Antarctic Rhodococcus spp., Including Two Novel Psychrophilic Genomospecies</t>
  </si>
  <si>
    <t>The draft genome sequences of three sub-Antarctic Rhodococcus sp. strains-1159, 1163, and 1168-are reported here. The estimated genome sizes were 7.09 Mb with a 62.3% GC content for strain 1159, 4.45 Mb with a 62.3% GC content for strain 1163, and 5.06 Mb with a 62.10% GC content for strain 1168.</t>
  </si>
  <si>
    <t>University of Tasmania; University of Tasmania; Melbourne Genomics Health Alliance; University of Melbourne</t>
  </si>
  <si>
    <t>Bowman, John P./ABF-5108-2020; Bowman, John P/C-2414-2014; Britz, Margaret L/J-7632-2014; Baker, Anthony/C-2433-2014; Charleston, Michael/O-4903-2017</t>
  </si>
  <si>
    <t>Bowman, John P./0000-0002-4528-9333; Bowman, John P/0000-0002-4528-9333; Baker, Anthony/0000-0001-5455-2271; Charleston, Michael/0000-0001-8385-341X</t>
  </si>
  <si>
    <t>UTAS Faculty of Science, Engineering and Technology Dean's support funds; Tasmanian Institute of Agriculture</t>
  </si>
  <si>
    <t>This work was supported through the UTAS Faculty of Science, Engineering and Technology Dean's support funds and the Tasmanian Institute of Agriculture.</t>
  </si>
  <si>
    <t>e00898-17</t>
  </si>
  <si>
    <t>10.1128/genomeA.00898-17</t>
  </si>
  <si>
    <t>WOS:000460732900012</t>
  </si>
  <si>
    <t>Pandey, DK; Nair, N; Pandey, A; Sriram, G</t>
  </si>
  <si>
    <t>Pandey, D. K.; Nair, Nisha; Pandey, Anju; Sriram, G.</t>
  </si>
  <si>
    <t>Basement tectonics and flexural subsidence along western continental margin of India</t>
  </si>
  <si>
    <t>GEOSCIENCE FRONTIERS</t>
  </si>
  <si>
    <t>Continental rifting; Subsidence; Mumbai Offshore Basin; Backstripping; Arabian Sea; Laxmi Basin</t>
  </si>
  <si>
    <t>ARABIAN SEA; INDUS FAN; EVOLUTION; OCEAN; BASIN; SEDIMENTATION; MADAGASCAR; EXTENSION; BREAKUP; MODEL</t>
  </si>
  <si>
    <t>The Paleocene-recent post-rift subsidence history recorded in the Mumbai Offshore Basin off western continental margin of India is examined. Results obtained through 2-D flexural backstripping modelling of new seismic data reveal considerable thermo-tectonic subsidence over last ca. 56 Myr. Reverse postrift subsidence modelling with variable b stretching factor predicts residual topography of ca. 2000 m to the west of Shelf Margin Basin and fails to restore late Paleocene horizon and the underlying igneous basement to the sea level. This potentially implies that: (1) either the igneous basement formed during the late Cretaceous was emplaced under open marine environs; or (2) a laterally varying cumulative subsidence occurred within Mumbai Offshore Basin (MOB) during ca. 68 to ca. 56 Ma. Pre-depositional topographic variations at ca. 56 Ma across the basin could be attributed to the extensional processes such as varied lower crustal underplating along Western Continental Margin of India (WCMI). Investigations about basement tectonics after unroofing of sediments since late Paleocene from this region support a transitional and heavily stretched nature of crust with high to very high b factors. Computations of past sediment accumulation rates show that the basin sedimentation peaked during late Miocene concurrently with uplift of HimalayaneTibetan Plateau and intensification of Indian monsoon system. Results from basin subsidence modelling presented here may have significant implications for further studies attempting to explore tectonoeclimatic interactions in Asia. (C) 2016, China University of Geosciences (Beijing) and Peking University. Production and hosting by Elsevier B. V.</t>
  </si>
  <si>
    <t>[Pandey, D. K.; Nair, Nisha; Pandey, Anju; Sriram, G.] ESSO Natl Ctr Antarctic &amp; Ocean Res, Vasco Da Gama, Goa, India</t>
  </si>
  <si>
    <t>Pandey, DK (corresponding author), ESSO Natl Ctr Antarctic &amp; Ocean Res, Vasco Da Gama, Goa, India.</t>
  </si>
  <si>
    <t>pandey@ncaor.gov.in</t>
  </si>
  <si>
    <t>Pandey, Dhananjai/S-3843-2019; Sriram, Ganesh/A-5154-2010</t>
  </si>
  <si>
    <t>Pandey, Dhananjai/0000-0001-6899-8995; Pandey, Anju/0009-0004-7299-3512; Nair, Nisha/0000-0002-2847-3120</t>
  </si>
  <si>
    <t>CHINA UNIV GEOSCIENCES, BEIJING</t>
  </si>
  <si>
    <t>HAIDIAN DISTRICT</t>
  </si>
  <si>
    <t>29 XUEYUAN RD, HAIDIAN DISTRICT, 100083, PEOPLES R CHINA</t>
  </si>
  <si>
    <t>1674-9871</t>
  </si>
  <si>
    <t>GEOSCI FRONT</t>
  </si>
  <si>
    <t>Geosci. Front.</t>
  </si>
  <si>
    <t>10.1016/j.gsf.2016.10.006</t>
  </si>
  <si>
    <t>FE0RB</t>
  </si>
  <si>
    <t>WOS:000407926300008</t>
  </si>
  <si>
    <t>Mikesell, TD; van Wijk, K; Otheim, LT; Marshall, HP; Kurbatov, A</t>
  </si>
  <si>
    <t>Mikesell, Thomas Dylan; van Wijk, Kasper; Otheim, Larry Thomas; Marshall, Hans-Peter; Kurbatov, Andrei</t>
  </si>
  <si>
    <t>Laser Ultrasound Observations of Mechanical Property Variations in Ice Cores</t>
  </si>
  <si>
    <t>GEOSCIENCES</t>
  </si>
  <si>
    <t>ice core; stratigraphy; anisotropy; laser ultrasonics; ice fabric</t>
  </si>
  <si>
    <t>CRYSTAL ANISOTROPY; ELASTIC PROPERTIES; GLACIAL ICE; GREENLAND; ANTARCTICA; SHEET; PICKING; RECORD; STRATIGRAPHY; ATTENUATION</t>
  </si>
  <si>
    <t>The study of climate records in ice cores requires an accurate determination of annual layering within the cores in order to establish a depth-age relationship. Existing tools to delineate these annual layers are based on observations of changes in optical, chemical, and electromagnetic properties. In practice, no single technique captures every layer in all circumstances. Therefore, the best estimates of annual layering are produced by analyzing a combination of measurable ice properties. We present a novel and complimentary elastic wave remote sensing method based on laser ultrasonics. This method is used to measure variations in ultrasonic wave arrival times and velocity along the core with millimeter resolution. The laser ultrasound system does not require contact with the ice core and is non-destructive. Custom optical windows allow the source and receiver lasers to be located outside the cold room, while the core is scanned by moving it with a computer-controlled stage. We present results from Antarctic firn and ice cores that lack visual evidence of a layered structure, but do show travel-time and velocity variations. In the future, these new data may be used to infer stratigraphic layers from elastic parameter variations within an ice core, as well as analyze ice crystal fabrics.</t>
  </si>
  <si>
    <t>[Mikesell, Thomas Dylan] Boise State Univ, Environm Seismol Lab, Boise, ID 83275 USA; [Mikesell, Thomas Dylan; Otheim, Larry Thomas; Marshall, Hans-Peter] Boise State Univ, Dept Geosci, Boise, ID 83275 USA; [van Wijk, Kasper] Univ Auckland, Dept Phys, Dodd Walls Ctr Photon &amp; Quantum Technol, Auckland 1010, New Zealand; [Kurbatov, Andrei] Univ Maine, Climate Change Inst, Orono, ME 04460 USA; [Kurbatov, Andrei] Univ Maine, Sch Earth &amp; Climate Sci, Orono, ME 04460 USA</t>
  </si>
  <si>
    <t>Idaho; Boise State University; Idaho; Boise State University; University of Auckland; University of Maine System; University of Maine Orono; University of Maine System; University of Maine Orono</t>
  </si>
  <si>
    <t>Mikesell, TD (corresponding author), Boise State Univ, Environm Seismol Lab, Boise, ID 83275 USA.;Mikesell, TD (corresponding author), Boise State Univ, Dept Geosci, Boise, ID 83275 USA.</t>
  </si>
  <si>
    <t>dylanmikesell@boisestate.edu; k.vanwijk@auckland.ac.nz; LarryOtheim@boisestate.edu; hpmarshall@boisestate.edu; akurbatov@maine.edu</t>
  </si>
  <si>
    <t>Mikesell, Thomas/GZG-3386-2022; Marshall, Hans-Peter/A-2374-2010</t>
  </si>
  <si>
    <t>Mikesell, Thomas/0000-0001-9900-9846; van wijk, kasper/0000-0003-4994-8030; Kurbatov, Andrei/0000-0002-9819-9251; Marshall, Hans-Peter/0000-0002-4852-5637</t>
  </si>
  <si>
    <t>NSF-EARMRI Award [1229722]; Boise State University; Directorate For Geosciences; Division Of Earth Sciences [1229722] Funding Source: National Science Foundation</t>
  </si>
  <si>
    <t>NSF-EARMRI Award; Boise State University; Directorate For Geosciences; Division Of Earth Sciences(National Science Foundation (NSF)NSF - Directorate for Geosciences (GEO))</t>
  </si>
  <si>
    <t>This research is supported by NSF-EARMRI Award 1229722, and we thank Nicky Spaulding and Paul Mayewski for their support. T.D. Mikesell acknowledges support for this research from Boise State University. The authors thank four anonymous reviewers for comments that helped improve the quality of this article.</t>
  </si>
  <si>
    <t>2076-3263</t>
  </si>
  <si>
    <t>Geosciences</t>
  </si>
  <si>
    <t>10.3390/geosciences7030047</t>
  </si>
  <si>
    <t>FG5AR</t>
  </si>
  <si>
    <t>WOS:000410302700004</t>
  </si>
  <si>
    <t>Hunter, JR; Woodworth, PL; Wahl, T; Nicholls, RJ</t>
  </si>
  <si>
    <t>Hunter, J. R.; Woodworth, P. L.; Wahl, T.; Nicholls, R. J.</t>
  </si>
  <si>
    <t>Using global tide gauge data to validate and improve the representation of extreme sea levels in flood impact studies</t>
  </si>
  <si>
    <t>Extreme sea level parameters; GESLA-2 tide gauge data set; DINAS-COAST data set; Major coastal cities flood risk</t>
  </si>
  <si>
    <t>RISE</t>
  </si>
  <si>
    <t>The largest collection of tide gauge records assembled to date, called GESLA-2, has been used to provide reliable extreme sea level parameters at 655 locations around the world. This has enabled a rigorous assessment of the European Union-funded DINAS-COAST (D-C) data set of extreme sea level information for the global coastline that has been used in many published flood impact studies. We find the D-C extreme levels to be generally both too high, compared to those from GESLA-2, and too flat, when plotted as a function of return period. This leads to an over-estimation of the probability of extreme sea levels in the present day for most locations around the world, and also to an over-estimation of the probability of extreme sea levels in the future as sea level rises. A detailed impact study is conducted for the world's largest coastal cities following the approach of Hallegatte et al. (2013), resulting in similar conclusions for these particular locations. We suggest that most previous studies that have relied upon D-C information should be re-assessed in the light of these findings, using more recent modelling-based estimates of extreme sea level information.</t>
  </si>
  <si>
    <t>[Hunter, J. R.] Univ Tasmania, Antarctic Climate &amp;Ecosyst Cooperat Res Ctr, Private Bag 80, Hobart, Tas 7001, Australia; [Woodworth, P. L.] Natl Oceanog Ctr, Joseph Proudinan Bldg,6 Brownlow St, Liverpool L3 5DA, Merseyside, England; [Wahl, T.] Univ Cent Florida, Dept Civil Environm &amp; Construct Engn &amp; Sustainabl, 12800 Pegasus Dr, Orlando, FL 32816 USA; [Nicholls, R. J.] Univ Southampton, Fac Engn &amp; Environm, Southampton SO17 1BJ, Hants, England</t>
  </si>
  <si>
    <t>University of Tasmania; Antarctic Climate &amp; Ecosystems Cooperative Research Centre (ACE CRC); NERC National Oceanography Centre; State University System of Florida; University of Central Florida; University of Southampton</t>
  </si>
  <si>
    <t>Woodworth, PL (corresponding author), Natl Oceanog Ctr, Joseph Proudinan Bldg,6 Brownlow St, Liverpool L3 5DA, Merseyside, England.</t>
  </si>
  <si>
    <t>plw@noc.ac.uk</t>
  </si>
  <si>
    <t>Wahl, Thomas/ABE-6405-2020; Nicholls, Robert James/G-3898-2010; Nicholls, Robert James/ABD-1481-2020</t>
  </si>
  <si>
    <t>Nicholls, Robert James/0000-0002-9715-1109; Nicholls, Robert James/0000-0002-9715-1109; Woodworth, Philip/0000-0002-6681-239X</t>
  </si>
  <si>
    <t>Leverhulme Trust; European Union's Horizon 2020 Research and Innovation Programme under Marie Sklodowska-Curie grant [658025]; European Commission's Seventh Framework Programme's Collaborative Project RISES-AM [FP7-ENV-2013-two-stage-603396]; Natural Environment Research Council [noc010012] Funding Source: researchfish; Marie Curie Actions (MSCA) [658025] Funding Source: Marie Curie Actions (MSCA)</t>
  </si>
  <si>
    <t>Leverhulme Trust(Leverhulme Trust); European Union's Horizon 2020 Research and Innovation Programme under Marie Sklodowska-Curie grant; European Commission's Seventh Framework Programme's Collaborative Project RISES-AM; Natural Environment Research Council(UK Research &amp; Innovation (UKRI)Natural Environment Research Council (NERC)); Marie Curie Actions (MSCA)(Marie Curie Actions)</t>
  </si>
  <si>
    <t>This work was undertaken when PLW was an Honorary Research Fellow at the National Oceanography Centre in Liverpool in receipt of an Emeritus Fellowship from the Leverhulme Trust. TW received funding from the European Union's Horizon 2020 Research and Innovation Programme under the Marie Sklodowska-Curie grant agreement No 658025. RJN was supported by the European Commission's Seventh Framework Programme's Collaborative Project RISES-AM (contract FP7-ENV-2013-two-stage-603396). Some of the figures in this paper were generated using the Generic Mapping Tools (Wessel and Smith, 1998).</t>
  </si>
  <si>
    <t>10.1016/j.gloplacha.2017.06.007</t>
  </si>
  <si>
    <t>WOS:000413280700005</t>
  </si>
  <si>
    <t>Stukel, MR; Ducklow, HW</t>
  </si>
  <si>
    <t>Stukel, Michael R.; Ducklow, Hugh W.</t>
  </si>
  <si>
    <t>Stirring Up the Biological Pump: Vertical Mixing and Carbon Export in the Southern Ocean</t>
  </si>
  <si>
    <t>WEST ANTARCTIC PENINSULA; PARTICULATE ORGANIC-MATTER; MIXED-LAYER; CONTINENTAL-SHELF; PARTICLE EXPORT; ATLANTIC SECTOR; TWILIGHT ZONE; TIME-SERIES; DEEP-WATER; FLUX</t>
  </si>
  <si>
    <t>The biological carbon pump (BCP) transports organic carbon from the surface to the ocean's interior via sinking particles, vertically migrating organisms, and passive transport of organic matter by advection and diffusion. While many studies have quantified sinking particles, the magnitude of passive transport remains poorly constrained. In the Southern Ocean weak thermal stratification, strong vertical gradients in particulate organic matter, and weak vertical nitrate gradients suggest that passive transport from the euphotic zone may be particularly important. We compile data from seasonal time series at a coastal site near Palmer Station, annual regional cruises in the Western Antarctic Peninsula (WAP), cruises throughout the broader Southern Ocean, and SOCCOM (Southern Ocean Carbon and Climate Observations and Modeling) autonomous profiling floats to estimate spatial and temporal patterns in vertical gradients of nitrate, particulate nitrogen (PN), and dissolved organic carbon. Under a steady state approximation, the ratio of partial derivative PN/partial derivative z to partial derivative NO3-/partial derivative z suggests that passive transport of PN may be responsible for removing 46% (37%-58%) of the nitrate introduced into the surface ocean of the WAP (with dissolved organic matter contributing an additional 3-6%) and for 23% (19%-28%) of the BCP in the broader Southern Ocean. A simple model parameterized with in situ nitrate, PN, and primary production data suggested that passive transport was responsible for 54% of the magnitude of the BCP in the WAP. Our results highlight the potential importance of passive transport (by advection and diffusion) of organic matter in the Southern Ocean but should only be considered indicative of high passive transport (rather than conclusive evidence) due to our steady state assumptions. Plain Language Summary The biological carbon pump (BCP) transports organic carbon and nitrogen from the surface ocean to depth, leading to net uptake of CO2 from the atmosphere. It has long been assumed that sinking particles dominate the BCP, but our results show that in the Southern Ocean a substantial proportion of this transport occurs through vertical mixing of suspended or slowly sinking particles driven by ocean physics.</t>
  </si>
  <si>
    <t>[Stukel, Michael R.] Florida State Univ, Dept Earth Ocean &amp; Atmospher Sci, Tallahassee, FL 32306 USA; [Stukel, Michael R.] Florida State Univ, Ctr Ocean Atmospher Predict Studies, Tallahassee, FL 32306 USA; [Ducklow, Hugh W.] Columbia Univ, Lamont Doherty Earth Observ, Palisades, NY USA</t>
  </si>
  <si>
    <t>State University System of Florida; Florida State University; State University System of Florida; Florida State University; Columbia University</t>
  </si>
  <si>
    <t>Stukel, MR (corresponding author), Florida State Univ, Dept Earth Ocean &amp; Atmospher Sci, Tallahassee, FL 32306 USA.;Stukel, MR (corresponding author), Florida State Univ, Ctr Ocean Atmospher Predict Studies, Tallahassee, FL 32306 USA.</t>
  </si>
  <si>
    <t>mstukel@fsu.edu</t>
  </si>
  <si>
    <t>Stukel, Michael R/F-9029-2013</t>
  </si>
  <si>
    <t>Stukel, Michael/0000-0002-7696-6739</t>
  </si>
  <si>
    <t>National Science Foundation, Division of Polar Programs (NSF) [PLR-1425989]; NSF Antarctic Sciences from the Antarctic Organisms and Ecosystems Program [1043685, 1440435]; Directorate For Geosciences; Office of Polar Programs (OPP) [1440435] Funding Source: National Science Foundation</t>
  </si>
  <si>
    <t>National Science Foundation, Division of Polar Programs (NSF)(National Science Foundation (NSF)); NSF Antarctic Sciences from the Antarctic Organisms and Ecosystems Program(National Science Foundation (NSF)NSF - Directorate for Geosciences (GEO)); Directorate For Geosciences; Office of Polar Programs (OPP)(National Science Foundation (NSF)NSF - Directorate for Geosciences (GEO))</t>
  </si>
  <si>
    <t>We are indebted to our many friends and colleagues in the Palmer LTER program (and crews of scientific vessels) who have collected data in the WAP for the past two and half decades (especially Scott Doney who made nitrate uptake measurements and Oscar Schofield who has overseen primary production measurements). We are also grateful to the investigators from other projects who have made their data publicly available through BCO-DMO (William Balch, Giacomo DiTullio, Burke Hales, B. Gregory Mitchell, and Walker Smith). The summary data for this publication can be found in Table 1. Original data are available on Palmer LTER Datazoo website (WAP) and BCO-DMO (broader Southern Ocean). Autonomous profiling float data were collected and made freely available by the Southern Ocean Carbon and Climate Observations and Modeling (SOCCOM) Project funded by National Science Foundation, Division of Polar Programs (NSF PLR-1425989), supplemented by NOAA and NASA. This work was funded by NSF Antarctic Sciences grants 1043685 and 1440435 (Palmer LTER) from the Antarctic Organisms and Ecosystems Program to H. Ducklow.</t>
  </si>
  <si>
    <t>10.1002/2017GB005652</t>
  </si>
  <si>
    <t>WOS:000416624000004</t>
  </si>
  <si>
    <t>Lecours, V; Devillers, R; Lucieer, VL; Brown, CJ</t>
  </si>
  <si>
    <t>Lecours, Vincent; Devillers, Rodolphe; Lucieer, Vanessa L.; Brown, Craig J.</t>
  </si>
  <si>
    <t>Artefacts in Marine Digital Terrain Models: A Multiscale Analysis of Their Impact on the Derivation of Terrain Attributes</t>
  </si>
  <si>
    <t>Artefacts; digital terrain model (DTM); error propagation; marine geomorphometry; multibeam bathymetry; terrain analysis</t>
  </si>
  <si>
    <t>MULTIBEAM BATHYMETRY DATA; ELEVATION MODELS; ERROR PROPAGATION; HABITAT SUITABILITY; SEA-FLOOR; DEM; SLOPE; SCALE; UNCERTAINTY; RESOLUTION</t>
  </si>
  <si>
    <t>Data acquisition artefacts are commonly found in multibeam bathymetric data, but their effects on mapping methodologies using geographic information system techniques have not been widely explored. Artefacts have been extensively studied in terrestrial settings, but their study in a marine context has currently been limited to engineering and surveying technology development in order to reduce their amplitude during data collection and postprocessing. Knowledge on how they propagate to further analyses like environmental characterization or terrain analysis is scant. The goal of this paper is to describe the contribution of different types of artefacts to marine terrain attributes at multiple scales. Using multibeam bathymetric data from German Bank, off Nova Scotia (Canada), digital bathymetric models (DBMs) were computed at five different spatial resolutions. Ten different amplitudes of heave, pitch, roll, and time artefacts were artificially introduced to generate altered DBMs. Then, six terrain attributes were derived from each of the reference and altered DBMs. Relationships between the amplitude of artefacts and the statistical and spatial distributions of: 1) altered bathymetry and terrain attributes surfaces and 2) errors caused by the artefacts were modeled. Spatial similarity between altered and reference surfaces was also assessed. Results indicate that most artefacts impact spatial similarity and that pitch and roll significantly impact the statistical distribution of DBMs and terrain attributes while time and heave artefacts have a more subtle impact. Results also confirm the relationship between spatial data quality and spatial scale, as finer-scale data were impacted by artefacts to a greater degree than broader-scale data.</t>
  </si>
  <si>
    <t>[Lecours, Vincent] Univ Florida, Sch Forest Resources &amp; Conservat, Gainesville, FL 32653 USA; [Lecours, Vincent; Devillers, Rodolphe; Brown, Craig J.] Mem Univ Newfoundland, Dept Geog, St John, NF A1B 3X9, Canada; [Lucieer, Vanessa L.] Univ Tasmania, Inst Marine &amp; Antarctic Studies, Hobart, Tas 7004, Australia; [Brown, Craig J.] Nova Scotia Community Coll, Appl Res, Dartmouth, NS B2Y 0A5, Canada</t>
  </si>
  <si>
    <t>State University System of Florida; University of Florida; Memorial University Newfoundland; University of Tasmania</t>
  </si>
  <si>
    <t>Lecours, V (corresponding author), Univ Florida, Sch Forest Resources &amp; Conservat, Gainesville, FL 32653 USA.</t>
  </si>
  <si>
    <t>vlecours@ufl.edu</t>
  </si>
  <si>
    <t>Brown, Craig J/N-7364-2013; Lecours, Vincent/J-5514-2019; Devillers, Rodolphe/R-3700-2019; Devillers, Rodolphe/AAR-3509-2021; Lucieer, Vanessa/D-1697-2009</t>
  </si>
  <si>
    <t>Lecours, Vincent/0000-0002-4777-3348; Devillers, Rodolphe/0000-0003-0784-847X; Devillers, Rodolphe/0000-0003-0784-847X; Lucieer, Vanessa/0000-0001-7531-5750; Brown, Craig/0000-0002-5125-978X</t>
  </si>
  <si>
    <t>Natural Sciences and Engineering Research Council of Canada; Canadian Foundation for Innovation</t>
  </si>
  <si>
    <t>Natural Sciences and Engineering Research Council of Canada(Natural Sciences and Engineering Research Council of Canada (NSERC)CGIAR); Canadian Foundation for Innovation(Canada Foundation for Innovation)</t>
  </si>
  <si>
    <t>This was supported in part by the Natural Sciences and Engineering Research Council of Canada and in part by the Canadian Foundation for Innovation. (Corresponding author: Vincent Lecours.)</t>
  </si>
  <si>
    <t>10.1109/TGRS.2017.2707303</t>
  </si>
  <si>
    <t>WOS:000408346600045</t>
  </si>
  <si>
    <t>Tong, LX; Jahn, BM; Liu, XH; Liang, XR; Xu, YG; Ionov, D</t>
  </si>
  <si>
    <t>Tong, Laixi; Jahn, Bor-ming; Liu, Xiaohan; Liang, Xirong; Xu, Yi-gang; Ionov, Dmitri</t>
  </si>
  <si>
    <t>Ultramafic to mafic granulites from the Larsemann Hills, East Antarctica: Geochemistry and tectonic implications</t>
  </si>
  <si>
    <t>JOURNAL OF ASIAN EARTH SCIENCES</t>
  </si>
  <si>
    <t>Ultramafic to mafic granulites; Geochemistry; Rayner orogeny (990-900 Ma); Larsemann Hills; East Antarctica</t>
  </si>
  <si>
    <t>PRINCE-CHARLES MOUNTAINS; AMERY ICE SHELF; PRYDZ-BAY; RAUER GROUP; FACIES METAMORPHISM; BRATTSTRAND BLUFFS; CONTINENTAL-CRUST; VESTFOLD BLOCK; U-PB; EVOLUTION</t>
  </si>
  <si>
    <t>The Larsemann Hills area is part of a reworked early Neoproterozoic metamorphic terrain in southwestern Prydz Bay, East Antarctica. Ultramafic and mafic granulites, whose origins remain controversial, occur as lenses, boudins or layered bodies within the para- and ortho-gneiss in the region. The ultramafic and mafic granulites show spinel-olivine-bearing and two-pyroxene-bearing mineral assemblages recrystallized at 860-900 degrees C. Their bulk rock analyses indicate an origin as igneous cumulates, with high Mg-# (molar MgO/(MgO + FeO)) from 0.73 to 0.84 for ultramafic granulite and from 0.46 to 0.78 for mostly mafic granulite as well as high Cr and Ni contents ([Cr] and [Ni] up to 1826 ppm and 1400 ppm respectively for ultramafic granulite and [Cr] of 1460 ppm for mafic granulite). Trace element patterns show pronounced negative Nb anomalies, suggesting a subduction-related tectonic setting for their precursors, consistent with derivation from arc basalts, also suggested by low TiO2 and K-enrichment in mafic granulites. The ultramafic to mafic granulites may have been formed in a subduction-related continental back-arc basin environment simultaneously with peak metamorphism associated with arc-continent collision during the early Neoproterozoic (990-900 Ma) Rayner orogeny.</t>
  </si>
  <si>
    <t>[Tong, Laixi; Liang, Xirong; Xu, Yi-gang; Ionov, Dmitri] Chinese Acad Sci, Guangzhou Inst Geochem, State Key Lab Isotope Geochem, Guangzhou 510640, Guangdong, Peoples R China; [Jahn, Bor-ming] Natl Taiwan Univ, Dept Geosci, Taipei 106, Taiwan; [Liu, Xiaohan] Chinese Acad Sci, Inst Tibetan Plateau, Beijing 100085, Peoples R China; [Ionov, Dmitri] Montpellier Univ, Geosci Montpellier, F-34095 Montpellier, France</t>
  </si>
  <si>
    <t>Chinese Academy of Sciences; Guangzhou Institute of Geochemistry, CAS; National Taiwan University; Chinese Academy of Sciences; Institute of Tibetan Plateau Research, CAS; Universite de Montpellier</t>
  </si>
  <si>
    <t>Tong, LX (corresponding author), Chinese Acad Sci, Guangzhou Inst Geochem, State Key Lab Isotope Geochem, Guangzhou 510640, Guangdong, Peoples R China.</t>
  </si>
  <si>
    <t>lxtong@gig.ac.cn</t>
  </si>
  <si>
    <t>Jahn, Bor-ming/B-8323-2009; Ionov, Dmitri/E-5111-2010; Xu, Yigang/E-9539-2010</t>
  </si>
  <si>
    <t>Ionov, Dmitri/0000-0002-5055-7339; Xu, Yigang/0000-0002-9531-7208</t>
  </si>
  <si>
    <t>NSF projects of China [41372070, 41530209]; Chinese Polar Environment Comprehensive investigation and Assessment Programme [CHINARE2016-02-05]</t>
  </si>
  <si>
    <t>NSF projects of China; Chinese Polar Environment Comprehensive investigation and Assessment Programme</t>
  </si>
  <si>
    <t>This paper is prepared for the memorial of Prof. Bor-ming Jahn, and his abrupt passing-away is a huge loss for us. We thank the leaders and members of the Chinese National Antarctic Research Expedition (CHINARE) for the logistic support during the 1991-1992 and 1997-1998 Antarctic fieldwork in the Larsemann Hills. This research was financially supported by the NSF projects of China (41372070 and 41530209) and the Chinese Polar Environment Comprehensive investigation and Assessment Programme (CHINARE2016-02-05). Mr. P. Xu at the Institute of Geology &amp; Geophysics, Chinese Academy of Sciences, Beijing assisted with EPMA. We very much appreciate the issue Editor Prof. J.G. Liou and two anonymous reviewers for their helpful and constructive comments on the manuscript of this paper. This is contribution No. IS-2395 from GIG-CAS.</t>
  </si>
  <si>
    <t>1367-9120</t>
  </si>
  <si>
    <t>1878-5786</t>
  </si>
  <si>
    <t>J ASIAN EARTH SCI</t>
  </si>
  <si>
    <t>J. Asian Earth Sci.</t>
  </si>
  <si>
    <t>10.1016/j.jseaes.2017.06.012</t>
  </si>
  <si>
    <t>FH9LR</t>
  </si>
  <si>
    <t>WOS:000411533600026</t>
  </si>
  <si>
    <t>Bannister, D; Herzog, M; Graf, HF; Hosking, JS; Short, CA</t>
  </si>
  <si>
    <t>Bannister, Daniel; Herzog, Michael; Graf, Hans-F.; Hosking, J. Scott; Short, C. Alan</t>
  </si>
  <si>
    <t>An Assessment of Recent and Future Temperature Change over the Sichuan Basin, China, Using CMIP5 Climate Models</t>
  </si>
  <si>
    <t>PROBABILITY DENSITY-FUNCTIONS; ASIAN SUMMER MONSOON; TIBETAN PLATEAU; ERA-INTERIM; INTERANNUAL VARIABILITY; STRATIFORM CLOUDS; ATMOSPHERIC GCM; PRECIPITATION; PROJECTION; SIMULATION</t>
  </si>
  <si>
    <t>The Sichuan basin is one of the most densely populated regions of China, making the area particularly vulnerable to the adverse impacts associated with future climate change. As such, climate models are important for understanding regional and local impacts of climate change and variability, like heat stress and drought. In this study, climate models from phase 5 of the Coupled Model Intercomparison Project (CMIP5) are validated over the Sichuan basin by evaluating how well each model can capture the phase, amplitude, and variability of the regionally observed mean, maximum, and minimum temperature between 1979 and 2005. The results reveal that the majority of the models do not capture the basic spatial pattern and observed means, trends, and probability distribution functions. In particular, mean and minimum temperatures are underestimated, especially during the winter, resulting in biases exceeding-3 degrees C. Models that reasonably represent the complex basin topography are found to generally have lower biases overall. The five most skillful climate models with respect to the regional climate of the Sichuan basin are selected to explore twenty-first-century temperature projections for the region. Under the CMIP5 high-emission future climate change scenario, representative concentration pathway 8.5 (RCP8.5), the temperatures are projected to increase by approximately 4 degrees C (with an average warming rate of 10.72 degrees C decade(-1)), with the greatest warming located over the central plains of the Sichuan basin, by 2100. Moreover, the frequency of extreme months (where mean temperature exceeds 28 degrees C) is shown to increase in the twenty-first century at a faster rate compared to the twentieth century.</t>
  </si>
  <si>
    <t>[Bannister, Daniel; Hosking, J. Scott] Univ Cambridge, British Antarctic Survey, Cambridge, England; [Bannister, Daniel; Herzog, Michael; Graf, Hans-F.] Univ Cambridge, Ctr Atmospher Sci, Cambridge, England; [Short, C. Alan] Univ Cambridge, Dept Architecture, Cambridge, England</t>
  </si>
  <si>
    <t>University of Cambridge; UK Research &amp; Innovation (UKRI); Natural Environment Research Council (NERC); NERC British Antarctic Survey; University of Cambridge; University of Cambridge</t>
  </si>
  <si>
    <t>Bannister, D (corresponding author), Univ Cambridge, British Antarctic Survey, Cambridge, England.;Bannister, D (corresponding author), Univ Cambridge, Ctr Atmospher Sci, Cambridge, England.</t>
  </si>
  <si>
    <t>danban70@bas.ac.uk</t>
  </si>
  <si>
    <t>Herzog, Michael/B-4722-2010; Graf, Hans/GQQ-2206-2022</t>
  </si>
  <si>
    <t>Bannister, Daniel/0000-0002-2982-3751; short, charles alan/0000-0001-5699-0259; Herzog, Michael/0000-0003-3903-573X</t>
  </si>
  <si>
    <t>Engineering and Physical Sciences Research Council (EPSRC) as part of the Low Carbon Climate-Responsive Heating and Cooling of Cities (LoHCool) project [EP/N009797/1]; EPSRC [EP/N009797/1] Funding Source: UKRI; NERC [bas0100032] Funding Source: UKRI; Engineering and Physical Sciences Research Council [EP/N009797/1] Funding Source: researchfish; Natural Environment Research Council [bas0100032] Funding Source: researchfish</t>
  </si>
  <si>
    <t>Engineering and Physical Sciences Research Council (EPSRC) as part of the Low Carbon Climate-Responsive Heating and Cooling of Cities (LoHCool) project; EPSRC(UK Research &amp; Innovation (UKRI)Engineering &amp; Physical Sciences Research Council (EPSRC)); NERC(UK Research &amp; Innovation (UKRI)Natural Environment Research Council (NERC)); Engineering and Physical Sciences Research Council(UK Research &amp; Innovation (UKRI)Engineering &amp; Physical Sciences Research Council (EPSRC)); Natural Environment Research Council(UK Research &amp; Innovation (UKRI)Natural Environment Research Council (NERC))</t>
  </si>
  <si>
    <t>Funding for this research was provided by the Engineering and Physical Sciences Research Council (EPSRC) as part of the Low Carbon Climate-Responsive Heating and Cooling of Cities (LoHCool) project (EP/N009797/1). This research was conducted by D. Bannister while on secondment from the British Antarctic Survey to the University of Cambridge.</t>
  </si>
  <si>
    <t>10.1175/JCLI-D-16-0536.1</t>
  </si>
  <si>
    <t>FD1DC</t>
  </si>
  <si>
    <t>WOS:000407276600007</t>
  </si>
  <si>
    <t>Previdi, M; Polvani, LM</t>
  </si>
  <si>
    <t>Previdi, Michael; Polvani, Lorenzo M.</t>
  </si>
  <si>
    <t>Impact of the Montreal Protocol on Antarctic Surface Mass Balance and Implications for Global Sea Level Rise</t>
  </si>
  <si>
    <t>ACCUMULATION; SNOWFALL; TRENDS; CCSM4; ICE</t>
  </si>
  <si>
    <t>The Montreal Protocol on Substances that Deplete the Ozone Layer, adopted in 1987, is an international treaty designed to protect the ozone layer by phasing out emissions of chlorofluorocarbons and other ozone-depleting substances (ODSs). A growing body of scientific evidence now suggests that the implementation of the Montreal Protocol will have significant effects on climate over the next several decades, both by enabling stratospheric ozone recovery and by decreasing atmospheric concentrations of ODSs, which are greenhouse gases. Here, using a state-of-the-art chemistry-climate model, the Community Earth System Model (Whole Atmosphere Community Climate Model) [CESM(WACCM)], it is shown that the Montreal Protocol, through its impact on atmospheric ODS concentrations, leads to a substantial decrease in Antarctic surface mass balance (SMB) over the period 2006-65 relative to a hypothetical World Avoided'' scenario in which the Montreal Protocol has not been implemented. This SMB decrease produces an additional 25 mm of global sea level rise (GSLR) by the year 2065 relative to the present day. It is found, however, that the additional GSLR resulting from the relative decrease in Antarctic SMB is more than offset by a reduction in ocean thermal expansion, leading to a net mitigation of future GSLR due to the Montreal Protocol.</t>
  </si>
  <si>
    <t>[Previdi, Michael; Polvani, Lorenzo M.] Columbia Univ, Lamont Doherty Earth Observ, Palisades, NY 10964 USA; [Polvani, Lorenzo M.] Columbia Univ, Dept Appl Phys &amp; Appl Math, New York, NY USA; [Polvani, Lorenzo M.] Columbia Univ, Dept Earth &amp; Environm Sci, New York, NY USA</t>
  </si>
  <si>
    <t>Columbia University; Columbia University; Columbia University</t>
  </si>
  <si>
    <t>Previdi, M (corresponding author), Columbia Univ, Lamont Doherty Earth Observ, Palisades, NY 10964 USA.</t>
  </si>
  <si>
    <t>mprevidi@ldeo.columbia.edu</t>
  </si>
  <si>
    <t>Polvani, Lorenzo M/E-5949-2011</t>
  </si>
  <si>
    <t>NSF Division of Polar Programs [PLR 13-41657]</t>
  </si>
  <si>
    <t>NSF Division of Polar Programs(National Science Foundation (NSF)NSF - Directorate for Geosciences (GEO))</t>
  </si>
  <si>
    <t>We thank two anonymous reviewers whose comments improved the manuscript. We gratefully acknowledge support from the NSF Division of Polar Programs (PLR 13-41657). We also acknowledge the World Climate Research Programme's Working Group on Coupled Modelling that is responsible for CMIP, and we thank NCAR for producing and making available their CESM(WACCM) output.</t>
  </si>
  <si>
    <t>10.1175/JCLI-D-17-0027.1</t>
  </si>
  <si>
    <t>WOS:000408613400009</t>
  </si>
  <si>
    <t>Ho, TW; Hwang, JS; Cheung, MK; Kwan, HS; Wong, CK</t>
  </si>
  <si>
    <t>Ho, Tsz Wai; Hwang, Jiang-Shiou; Cheung, Man Kit; Kwan, Hoi Shan; Wong, Chong Kim</t>
  </si>
  <si>
    <t>DNA-based study of the diet of the marine calanoid copepod Calanus sinicus</t>
  </si>
  <si>
    <t>JOURNAL OF EXPERIMENTAL MARINE BIOLOGY AND ECOLOGY</t>
  </si>
  <si>
    <t>COLD BOTTOM WATER; RNA GENE DATABASE; YELLOW SEA; FEEDING SELECTIVITY; VERTICAL MIGRATION; SEASONAL-VARIATION; ANTARCTIC KRILL; FECAL PELLETS; INLAND SEA; FINMARCHICUS</t>
  </si>
  <si>
    <t>Calanus sinicus is an important copepod in shelf waters of the western North Pacific. The objective of this study was to investigate the occurrence of eukaryotes and prokaryotes in the natural diet of adults and C5 copepodites of C. sinicus. Hypervariable regions of the eukaryotic 18S and prokaryotic 16S rRNA genes were amplified from the gut contents of C. sinicus collected from coastal seas around Taiwan and Hong Kong and sequenced by Illumina sequencing. Results showed that the diets of adults and C5 copepodites of C. sinicus were similar. However, the diet of C. sinicus seems to be different between the two sampling locations. Diatoms were detected in C. sinicus samples collected from both areas, whereas dinoflagellates were only detected in samples from Hong Kong. Hydrozoans were found to be common in C. sinicus samples from Taiwan, whereas ctenophores were common in samples from Hong Kong. The cyanobacterium Synechococcus was recovered in samples from both areas. Our results have provided DNA-based evidence to support previous suggestions that C. sinicus could feed omnivorously on a diverse assemblage of phytoplankton, animals and bacteria. The ability of C. sinicus to feed on the small larvae of their predators such as ctenophores may have important implications on future analyses of the marine planktonic food web.</t>
  </si>
  <si>
    <t>[Ho, Tsz Wai; Cheung, Man Kit; Kwan, Hoi Shan; Wong, Chong Kim] Chinese Univ Hong Kong, Sch Life Sci, Shatin, Hong Kong, Peoples R China; [Hwang, Jiang-Shiou] Natl Taiwan Ocean Univ, Inst Marine Biol, Keelung, Taiwan</t>
  </si>
  <si>
    <t>Chinese University of Hong Kong; National Taiwan Ocean University</t>
  </si>
  <si>
    <t>Wong, CK (corresponding author), Chinese Univ Hong Kong, Sch Life Sci, Shatin, Hong Kong, Peoples R China.</t>
  </si>
  <si>
    <t>chongkimwong@cuhk.edu.hk</t>
  </si>
  <si>
    <t>Cheung, Man Kit/E-5696-2012; Cheung, Man Kit/M-6972-2019; Kwan, Hoi Shan/GOV-6863-2022</t>
  </si>
  <si>
    <t>Cheung, Man Kit/0000-0002-2764-2113;</t>
  </si>
  <si>
    <t>Research Grants Council of the Hong Kong SAR, China [CUHK475912]</t>
  </si>
  <si>
    <t>Research Grants Council of the Hong Kong SAR, China(Hong Kong Research Grants Council)</t>
  </si>
  <si>
    <t>We thank students and technicians in the laboratories of CKW and JSH for their assistance. This work was supported by a grant from the Research Grants Council of the Hong Kong SAR, China (project no. CUHK475912) to CKW. [BK]</t>
  </si>
  <si>
    <t>0022-0981</t>
  </si>
  <si>
    <t>1879-1697</t>
  </si>
  <si>
    <t>J EXP MAR BIOL ECOL</t>
  </si>
  <si>
    <t>J. Exp. Mar. Biol. Ecol.</t>
  </si>
  <si>
    <t>10.1016/j.jembe.2017.04.004</t>
  </si>
  <si>
    <t>EY7TW</t>
  </si>
  <si>
    <t>WOS:000404196100001</t>
  </si>
  <si>
    <t>Kong, J; Yao, YB; Xu, YH; Kuo, CY; Zhang, L; Liu, L; Zhai, CZ</t>
  </si>
  <si>
    <t>Kong, Jian; Yao, Yibin; Xu, Yahui; Kuo, Chungyen; Zhang, Liang; Liu, Lei; Zhai, Changzhi</t>
  </si>
  <si>
    <t>A clear link connecting the troposphere and ionosphere: ionospheric reponses to the 2015 Typhoon Dujuan</t>
  </si>
  <si>
    <t>JOURNAL OF GEODESY</t>
  </si>
  <si>
    <t>GNSS TEC; Typhoon; Ionosphere disturbances; AGW; Troposphere-ionosphere coupling effect</t>
  </si>
  <si>
    <t>GRAVITY-WAVES; DISTURBANCES; FIELD</t>
  </si>
  <si>
    <t>The global navigation satellite system (GNSS) total electron content (TEC) sequences were used to capture the arrival time and location of the ionosphere disturbances in response to the 2015 Typhoon Dujuan. After removing the de-trended TEC variation, the clear ionosphere disturbances on the typhoon landing day could be distinguished, and these disturbances disappeared from the TEC sequences before and after the typhoon landing day. The foF2 data observed by Xiamen ionosonde station also show ionosphere disturbances. Based on the advantages of GNSS multi-point observations, the disturbances horizontal velocity in the ionosphere were estimated according to the linear theory for a dispersion relation of acoustic gravity waves (AGWs) in an isothermal atmosphere. The average horizontal velocity (240 m/s) and the radial velocity (287 m/s) were used in the two-dimensional grid search for the origin point on the Earth's surface. The origin area was determined to be on the eastern side of Taiwan. Lastly, a possible physical mechanism is discussed in this study. When typhoons land on Taiwan, the severe convective storms and the drag effect from the Central Mountains create an ideal location for development of AGWs. Topographic conditions, like the high lapse rate, contribute to the formation of AGWs, which then propagates into the ionosphere altitude.</t>
  </si>
  <si>
    <t>[Kong, Jian] Wuhan Univ, Chinese Antarctic Ctr Surveying &amp; Mapping, Wuhan, Hubei, Peoples R China; [Yao, Yibin; Xu, Yahui; Zhang, Liang; Liu, Lei; Zhai, Changzhi] Wuhan Univ, Sch Geodesy &amp; Geomat, Wuhan, Hubei, Peoples R China; [Kuo, Chungyen] Natl Cheng Kung Univ, Dept Geomat, Tainan, Taiwan</t>
  </si>
  <si>
    <t>Wuhan University; Wuhan University; National Cheng Kung University</t>
  </si>
  <si>
    <t>Yao, YB (corresponding author), Wuhan Univ, Sch Geodesy &amp; Geomat, Wuhan, Hubei, Peoples R China.</t>
  </si>
  <si>
    <t>ybyao@whu.edu.cn</t>
  </si>
  <si>
    <t>Zhai, Changzhi/JQW-2878-2023; lei, liu/HTR-5486-2023; Yao, Yibin/AAM-9653-2020; Lei, Liu/I-3503-2018</t>
  </si>
  <si>
    <t>Yao, Yibin/0000-0002-7723-4601; Lei, Liu/0000-0002-1040-6026; Zhang, Liang/0000-0003-3062-6867</t>
  </si>
  <si>
    <t>National Natural Fund of China [41274022, 41231064, 41574028]; Fundamental Research Funds for the Central Universities [2042016kf0037]</t>
  </si>
  <si>
    <t>National Natural Fund of China; Fundamental Research Funds for the Central Universities(Fundamental Research Funds for the Central Universities)</t>
  </si>
  <si>
    <t>We acknowledge the CMONOC for providing the GPS data via the GNSS Center at Wuhan University, the National Land Surveying and Mapping Center for providing the Taiwan GNSS Network data, the IGS for providing the orbit data. We also thank the NASA for providing magnetic index data, the ACE Science Center for providing solar wind data. This research was financially supported by the National Natural Fund of China (41274022, 41231064, and 41574028) and the Fundamental Research Funds for the Central Universities (2042016kf0037). Special thanks to Dr. Chen Zhou in School of Electronic Information, Wuhan University, for discussing the physical mechanism of AGWs propagation. We also appreciate Dr. Jing Liu of Institute of Earthquake Science, China Earthquake Administration and Dr. Yungang Wang of National Center for Space Weather, China Meteorological Administration for providing the ionosonde data.</t>
  </si>
  <si>
    <t>0949-7714</t>
  </si>
  <si>
    <t>1432-1394</t>
  </si>
  <si>
    <t>J GEODESY</t>
  </si>
  <si>
    <t>J. Geodesy</t>
  </si>
  <si>
    <t>10.1007/s00190-017-1011-4</t>
  </si>
  <si>
    <t>Geochemistry &amp; Geophysics; Remote Sensing</t>
  </si>
  <si>
    <t>FE0XJ</t>
  </si>
  <si>
    <t>WOS:000407942700005</t>
  </si>
  <si>
    <t>Wijaya, DD; Haralambous, H; Oikonomou, C; Kuntjoro, W</t>
  </si>
  <si>
    <t>Wijaya, Dudy D.; Haralambous, Haris; Oikonomou, Christina; Kuntjoro, Wedyanto</t>
  </si>
  <si>
    <t>Determination of the ionospheric foF2 using a stand-alone GPS receiver</t>
  </si>
  <si>
    <t>Ionosphere; GPS; Ionosonde; IRI; foF2</t>
  </si>
  <si>
    <t>TOTAL ELECTRON-CONTENT; TEC; PLASMASPHERE; TOMOGRAPHY; DEPENDENCE; LATITUDE; F(O)F2; JAPAN</t>
  </si>
  <si>
    <t>The critical frequency of ionospheric F2 layer (foF2) is a measure of the highest frequency of radio signal that may be reflected back by the F2 layer, and it is associated with ionospheric peak electron density in the F2 layer. Accurate long-term foF2 variations are usually derived from ionosonde observations. In this paper, we propose a new method to observe foF2 using a stand-alone global positioning system (GPS) receiver. The proposed method relies on the mathematical equation that relates foF2 to GPS observations. The equation is then implemented in the Kalman filter algorithm to estimate foF2 at every epoch of the observation (30-s rate). Unlike existing methods, the proposed method does not require any additional information from ionosonde observations and does not require any network of GPS receivers. It only requires as inputs the ionospheric scale height and the modeled plasmaspheric electron content, which practically can be derived from any existing ionospheric/plasmaspheric model. We applied the proposed method to estimate long-term variations of foF2 at three GPS stations located at the northern hemisphere (NICO, Cyprus), the southern hemisphere (STR1, Australia) and the south pole (SYOG, Antarctic). To assess the performance of the proposed method, we then compared the results against those derived by ionosonde observations and the International Reference Ionosphere (IRI) 2012 model. We found that, during the period of high solar activity (2011-2012), the values of absolute mean bias between foF2 derived by the proposed method and ionosonde observations are in the range of 0.2-0.5 MHz, while those during the period of low solar activity (2009-2010) are in the range of 0.05-0.15 MHz. Furthermore, the root-mean-square-error (RMSE) values during high and low solar activities are in the range of 0.8-0.9 MHz and of 0.6-0.7 MHz, respectively. We also noticed that the values of absolute mean bias and RMSE between foF2 derived by the proposed method and the IRI-2012 model are slightly larger than those between the proposed method and ionosonde observations. These results demonstrate that the proposed method can estimate foF2 with a comparable accuracy. Since the proposed method can estimate foF2 at every epoch of the observation, it therefore has promising applications for investigating various scales (from small to large) of foF2 irregularities.</t>
  </si>
  <si>
    <t>[Wijaya, Dudy D.; Kuntjoro, Wedyanto] Bandung Inst Technol ITB, Geodesy Res Grp, Jl Ganesha 10, Bandung 40132, Indonesia; [Haralambous, Haris] Frederick Univ, Dept Elect Engn, 7 Y Frederickou Str Palouriotissa, CY-1036 Nicosia, Cyprus; [Oikonomou, Christina] Frederick Res Ctr, Filokyprou St 7, CY-1036 Nicosia, Cyprus</t>
  </si>
  <si>
    <t>Institute Technology of Bandung</t>
  </si>
  <si>
    <t>Wijaya, DD (corresponding author), Bandung Inst Technol ITB, Geodesy Res Grp, Jl Ganesha 10, Bandung 40132, Indonesia.</t>
  </si>
  <si>
    <t>dudy@gd.itb.ac.id</t>
  </si>
  <si>
    <t>Program Penelitian, Pengabdian kepada Masyarakat, dan Inovasi (P3MI) Kelompok Keahlian ITB</t>
  </si>
  <si>
    <t>DDW would like to thank the Erasmus Mundus INTACT project for fully supporting his 2-month stay at Department of Electrical Engineering, Frederick University, Cyprus. We would like to thank the Australian Space Weather Service (www.sms.bom.gov.au) and the National Institute of Information and Communications Technology (NICT) of Japan (http://wdc.nict.go.jp/) for freely providing foF2 data set used in this research. We would also like to thank the editors, Prof. Jurgen Kusche and Dr. Thomas Hobiger, and five anonymous reviewers for their valuable comments that helped to improve the quality of this paper. This research was partially supported by the Program Penelitian, Pengabdian kepada Masyarakat, dan Inovasi (P3MI) Kelompok Keahlian ITB.</t>
  </si>
  <si>
    <t>10.1007/s00190-017-1013-2</t>
  </si>
  <si>
    <t>WOS:000407942700007</t>
  </si>
  <si>
    <t>Ferreira, A; Ciotti, AM; Mendes, CRB; Uitz, J; Bricaud, A</t>
  </si>
  <si>
    <t>Ferreira, Amabile; Ciotti, Aurea M.; Mendes, Carlos Rafael B.; Uitz, Julia; Bricaud, Annick</t>
  </si>
  <si>
    <t>Phytoplankton light absorption and the package effect in relation to photosynthetic and photoprotective pigments in the northern tip of Antarctic Peninsula</t>
  </si>
  <si>
    <t>Peninsula Antarctica; phytoplankton; photosynthetic pigments; photoprotective pigments; specific-phytoplankton absorption; package effect</t>
  </si>
  <si>
    <t>CHLOROPHYLL-A CONCENTRATIONS; REMOTE-SENSING REFLECTANCE; OCEAN COLOR; BIOOPTICAL PROPERTIES; AQUATIC PARTICLES; ASSEMBLAGES; SEAWIFS; SIZE; SEA; VARIABILITY</t>
  </si>
  <si>
    <t>This study investigates the variability in the spectral absorption of phytoplankton in Antarctic waters. A large in situ data set comprising phytoplankton pigments and hyperspectral absorption was measured in the northern tip of Antarctic Peninsula during 2013 and 2014 summers at several depths. A proxy of package effect was estimated from the phytoplankton absorption spectra, independently of chlorophyll a. Variations in the concentration of photosynthetic and photoprotective pigments were discernible by changes in this metric but not in the chlorophyll a specific absorption coefficient of phytoplankton. The fucoxanthin to chlorophyll a ratio correlated positively to package effect due to an increase in cell size of phytoplankton (diatoms) and increasing fucoxanthin content per cell to maximize light harvesting in depth. The package effect was found to covary inversely with photoprotective pigments relative to chlorophyll a, partially due to their contribution to enhance absorption in the blue part of the spectrum. Using a cluster analysis (k-means algorithm) on the phytoplankton absorption spectra, we illustrate the capacity to identify a regular increase in the degree of package effect. This approach can be useful to classify the phytoplankton assemblages in Antarctic waters according to different degrees of pigment packaging, each one related to a specific pigment composition. Our results demonstrate the potential for this classification at different temporal and spatial scales from ocean color satellite data. This should improve our understanding of deviations in global bio-optical algorithms when applied to the Southern Ocean.</t>
  </si>
  <si>
    <t>[Ferreira, Amabile; Ciotti, Aurea M.] Univ Sao Paulo, Ctr Biol Marinha, Sao Sebastiao, SP, Brazil; [Mendes, Carlos Rafael B.] Univ Fed Rio Grande, Inst Oceanog, Rio Grande, RS, Brazil; [Uitz, Julia; Bricaud, Annick] UPMC Univ Paris VI, Sorbonne Univ, UMR 7093, LOV,Observ Oceanol, Villefranche Sur Mer, France; [Uitz, Julia; Bricaud, Annick] CNRS, UMR 7093, LOV, Observ Oceanol, Villefranche Sur Mer, France</t>
  </si>
  <si>
    <t>Universidade de Sao Paulo; Universidade Federal do Rio Grande; Centre National de la Recherche Scientifique (CNRS); CNRS - National Institute for Earth Sciences &amp; Astronomy (INSU); Sorbonne Universite; Sorbonne Universite; Centre National de la Recherche Scientifique (CNRS); CNRS - National Institute for Earth Sciences &amp; Astronomy (INSU)</t>
  </si>
  <si>
    <t>Ferreira, A (corresponding author), Univ Sao Paulo, Ctr Biol Marinha, Sao Sebastiao, SP, Brazil.</t>
  </si>
  <si>
    <t>amabilefr@gmail.com</t>
  </si>
  <si>
    <t>Mendes, Carlos/GVU-7596-2022; Mendes, Carlos/I-1520-2012; UITZ, Julia/Q-7487-2018; Uitz, Julia/JTV-4579-2023; Mendes, Carlos/AAD-6504-2021; Ciotti, Aurea Maria/M-9025-2019; Ciotti, Aurea Maria/B-7188-2011</t>
  </si>
  <si>
    <t>Mendes, Carlos/0000-0001-6875-8860; Mendes, Carlos/0000-0001-6875-8860; Ciotti, Aurea Maria/0000-0001-7163-8819; Ciotti, Aurea Maria/0000-0001-7163-8819</t>
  </si>
  <si>
    <t>CNPq (National Council for Research and Development) [556848/2009-8, 565040/2010-3, PQ 310985/2013-7]; FAPESP (Research Support Foundation of State of Sao Paulo, FAPESP) [2013/16957-2, 2016/01601-6]; CAPES Foundation; Fundacao de Amparo a Pesquisa do Estado de Sao Paulo (FAPESP) [16/01601-6] Funding Source: FAPESP</t>
  </si>
  <si>
    <t>CNPq (National Council for Research and Development)(Conselho Nacional de Desenvolvimento Cientifico e Tecnologico (CNPQ)); FAPESP (Research Support Foundation of State of Sao Paulo, FAPESP)(Fundacao de Amparo a Pesquisa do Estado de Sao Paulo (FAPESP)); CAPES Foundation(Coordenacao de Aperfeicoamento de Pessoal de Nivel Superior (CAPES)); Fundacao de Amparo a Pesquisa do Estado de Sao Paulo (FAPESP)(Fundacao de Amparo a Pesquisa do Estado de Sao Paulo (FAPESP))</t>
  </si>
  <si>
    <t>This work is part of a multidisciplinary program under the GOAL (Brazilian High Latitudes Oceanography Group) activities in the Brazilian Antarctic Program (PROANTAR). Financial support was provided by CNPq (National Council for Research and Development) for the POLARCANION (CNPq grant 556848/2009-8) and PRO-OASIS (CNPq grant 565040/2010-3) projects. Amabile Ferreira was supported by FAPESP (Research Support Foundation of the State of Sao Paulo, FAPESP, grants 2013/16957-2 and 2016/01601-6). C. R. B. Mendes acknowledges financial support from the CAPES Foundation. Aurea M. Ciotti thanks CNPq for the research fellowship (PQ 310985/2013-7). The authors thank the crew of the Polar Vessel Almirante Maximiano of the Brazilian Navy and several investigations on the cruises for assistance. We thank Bianca Tocci and Maria Fernanda C. Giannini for help during field work. This research is a contribution of the NP-BioMar, University of Sao Paulo. We acknowledge Shubha Sathyendranath and an anonymous reviewer for their valuable contributions which have greatly improved the manuscript. The data set used in this work can be accessed in https://doi.pangaea.de/10.1594/PANGAEA.879657.</t>
  </si>
  <si>
    <t>10.1002/2017JC012964</t>
  </si>
  <si>
    <t>WOS:000413167200021</t>
  </si>
  <si>
    <t>Rosso, I; Mazloff, MR; Verdy, A; Talley, LD</t>
  </si>
  <si>
    <t>Rosso, Isabella; Mazloff, Matthew R.; Verdy, Ariane; Talley, Lynne D.</t>
  </si>
  <si>
    <t>Space and time variability of the Southern Ocean carbon budget</t>
  </si>
  <si>
    <t>carbon budget; Southern Ocean; state estimate</t>
  </si>
  <si>
    <t>GLOBAL OVERTURNING CIRCULATION; NATURAL IRON FERTILIZATION; SEA-ICE; KERGUELEN PLATEAU; CO2; DYNAMICS; DIOXIDE; TRENDS; CLIMATOLOGY; TEMPERATURE</t>
  </si>
  <si>
    <t>The upper ocean dissolved inorganic carbon (DIC) concentration is regulated by advective and diffusive transport divergence, biological processes, freshwater, and air-sea CO2 fluxes. The relative importance of these mechanisms in the Southern Ocean is uncertain, as year-round observations in this area have been limited. We use a novel physical-biogeochemical state estimate of the Southern Ocean to construct a closed DIC budget of the top 650 m and investigate the spatial and temporal variability of the different components of the carbon system. The dominant mechanisms of variability in upper ocean DIC depend on location and time and space scales considered. Advective transport is the most influential mechanism and governs the local DIC budget across the 10 day-5 year timescales analyzed. Diffusive effects are nearly negligible. The large-scale transport structure is primarily set by upwelling and downwelling, though both the lateral ageostrophic and geostrophic transports are significant. In the Antarctic Circumpolar Current, the carbon budget components are also influenced by the presence of topography and biological hot spots. In the subtropics, evaporation and air-sea CO2 flux primarily balances the sink due to biological production and advective transport. Finally, in the subpolar region sea ice processes, which change the seawater volume and thus the DIC concentration, compensate the large impact of the advective transport and modulate the timing of biological activity and air-sea CO2 flux.</t>
  </si>
  <si>
    <t>[Rosso, Isabella; Mazloff, Matthew R.; Verdy, Ariane; Talley, Lynne D.] Univ Calif San Diego, Scripps Inst Oceanog, La Jolla, CA 92093 USA</t>
  </si>
  <si>
    <t>Rosso, I (corresponding author), Univ Calif San Diego, Scripps Inst Oceanog, La Jolla, CA 92093 USA.</t>
  </si>
  <si>
    <t>irosso@ucsd.edu</t>
  </si>
  <si>
    <t>Verdy, Ariane/B-6470-2008; Mazloff, Matthew/AAG-6463-2019</t>
  </si>
  <si>
    <t>Mazloff, Matthew/0000-0002-1650-5850; rosso, isabella/0000-0002-6761-7297; Talley, Lynne/0000-0003-1574-729X; Verdy, Ariane/0000-0002-2774-2691</t>
  </si>
  <si>
    <t>National Science Foundation under NSF [PLR-1425989]</t>
  </si>
  <si>
    <t>National Science Foundation under NSF(National Science Foundation (NSF))</t>
  </si>
  <si>
    <t>This work is a contribution of the Southern Ocean Carbon and Climate Observations and Modeling project (SOCCOM). SOCCOM is supported by the National Science Foundation under NSF award PLR-1425989. B-SOSE output is available at http://sose.ucsd.edu.</t>
  </si>
  <si>
    <t>10.1002/2016JC012646</t>
  </si>
  <si>
    <t>Green Submitted, Bronze, Green Published</t>
  </si>
  <si>
    <t>WOS:000413167200025</t>
  </si>
  <si>
    <t>Seroussi, H; Ivins, ER; Wiens, DA; Bondzio, J</t>
  </si>
  <si>
    <t>Seroussi, Helene; Ivins, Erik R.; Wiens, Douglas A.; Bondzio, Johannes</t>
  </si>
  <si>
    <t>Influence of a West Antarctic mantle plume on ice sheet basal conditions</t>
  </si>
  <si>
    <t>JOURNAL OF GEOPHYSICAL RESEARCH-SOLID EARTH</t>
  </si>
  <si>
    <t>Marie Byrd Land; subglacial Lake Whillans; mantle plume; ice sheet; basal conditions</t>
  </si>
  <si>
    <t>MARIE-BYRD-LAND; SUBGLACIAL LAKE ACTIVITY; NEW-ZEALAND; HEAT-FLOW; ENVIRONMENTAL-CHANGE; THWAITES GLACIER; SEISMIC EVIDENCE; GEOTHERMAL FLUX; THERMAL REGIME; WATER-SYSTEM</t>
  </si>
  <si>
    <t>The possibility that a deep mantle plume manifests Pliocene and Quaternary volcanism and potential elevated heat flux in West Antarctica has been studied for more than 30 years. Recent seismic images support the plume hypothesis as the cause of Marie Byrd Land (MBL) volcanism and geophysical structure. Mantle plumes may more than double the geothermal heat flux above nominal continental values. A dearth of in situ ice sheet basal data exists that samples the heat flux. Consequently, we examine a realistic distribution of heat flux associated with a possible late Cenozoic mantle plume in West Antarctica and explore its impact on thermal and melt conditions at the ice sheet base. We use a simple analytical mantle plume parameterization to produce geothermal heat flux at the base of the ice sheet. The three-dimensional ice flow model includes an enthalpy framework and full-Stokes stress balance. As both the putative plume location and extent are uncertain, we perform broadly scoped experiments to characterize the impact of the plume on geothermal heat flux and ice sheet basal conditions. The experiments show that mantle plumes have an important local impact on the ice sheet, with basal melting rates reaching several centimeters per year directly above the hotspot. In order to be consistent with observations of basal hydrology in MBL, the upper bound on the plume-derived geothermal heat flux is 150 mW/m(2). In contrast, the active lake system of the lower part of Whillans Ice Stream suggests a widespread anomalous mantle heat flux, linked to a rift source.</t>
  </si>
  <si>
    <t>[Seroussi, Helene; Ivins, Erik R.] CALTECH, Jet Prop Lab, Pasadena, CA 91125 USA; [Wiens, Douglas A.] Washington Univ, Dept Earth &amp; Planetary Sci, St Louis, MO 63130 USA; [Bondzio, Johannes] Helmholtz Ctr Polar &amp; Marine Res, Alfred Wegener Inst, Bremerhaven, Germany; [Bondzio, Johannes] Univ Calif Irvine, Dept Earth Syst Sci, Irvine, CA USA</t>
  </si>
  <si>
    <t>National Aeronautics &amp; Space Administration (NASA); NASA Jet Propulsion Laboratory (JPL); California Institute of Technology; Washington University (WUSTL); Helmholtz Association; Alfred Wegener Institute, Helmholtz Centre for Polar &amp; Marine Research; University of California System; University of California Irvine</t>
  </si>
  <si>
    <t>Seroussi, H (corresponding author), CALTECH, Jet Prop Lab, Pasadena, CA 91125 USA.</t>
  </si>
  <si>
    <t>Helene.Seroussi@jpl.nasa.gov</t>
  </si>
  <si>
    <t>Seroussi, Helene/AAX-5342-2021; Ivins, Erik R/C-2416-2011; Wiens, Douglas/J-9259-2016</t>
  </si>
  <si>
    <t>Seroussi, Helene/0000-0001-9201-1644; Bondzio, Johannes/0000-0002-4826-166X; Ivins, Erik/0000-0003-0148-357X; Wiens, Douglas/0000-0002-5169-4386</t>
  </si>
  <si>
    <t>NASA's Sea Level Change Team; NASA's Cryospheric Science; NASA's Earth Surface and Interior Focus Area as part of GRACE Science Team</t>
  </si>
  <si>
    <t>This research was supported by funding from NASA's Sea Level Change Team, NASA's Cryospheric Science, and NASA's Earth Surface and Interior Focus Area as part of the GRACE Science Team effort. The study was performed at the Jet Propulsion Laboratory, California Institute of Technology. We thank Eric Larour for helpful discussions and suggestions and Robert B. Smith and Katrina DeNosaquo for providing data for the Yellowstone area. We are thankful to Bernard Steinberger and an anonymous reviewer for providing insightful comments that improved the quality of this manuscript. The data used are listed in the references and tables and are freely available from the corresponding author. ISSM is an open-source software available at issm.jpl.nasa.gov.</t>
  </si>
  <si>
    <t>2169-9313</t>
  </si>
  <si>
    <t>2169-9356</t>
  </si>
  <si>
    <t>J GEOPHYS RES-SOL EA</t>
  </si>
  <si>
    <t>J. Geophys. Res.-Solid Earth</t>
  </si>
  <si>
    <t>10.1002/2017JB014423</t>
  </si>
  <si>
    <t>FJ6QC</t>
  </si>
  <si>
    <t>WOS:000412881700010</t>
  </si>
  <si>
    <t>Lee, C; Jee, G; Wu, Q; Shim, JS; Murphy, D; Song, IS; Kwon, HJ; Kim, JH; Kim, YH</t>
  </si>
  <si>
    <t>Lee, Changsup; Jee, Geonhwa; Wu, Qian; Shim, Ja Soon; Murphy, Damian; Song, In-Sun; Kwon, Hyuck-Jin; Kim, Jeong-Han; Kim, Yong Ha</t>
  </si>
  <si>
    <t>Polar Thermospheric Winds and Temperature Observed by Fabry-Perot Interferometer at Jang Bogo Station, Antarctica</t>
  </si>
  <si>
    <t>DYNAMICS; MODEL; TIDES; SOLAR; CAP</t>
  </si>
  <si>
    <t>Upper atmospheric neutral winds and temperature have been observed by the Fabry-Perot interferometer (FPI) which was installed at Jang Bogo Station (JBS), Antarctica, in 2014. Since JBS is mostly located within the polar cap region, the observed thermospheric winds at 250 km show strong diurnal variations with notable antisunward motions due to the effects of plasma convection. The winds at 87 km, on the other hand, show semidiurnal variations due to the lower atmospheric tidal effects. We found that the winds from green line emission show largely diurnal variations, unlike the other independent observations, which might be due to the auroral contamination. The horizontal wind model 2014 winds at 250 km show reasonable agreement with FPI winds, while large discrepancies exist at 87 km in terms of seasonal variations. There is a distinctive asymmetric seasonal variation of the thermospheric zonal wind in the dusk and dawn sectors. FPI temperatures at 250 km show a fairly close correlation with Kp index, especially in 2015 when the geomagnetic activity is stronger. However, the temperatures at 87 km are mostly independent on Kp index. Finally, during the intense geomagnetic storm, thermospheric winds and temperature are significantly disturbed and Thermosphere Ionosphere Electrodynamics General Circulation Model simulations are in surprisingly good agreement with observation for winds but the temperatures are significantly underestimated during the whole storm period.</t>
  </si>
  <si>
    <t>[Lee, Changsup; Jee, Geonhwa; Song, In-Sun; Kwon, Hyuck-Jin; Kim, Jeong-Han] Korea Polar Res Inst, Incheon, South Korea; [Wu, Qian] NCAR, High Altitude Observ, Boulder, CO USA; [Shim, Ja Soon] NASA, CUA, GSFC, Greenbelt, MD USA; [Murphy, Damian] Australian Antarctic Div, Kingston, Tas, Australia; [Kim, Yong Ha] Chungnam Natl Univ, Dept Astron Space Sci &amp; Geol, Daejeon, South Korea</t>
  </si>
  <si>
    <t>Korea Polar Research Institute (KOPRI); National Center Atmospheric Research (NCAR) - USA; National Aeronautics &amp; Space Administration (NASA); NASA Goddard Space Flight Center; Australian Antarctic Division; Chungnam National University</t>
  </si>
  <si>
    <t>Jee, G (corresponding author), Korea Polar Res Inst, Incheon, South Korea.</t>
  </si>
  <si>
    <t>ghjee@kopri.re.kr</t>
  </si>
  <si>
    <t>Kim, Jeong Han/J-6244-2016; Song, In-Sun/KCK-5485-2024; Kim, Yong Ha/AAS-9908-2021</t>
  </si>
  <si>
    <t>Song, In-Sun/0000-0001-7211-6035; Kwon, Hyuck Jin/0000-0001-9670-0711; Murphy, Damian/0000-0003-1738-5560; Kim, Yongha/0000-0003-0200-9423</t>
  </si>
  <si>
    <t>Korea Polar Research Institute [PE17020, PE17270]; AAS project [402]; Div Atmospheric &amp; Geospace Sciences; Directorate For Geosciences [1339918] Funding Source: National Science Foundation</t>
  </si>
  <si>
    <t>Korea Polar Research Institute(Korea Polar Research Institute of Marine Research Placement (KOPRI)); AAS project; Div Atmospheric &amp; Geospace Sciences; Directorate For Geosciences(National Science Foundation (NSF)NSF - Directorate for Geosciences (GEO))</t>
  </si>
  <si>
    <t>This study was supported by the grant PE17020 and PE17270 from the Korea Polar Research Institute. The authors would like to thank the Aura MLS team for providing the temperature data. The MLS data used in this study are available from http://disc.sci.gsfc.nasa.gov/Aura/data-holdings/MLS. The OMNI data were obtained from the GSFC/SPDF OMNIWeb interface at http://omniweb.gsfc.nasa.gov. Operation of the Davis meteor radar has been supported through AAS project 402.</t>
  </si>
  <si>
    <t>10.1002/2017JA024408</t>
  </si>
  <si>
    <t>WOS:000413491700040</t>
  </si>
  <si>
    <t>Koo, H; Hakim, JA; Morrow, CD; Eipers, PG; Davila, A; Andersen, DT; Bej, AK</t>
  </si>
  <si>
    <t>Koo, Hyunmin; Hakim, Joseph A.; Morrow, Casey D.; Eipers, Peter G.; Davila, Alfonso; Andersen, Dale T.; Bej, Asim K.</t>
  </si>
  <si>
    <t>Comparison of two bioinformatics tools used to characterize the microbial diversity and predictive functional attributes of microbial mats from Lake Obersee, Antarctica</t>
  </si>
  <si>
    <t>JOURNAL OF MICROBIOLOGICAL METHODS</t>
  </si>
  <si>
    <t>PICRUSt; Tax4Fun; SILVA; Greengenes; R Code; NextGen sequencing</t>
  </si>
  <si>
    <t>COMMUNITIES; ADAPTATION; REDUCTASE</t>
  </si>
  <si>
    <t>In this study, using NextGen sequencing of the collective 16S rRNA genes obtained from two sets of samples collected from Lake Obersee, Antarctica, we compared and contrasted two bioinformatics tools, PICRUSt and Tax4Fun. We then developed an R script to assess the taxonomic and predictive functional profiles of the microbial communities within the samples. Taxa such as Pseudoxanthomonas, Planctomycetaceae, Cyanobacteria Subsection III, Nitrosomonadaceae, Leptothrix, and Rhodobacter were exclusively identified by Tax4Fun that uses SILVA database; whereas PICRUSt that uses Greengenes database uniquely identified Pirellulaceae, Gemmatimonadetes A1-B1, Pseudanabaena, Salinibacterium and Sinobacteraceae. Predictive functional profiling of the microbial communities using Tax4Fun and PICRUSt separately revealed common metabolic capabilities, while also showing specific functional IDs not shared between the two approaches. Combining these functional predictions using a customized R script revealed a more inclusive metabolic profile, such as hydrolases, oxidoreductases, transferases; enzymes involved in carbohydrate and amino acid metabolisms; and membrane transport proteins known for nutrient uptake from the surrounding environment. Our results present the first molecular-phylogenetic characterization and predictive functional profiles of the microbial mat communities in Lake Obersee, while demonstrating the efficacy of combining both the taxonomic assignment information and functional IDs using the R script created in this study for a more streamlined evaluation of predictive functional profiles of microbial communities.</t>
  </si>
  <si>
    <t>[Koo, Hyunmin; Hakim, Joseph A.; Bej, Asim K.] Univ Alabama Birmingham, Dept Biol, Birmingham, AL 35294 USA; [Morrow, Casey D.; Eipers, Peter G.] Univ Alabama Birmingham, Cell Dev &amp; Integrat Biol, Birmingham, AL 35294 USA; [Davila, Alfonso] NASA, Ames Res Ctr, Moffett Field, CA 94035 USA; [Andersen, Dale T.] SETI Inst, Carl Sagan Ctr, Mountain View, CA USA</t>
  </si>
  <si>
    <t>University of Alabama System; University of Alabama Birmingham; University of Alabama System; University of Alabama Birmingham; National Aeronautics &amp; Space Administration (NASA); NASA Ames Research Center</t>
  </si>
  <si>
    <t>Koo, H; Bej, AK (corresponding author), Univ Alabama Birmingham, 1300 Univ Blvd,CH464, Birmingham, AL 35294 USA.</t>
  </si>
  <si>
    <t>khmkhm87@uab.edu; abej@uab.edu</t>
  </si>
  <si>
    <t>Andersen, Dale T/B-4816-2013; Davila, Alfonso/A-2198-2013</t>
  </si>
  <si>
    <t>Andersen, Dale T/0000-0001-8827-1259; Koo, Hyunmin/0000-0001-6630-2165; Davila, Alfonso/0000-0002-0977-9909; /0000-0003-3060-1088</t>
  </si>
  <si>
    <t>Tawani Foundation of Chicago [6803099]; Trottier Family Foundation; NASA's Exobiology and Astrobiology Programs [NNX08AO19G]; Arctic and Antarctic Research Institute/Russian Antarctic Expedition; Microbiome Resource at the University of Alabama at Birmingham: Comprehensive Cancer Center [P30AR050948]; Center for AIDS Research [5P30AI027767]; Center for Clinical and Translational Science [UL1TR001417]; University Wide Institutional Core and Heflin Center for Genomic Sciences; NASA [NNX08AO19G, 97030] Funding Source: Federal RePORTER</t>
  </si>
  <si>
    <t>Tawani Foundation of Chicago; Trottier Family Foundation; NASA's Exobiology and Astrobiology Programs; Arctic and Antarctic Research Institute/Russian Antarctic Expedition; Microbiome Resource at the University of Alabama at Birmingham: Comprehensive Cancer Center; Center for AIDS Research; Center for Clinical and Translational Science; University Wide Institutional Core and Heflin Center for Genomic Sciences; NASA(National Aeronautics &amp; Space Administration (NASA))</t>
  </si>
  <si>
    <t>Primary support for this research was provided by the Tawani Foundation of Chicago (6803099), the Trottier Family Foundation, NASA's Exobiology and Astrobiology Programs (NNX08AO19G), and the Arctic and Antarctic Research Institute/Russian Antarctic Expedition.; The following are acknowledged for their support of the Microbiome Resource at the University of Alabama at Birmingham: Comprehensive Cancer Center (P30AR050948), Center for AIDS Research (5P30AI027767), Center for Clinical and Translational Science (UL1TR001417), University Wide Institutional Core and Heflin Center for Genomic Sciences.</t>
  </si>
  <si>
    <t>0167-7012</t>
  </si>
  <si>
    <t>1872-8359</t>
  </si>
  <si>
    <t>J MICROBIOL METH</t>
  </si>
  <si>
    <t>J. Microbiol. Methods</t>
  </si>
  <si>
    <t>10.1016/j.mimet.2017.06.017</t>
  </si>
  <si>
    <t>Biochemical Research Methods; Microbiology</t>
  </si>
  <si>
    <t>FE1MK</t>
  </si>
  <si>
    <t>WOS:000407982100004</t>
  </si>
  <si>
    <t>Coxall, M</t>
  </si>
  <si>
    <t>Coxall, McGregor</t>
  </si>
  <si>
    <t>BIRD AIRPORT - TIANJIN LINGANG BIRD SANCTUARY WETLAND PARK DESIGN</t>
  </si>
  <si>
    <t>LANDSCAPE ARCHITECTURE FRONTIERS</t>
  </si>
  <si>
    <t>Bird Airport; East Asian-Australasian Flyway; Coastal Landscape; Wetland; Natural Education</t>
  </si>
  <si>
    <t>Each year more than 50 million birds make the return journey from the Antarctic reaches to the northern tip of the earth along the East Asian-Australasian Flyway (EAAF) seeking food and shelter. As one of the nine global north-south fly ways, the EAAF is now the world's most threatened due to the loss of bird foraging habitat by coastal urbanization. One in five globally threatened water birds including the Black-Tailed Godwit fly the EAAF but they are suffering rapid declines in population. In a bid to increase critical bird habitat on the shores of the Bohai Bay in China, the Asian Development Bank encouraged the Port of Tianjin to embark upon an international design competition for a wetland bird sanctuary on a degraded land fill site in Lingang. McGregor Coxall won the first prize in the competition with a proposal of establishing the world's first migratory Bird Airport - a 110 hectare wetland park and bird sanctuary. With some birds flying non-stop for more than 11,000 km and up to 10 days without food or water, the airport will be a crucial re-fueling and breeding stop on the EAAF.</t>
  </si>
  <si>
    <t>CHAOYANG DIST, 4, HUIXINDONGJIE, FUSHENG BLDG, BEIJING 100029, PEOPLES R CHINA</t>
  </si>
  <si>
    <t>2096-336X</t>
  </si>
  <si>
    <t>2095-5413</t>
  </si>
  <si>
    <t>LANDSC ARCHIT FRONT</t>
  </si>
  <si>
    <t>Landsc. Archit. Front.</t>
  </si>
  <si>
    <t>10.15302/J-LAF-20170409</t>
  </si>
  <si>
    <t>Architecture</t>
  </si>
  <si>
    <t>VH8JT</t>
  </si>
  <si>
    <t>WOS:000455843700008</t>
  </si>
  <si>
    <t>Quillfeldt, P; Thorn, S; Richter, B; Nabte, M; Coria, N; Masello, JF; Massaro, M; Neves, VC; Libertelli, M</t>
  </si>
  <si>
    <t>Quillfeldt, Petra; Thorn, Simon; Richter, Benjamin; Nabte, Marcela; Coria, Nestor; Masello, Juan F.; Massaro, Melanie; Neves, Vernica C.; Libertelli, Marcela</t>
  </si>
  <si>
    <t>Testing the usefulness of hydrogen and compound-specific stable isotope analyses in seabird feathers: a case study in two sympatric Antarctic storm-petrels</t>
  </si>
  <si>
    <t>MARINE BIOLOGY</t>
  </si>
  <si>
    <t>KING-GEORGE-ISLAND; SPATIAL SEGREGATION; TROPHIC POSITION; AMINO-ACIDS; NITROGEN; DIET; FOOD; MIGRATION; INSIGHTS; VALUES</t>
  </si>
  <si>
    <t>Nitrogen and carbon stable isotopes provide tools to investigate ecological segregation, prey choice and spatial distribution in seabirds. However, the interpretation of stable isotopes is frequently hampered by a lack of isotopic baseline data. In this study, two techniques proposed to overcome such shortages were tested: compound-specific isotope analyses of amino acids (AA-CSIA) and the analysis of hydrogen stable isotope ratios (HSIA). Feathers of two sympatric storm-petrels were compared. The two species, Black-bellied storm-petrels Fregetta tropica and Wilson's storm-petrels Oceanites oceanicus, moult in oceanic waters and differ in diet composition. For HSIA, a range of species with broad diet and non-breeding distribution was also investigated. Differences in carbon isotope values suggested differences in the spatial distribution and thus, in isotopic baseline values, during moult. Bulk nitrogen analyses of adult feathers did not detect species differences in trophic level. However, AA-CSIA detected clear differences in trophic levels in line with expectations: Black-bellied storm-petrels fed at a higher trophic level than Wilson` s storm-petrels. Hydrogen values also differed between the species, but contrary to expectations were highly enriched in Black-bellied storm-petrels, but much less enriched in Wilson's storm-petrels. Hydrogen data of seven petrel species challenge the suggestion that depleted dD values indicate a higher percentage of isosmotic fish. The present results suggest that the difference in hydrogen ratios may be explained by these petrels moulting in different ocean zones. Amino acid-specific stable isotope analyses were useful for estimating isotopic baselines and thus true trophic levels, whereas hydrogen isotopes were not.</t>
  </si>
  <si>
    <t>[Quillfeldt, Petra; Thorn, Simon; Richter, Benjamin; Masello, Juan F.] Justus Liebig Univ Giessen, Dept Anim Ecol &amp; Systemat, D-35392 Giessen, Germany; [Thorn, Simon] Bioctr Univ Wurzburg, Dept Anim Ecol &amp; Trop Biol, Field Stn Fabrikschleichach, Glashuttenstr 5, D-96181 Rauhenebrach, Germany; [Nabte, Marcela] Univ Nacl Patagonia San Juan Bosco, Fac Ciencias Nat, RA-3700 Puerto Madryn, Chubut, Argentina; [Coria, Nestor; Libertelli, Marcela] Inst Antartico Argentino, Dept Ciencias Vida, Cerrito 1248,C1010AAZ, Buenos Aires, DF, Argentina; [Massaro, Melanie] Charles Sturt Univ, Sch Environm Sci, Inst Land Water &amp; Soc, Albury, NSW 2640, Australia; [Neves, Vernica C.] Univ Azores, IMAR Inst Marine Res, MARE Marine &amp; Environm Sci Ctr, Dept Oceanog &amp; Fisheries DOP, Rua Prof Dr Frederico Machado 4, PT-9901862 Horta, Azores, Portugal; [Neves, Vernica C.] Univ Azores, LARSyS Associated Lab, Rua Prof Dr Frederico Machado 4, PT-9901862 Horta, Azores, Portugal</t>
  </si>
  <si>
    <t>Justus Liebig University Giessen; University of Wurzburg; Universidad Nacional de la Patagonia San Juan Bosco; Instituto Antartico Argentino; Charles Sturt University; Universidade dos Acores; Universidade dos Acores</t>
  </si>
  <si>
    <t>Quillfeldt, P (corresponding author), Justus Liebig Univ Giessen, Dept Anim Ecol &amp; Systemat, D-35392 Giessen, Germany.</t>
  </si>
  <si>
    <t>Petra.Quillfeldt@bio.uni-giessen.de</t>
  </si>
  <si>
    <t>Neves, Verónica R C/A-4642-2009; Neves, Verónica/AAS-6850-2021; Thorn, Simon/ABD-9917-2020; Massaro, Melanie/P-4791-2017; Quillfeldt, Petra/A-9549-2009; Masello, Juan Francisco/C-7133-2009</t>
  </si>
  <si>
    <t>Neves, Verónica R C/0000-0002-6826-4542; Thorn, Simon/0000-0002-3062-3060; Massaro, Melanie/0000-0001-9039-1268; Quillfeldt, Petra/0000-0002-4450-8688; Masello, Juan Francisco/0000-0002-6826-4016</t>
  </si>
  <si>
    <t>Deutsche Forschungsgemeinschaft (DFG) [SPP1154, Qu148/16]; FCT, Portugal [SFRH/BPD/88914/2012]; Fundação para a Ciência e a Tecnologia [SFRH/BPD/88914/2012] Funding Source: FCT</t>
  </si>
  <si>
    <t>Deutsche Forschungsgemeinschaft (DFG)(German Research Foundation (DFG)); FCT, Portugal(Fundacao para a Ciencia e a Tecnologia (FCT)); Fundação para a Ciência e a Tecnologia(Fundacao para a Ciencia e a Tecnologia (FCT))</t>
  </si>
  <si>
    <t>This study was funded by the Deutsche Forschungsgemeinschaft (DFG) in the framework of the priority programme SPP1154 Antarctic Research with comparative investigations in Arctic ice areas by a grant to PQ (Qu148/16). VN is funded by FCT, Portugal-SFRH/BPD/88914/2012.</t>
  </si>
  <si>
    <t>0025-3162</t>
  </si>
  <si>
    <t>1432-1793</t>
  </si>
  <si>
    <t>MAR BIOL</t>
  </si>
  <si>
    <t>Mar. Biol.</t>
  </si>
  <si>
    <t>10.1007/s00227-017-3224-8</t>
  </si>
  <si>
    <t>FG6JZ</t>
  </si>
  <si>
    <t>WOS:000410485900016</t>
  </si>
  <si>
    <t>Coelho, RCG; Marques, ALP; Oliveira, SM; Diogo, GS; Pirraco, RP; Moreira-Silva, J; Xavier, JC; Reis, RL; Silva, TH; Mano, JF</t>
  </si>
  <si>
    <t>Coelho, Rui C. G.; Marques, Ana L. P.; Oliveira, Sara M.; Diogo, Gabriela S.; Pirraco, Rogerio P.; Moreira-Silva, Joana; Xavier, Jose C.; Reis, Rui L.; Silva, Tiago H.; Mano, Joao F.</t>
  </si>
  <si>
    <t>Extraction and characterization of collagen from Antarctic and Sub-Antarctic squid and its potential application in hybrid scaffolds for tissue engineering</t>
  </si>
  <si>
    <t>MATERIALS SCIENCE &amp; ENGINEERING C-MATERIALS FOR BIOLOGICAL APPLICATIONS</t>
  </si>
  <si>
    <t>Squid collagen; Antarctic; Three dimensional hybrid scaffolds; 3D printing; Marine biomaterials; Hierarchical scaffolds</t>
  </si>
  <si>
    <t>DENATURATION TEMPERATURE; REGENERATIVE MEDICINE; SOUTHERN-OCEAN; GAG SCAFFOLDS; OUTER SKIN; PORE-SIZE; BIOMATERIALS; CEPHALOPODA; BONE; ONYCHOTEUTHIDAE</t>
  </si>
  <si>
    <t>Collagen is the most abundant protein found in mammals and it exhibits a low immunogenicity, high biocompatibility and biodegradability when compared with others natural polymers. For this reason, it has been explored for the development of biologically instructive biomaterials with applications for tissue substitution and regeneration. Marine origin collagen has been pursued as an alternative to the more common bovine and porcine origins. This study focused on squid (Teuthoidea: Cephalopoda), particularly the Antarctic squid Kondakovia longimana and the Sub -Antarctic squid Illex argentinus as potential collagen sources. In this study, collagen has been isolated from the skins of the squids using acid-based and pepsin-based protocols, with the higher yield being obtained from I. argentinus in the presence of pepsin. The produced collagen has been characterized in terms of physicochemical properties, evidencing an amino acid profile similar to the one of calf collagen, but exhibiting a less preserved structure, with hydrolyzed.portions and a lower melting temperature. Pepsin-soluble collagen isolated from I. argentinus was selected for further evaluation of biomedical potential, exploring its incorporation on poly-e-caprolactone (PC1,) 3D printed scaffolds for the development of hybrid scaffolds for tissue engineering, exhibiting hierarchical features. (C) 2017 Elsevier B.V. All rights reserved.</t>
  </si>
  <si>
    <t>[Coelho, Rui C. G.; Marques, Ana L. P.; Oliveira, Sara M.; Diogo, Gabriela S.; Pirraco, Rogerio P.; Moreira-Silva, Joana; Reis, Rui L.; Silva, Tiago H.; Mano, Joao F.] Univ Minho, Headquarters European Inst Excellence Tissue Engn, Res Grp Biomat Biodegradables &amp; Biomimet 3Bs, AvePk Parque Ciencia &amp; Tecnol, P-4805017 Barco Guimaraes, Portugal; [Coelho, Rui C. G.; Marques, Ana L. P.; Oliveira, Sara M.; Diogo, Gabriela S.; Pirraco, Rogerio P.; Moreira-Silva, Joana; Reis, Rui L.; Silva, Tiago H.; Mano, Joao F.] ICVS 3Bs PT Govt Associate Lab, Braga, Portugal; [Xavier, Jose C.] Univ Coimbra, Dept Life Sci, Marine &amp; Environm Sci Ctr MARE, P-3004517 Coimbra, Portugal; [Xavier, Jose C.] British Antarctic Survey, NERC, Madingley Rd, Cambridge CB3 0ET, England; [Mano, Joao F.] Univ Aveiro, Dept Chem, CICECO, P-3810193 Aveiro, Portugal</t>
  </si>
  <si>
    <t>Universidade do Minho; Universidade de Coimbra; UK Research &amp; Innovation (UKRI); Natural Environment Research Council (NERC); NERC British Antarctic Survey; Universidade de Aveiro</t>
  </si>
  <si>
    <t>Silva, TH (corresponding author), Univ Minho, Res Grp Biomat Biodegradables &amp; Biomimet 3Bs, AvePk Parque Ciencia Tecnol, P-4805017 Barco Guimaraes, Portugal.</t>
  </si>
  <si>
    <t>tiago.silva@dep.uminho.pt</t>
  </si>
  <si>
    <t>Oliveira, Sara M./V-2433-2017; da Silva, Tiago Henriques/A-2048-2008; Pirraco, Rogerio P./O-8122-2015; Reis, Rui L./A-8938-2008; Xavier, José/KFB-6739-2024; Mano, Joao/A-4418-2009</t>
  </si>
  <si>
    <t>Oliveira, Sara M./0000-0002-8901-9757; da Silva, Tiago Henriques/0000-0001-8520-603X; Pirraco, Rogerio P./0000-0001-5521-950X; Reis, Rui L./0000-0002-4295-6129; Mano, Joao/0000-0002-2342-3765; Diogo, Gabriela/0000-0002-5696-631X; /0000-0002-9621-6660</t>
  </si>
  <si>
    <t>ERDF through POCTEP Project [0687_NOVOMAR_1_P]; European Union Seventh Framework Programme for research, technological development and demonstration [ERC-2012-ADG 20120216-321266]; Portuguese Foundation for Science and Technology (FCT) [SFRH/BPD/70230/2010, SFRH/BPD/101886/2014]; POPH/FSE; FCT [IF/00616/2013]; NERC [bas010011] Funding Source: UKRI; Natural Environment Research Council [bas010011] Funding Source: researchfish</t>
  </si>
  <si>
    <t>ERDF through POCTEP Project; European Union Seventh Framework Programme for research, technological development and demonstration(European Union (EU)); Portuguese Foundation for Science and Technology (FCT)(Fundacao para a Ciencia e a Tecnologia (FCT)); POPH/FSE(European Social Fund (ESF)); FCT(Fundacao para a Ciencia e a Tecnologia (FCT)); NERC(UK Research &amp; Innovation (UKRI)Natural Environment Research Council (NERC)); Natural Environment Research Council(UK Research &amp; Innovation (UKRI)Natural Environment Research Council (NERC))</t>
  </si>
  <si>
    <t>This work was partially funded by ERDF through POCTEP Project 0687_NOVOMAR_1_P and by the European Union Seventh Framework Programme for research, technological development and demonstration under grant agreement on ERC-2012-ADG 20120216-321266 (ComplexiTE). The Portuguese Foundation for Science and Technology (FCT) is also adcnowledged for post-doctoral fellowships of JMS (SFRH/BPD/70230/2010) and RPP (SFRH/BPD/101886/2014), financed by POPH/FSE, and FCT Investigator grant of JX (IF/00616/2013). The authors also want to thank Dr. Julio Maroto (FundaciOn CETMAR, Spain) for the kind offer of the samples of skins of I. argentinus, to Dr. Dario Fassini for the assistance in SDS-PAGE and to Raphael Canadas for assistance in micro-CT data processing.</t>
  </si>
  <si>
    <t>0928-4931</t>
  </si>
  <si>
    <t>1873-0191</t>
  </si>
  <si>
    <t>MAT SCI ENG C-MATER</t>
  </si>
  <si>
    <t>Mater. Sci. Eng. C-Mater. Biol. Appl.</t>
  </si>
  <si>
    <t>10.1016/j.msec.2017.04.122</t>
  </si>
  <si>
    <t>Materials Science, Biomaterials</t>
  </si>
  <si>
    <t>Materials Science</t>
  </si>
  <si>
    <t>EZ7ZR</t>
  </si>
  <si>
    <t>WOS:000404944700092</t>
  </si>
  <si>
    <t>McInnes, JC; Alderman, R; Lea, MA; Raymond, B; Deagle, BE; Phillips, RA; Stanworth, A; Thompson, DR; Catry, P; Weimerskirch, H; Suazo, CG; Gras, M; Jarman, SN</t>
  </si>
  <si>
    <t>McInnes, Julie C.; Alderman, Rachael; Lea, Mary-Anne; Raymond, Ben; Deagle, Bruce E.; Phillips, Richard A.; Stanworth, Andrew; Thompson, David R.; Catry, Paulo; Weimerskirch, Henri; Suazo, Cristian G.; Gras, Michael; Jarman, Simon N.</t>
  </si>
  <si>
    <t>High occurrence of jellyfish predation by black-browed and Campbell albatross identified by DNA metabarcoding</t>
  </si>
  <si>
    <t>MOLECULAR ECOLOGY</t>
  </si>
  <si>
    <t>climate change; cnidarians; faeces; food; indicator species; scats; seabird</t>
  </si>
  <si>
    <t>CTENOPHORE BLOOMS; DIET; FOOD; FISHERIES; PREY; SEA; STRATEGIES; RESPONSES; PENGUINS; SEABIRDS</t>
  </si>
  <si>
    <t>Gelatinous zooplankton are a large component of the animal biomass in all marine environments, but are considered to be uncommon in the diet of most marine top predators. However, the diets of key predator groups like seabirds have conventionally been assessed from stomach content analyses, which cannot detect most gelatinous prey. As marine top predators are used to identify changes in the overall species composition of marine ecosystems, such biases in dietary assessment may impact our detection of important ecosystem regime shifts. We investigated albatross diet using DNA metabarcoding of scats to assess the prevalence of gelatinous zooplankton consumption by two albatross species, one of which is used as an indicator species for ecosystem monitoring. Black-browed and Campbell albatross scats were collected from eight breeding colonies covering the circumpolar range of these birds over two consecutive breeding seasons. Fish was the main dietary item at most sites; however, cnidarian DNA, primarily from scyphozoan jellyfish, was present in 42% of samples overall and up to 80% of samples at some sites. Jellyfish was detected during all breeding stages and consumed by adults and chicks. Trawl fishery catches of jellyfish near the Falkland Islands indicate a similar frequency of jellyfish occurrence in albatross diets in years of high and low jellyfish availability, suggesting jellyfish consumption may be selective rather than opportunistic. Warmer oceans and overfishing of finfish are predicted to favour jellyfish population increases, and we demonstrate here that dietary DNA metabarcoding enables measurements of the contribution of gelatinous zooplankton to the diet of marine predators.</t>
  </si>
  <si>
    <t>[McInnes, Julie C.; Lea, Mary-Anne; Raymond, Ben] Univ Tasmania, Inst Marine &amp; Antarctic Studies, Hobart, Tas, Australia; [McInnes, Julie C.; Raymond, Ben; Deagle, Bruce E.] Australian Antarctic Div, Kingston, Tas, Australia; [Alderman, Rachael] Dept Primary Ind Pk Water &amp; Environm, Hobart, Tas, Australia; [Phillips, Richard A.] British Antarctic Survey, Nat Environm Res Council, Cambridge, England; [Stanworth, Andrew] Falklands Conservat, Stanley, Falkland Island; [Thompson, David R.] Natl Inst Water &amp; Atmospher Res, Wellington, New Zealand; [Catry, Paulo] ISPA Inst Univ, Marine &amp; Environm Sci Ctr MARE, Lisbon, Portugal; [Weimerskirch, Henri] UMR 7372 CNRS ULR, Ctr Etud Biol Chize, Villiers En Bois, France; [Suazo, Cristian G.] Justus Liebig Univ Giessen, Dept Anim Ecol &amp; Systemat, Giessen, Germany; [Gras, Michael] Fisheries Falkland Isl Govt, Directorate Nat Resources, Stanley, Falkland Island; [Jarman, Simon N.] Univ Porto, Ctr Invest Biodiversidade &amp; Recursos Genet, CIBIO InBIO, Vairao, Portugal</t>
  </si>
  <si>
    <t>University of Tasmania; Australian Antarctic Division; UK Research &amp; Innovation (UKRI); Natural Environment Research Council (NERC); NERC British Antarctic Survey; National Institute of Water &amp; Atmospheric Research (NIWA) - New Zealand; Instituto Superior Psicologia Aplicada (ISPA); Centre National de la Recherche Scientifique (CNRS); CNRS - Institute of Ecology &amp; Environment (INEE); Justus Liebig University Giessen; Universidade do Porto</t>
  </si>
  <si>
    <t>McInnes, JC (corresponding author), Univ Tasmania, Inst Marine &amp; Antarctic Studies, Hobart, Tas, Australia.</t>
  </si>
  <si>
    <t>julie.mcinnes@utas.edu.au</t>
  </si>
  <si>
    <t>Weimerskirch, Henri/F-5562-2013; Deagle, Bruce E/R-2999-2019; Weimerskirch, Henri/K-7306-2019; McInnes, Julie C/C-2865-2014; Lea, Mary-Anne/E-9054-2013; Catry, Paulo/I-5408-2013; Jarman, Simon/H-9265-2016</t>
  </si>
  <si>
    <t>Deagle, Bruce E/0000-0001-7651-3687; Weimerskirch, Henri/0000-0002-0457-586X; Lea, Mary-Anne/0000-0001-8318-9299; Suazo, Cristian/0000-0003-3336-3660; Catry, Paulo/0000-0003-3000-0522; Jarman, Simon/0000-0002-0792-9686; McInnes, Julie/0000-0001-8902-5199</t>
  </si>
  <si>
    <t>Australian Antarctic Science Grant [4014, 4112]; Winifred Violet Scott Charitable Trust; Falkland Islands Government; FCT-Portugal [UID/MAR/04292/2013]; NERC [bas0100035] Funding Source: UKRI; Natural Environment Research Council [bas0100035] Funding Source: researchfish</t>
  </si>
  <si>
    <t>Australian Antarctic Science Grant; Winifred Violet Scott Charitable Trust; Falkland Islands Government; FCT-Portugal(Fundacao para a Ciencia e a Tecnologia (FCT)); NERC(UK Research &amp; Innovation (UKRI)Natural Environment Research Council (NERC)); Natural Environment Research Council(UK Research &amp; Innovation (UKRI)Natural Environment Research Council (NERC))</t>
  </si>
  <si>
    <t>Australian Antarctic Science Grant, Grant/Award Number: 4014 and 4112; Winifred Violet Scott Charitable Trust; Falkland Islands Government; FCT-Portugal, Grant/Award Number: UID/MAR/04292/2013</t>
  </si>
  <si>
    <t>0962-1083</t>
  </si>
  <si>
    <t>1365-294X</t>
  </si>
  <si>
    <t>MOL ECOL</t>
  </si>
  <si>
    <t>Mol. Ecol.</t>
  </si>
  <si>
    <t>10.1111/mec.14245</t>
  </si>
  <si>
    <t>Biochemistry &amp; Molecular Biology; Ecology; Evolutionary Biology</t>
  </si>
  <si>
    <t>Biochemistry &amp; Molecular Biology; Environmental Sciences &amp; Ecology; Evolutionary Biology</t>
  </si>
  <si>
    <t>FI1TL</t>
  </si>
  <si>
    <t>WOS:000411717300019</t>
  </si>
  <si>
    <t>Verheye, ML; Backeljau, T; d'Acoz, CD</t>
  </si>
  <si>
    <t>Verheye, Marie L.; Backeljau, Thierry; d'Acoz, Cedric d'Udekem</t>
  </si>
  <si>
    <t>Locked in the icehouse: Evolution of an endemic Epimeria (Amphipoda, Crustacea) species flock on the Antarctic shelf</t>
  </si>
  <si>
    <t>MOLECULAR PHYLOGENETICS AND EVOLUTION</t>
  </si>
  <si>
    <t>Amphipoda; Southern ocean; Historical biogeography; Phylogeny; Divergence times; Diversification</t>
  </si>
  <si>
    <t>DETECTING TEMPORAL SHIFTS; SOUTHERN-OCEAN; ICE-SHEET; CLIMATE-CHANGE; DIVERSIFICATION RATES; MOLECULAR PHYLOGENIES; DRAKE PASSAGE; GENUS EPIMERIA; GLOBAL CLIMATE; BENTHIC FAUNA</t>
  </si>
  <si>
    <t>The Antarctic shelf s marine biodiversity has been greatly influenced by the climatic and glacial history of the region. Extreme temperature changes led to the extinction of some lineages, while others adapted and flourished. The amphipod genus Epimeria is an example of the latter, being particularly diverse. in the Antarctic region. By reconstructing a time-calibrated phylogeny based on mitochondrial (COI) and nuclear (28S and H3) markers and including Epimeria species from all oceans, this study provides a temporal and geographical framework for the evolution of Antarctic Epimeria. The monophyly of this genus is not supported by Bayesian Inference, as Antarctic and non-Antarctic Epimeria form two distinct well supported clades, with Antarctic Epimeria being a sister Glade to two stilipedid species. The monophyly of Antarctic Epimeria suggests that this Glade evolved in isolation since its origin. While the precise timing of this origin remains unclear, it is inferred that the Antarctic lineage arose from a late Gondwanan ancestor and hence did not colonize the Antarctic region after the continent broke apart from the other fragments of Gondwanaland. The initial diversification of the Glade occurred 38.04 Ma (95% HPD [48.46 Ma; 28.36 Ma]) in a cooling environment. Adaptation to cold waters, along with the extinction of cold-intolerant taxa and resulting ecological opportunities, likely led to the successful diversification of Epimeria on the Antarctic shelf. However, there was neither evidence of a rapid lineage diversification early in the Glade's history, nor of any shifts in diversification rates induced by glacial cycles. This suggests that a high turnover rate on the repeatedly scoured Antarctic shelf could have masked potential signals of diversification bursts. (C) 2017 Elsevier Inc. All rights reserved.</t>
  </si>
  <si>
    <t>[Verheye, Marie L.; Backeljau, Thierry; d'Acoz, Cedric d'Udekem] Royal Belgian Inst Nat Sci, OD Taxon &amp; Phylogeny, Rue Vautier 29, B-1000 Brussels, Belgium; [Verheye, Marie L.] Catholic Univ Louvain la Neuve, Dept Biol, Marine Biol Lab, Croix Sud 3 Bte L7-06-04, B-1348 Louvain La Neuve, Belgium; [Backeljau, Thierry] Univ Antwerp, Evolutionary Ecol Grp, Univ Pl 1, B-2160 Antwerp, Belgium</t>
  </si>
  <si>
    <t>Royal Belgian Institute of Natural Sciences; Universite Catholique Louvain; University of Antwerp</t>
  </si>
  <si>
    <t>Verheye, ML (corresponding author), Royal Belgian Inst Nat Sci, OD Taxon &amp; Phylogeny, Rue Vautier 29, B-1000 Brussels, Belgium.</t>
  </si>
  <si>
    <t>marie.verheye@naturalsciences.be</t>
  </si>
  <si>
    <t>F.R.I.A. (F. N.R.S., Belgium); Digit 3 program of BELSPO; Fonds Leopold III; Institut polaire francais Paul Emile Victor (IPEV); Museum national d'Histoire naturelle (MNHN); CAML-CEAMARC cruise of RSV Aurora Australis (IPY) [53]; Australian Antarctic Division; Japanese Science Foundation; IPEV (project ICOTA); CONACyT, Mexico [179467]; French Ministry of Foreign Affairs; Total Foundation; Prince Albert II of Monaco Foundation; Stavros Niarchos Foundation; Richard Lounsbery Foundation</t>
  </si>
  <si>
    <t>F.R.I.A. (F. N.R.S., Belgium)(Fonds de la Recherche Scientifique - FNRS); Digit 3 program of BELSPO; Fonds Leopold III; Institut polaire francais Paul Emile Victor (IPEV); Museum national d'Histoire naturelle (MNHN); CAML-CEAMARC cruise of RSV Aurora Australis (IPY); Australian Antarctic Division; Japanese Science Foundation; IPEV (project ICOTA); CONACyT, Mexico(Consejo Nacional de Ciencia y Tecnologia (CONACyT)); French Ministry of Foreign Affairs; Total Foundation(Total SA); Prince Albert II of Monaco Foundation; Stavros Niarchos Foundation; Richard Lounsbery Foundation</t>
  </si>
  <si>
    <t>This work was supported by a Ph.D. fellowship from F.R.I.A. (F. N.R.S., Belgium). The last author was funded by the Digit 3 program of BELSPO. We thank the Alfred-Wegener-Institut, Helmholtz-Zentrumfar Polar- und Meeresforschung (AWI) and the captain, crew and chief scientists of various R.V. Polarstern expeditions for their efficiency, as well as present and past colleagues of the staff of the Royal Belgian Institute of Natural Sciences (RBINS), especially Henri Robert and Charlotte Havermans, for collecting specimens on board. The travel expenses of the first and last authors during ANT-XXIX/3 were funded by the Fonds Leopold III. The research program led by Guillaume Lecointre, REVOLTA 1124, supported by the Institut polaire francais Paul Emile Victor (IPEV) and the Museum national d'Histoire naturelle (MNHN), and the CAML-CEAMARC cruise of RSV Aurora Australis (IPY project no. 53), supported by the Australian Antarctic Division, the Japanese Science Foundation and the IPEV (project ICOTA), are acknowledged for providing extensive Antarctic material. The Melanesian specimens used in this study were collected during various deep-sea cruises, conducted respectively by MNHN and Institut de Recherche pour le Developpement (IRD) as part of the Tropical Deep-Sea Benthos programme (http://expeditions.mnhn. fr/program/tropicaldeep-seabenthos). Funders and sponsors include the French Ministry of Foreign Affairs, the Total Foundation, Prince Albert II of Monaco Foundation, Stavros Niarchos Foundation, and Richard Lounsbery Foundation. We thank Laure Corbari (MNHN) for giving us access to this material. The mexican specimens used in this study were collected aboard the RV El Puma. Ship time was provided by the Coordinacion de la Investigacion Cientifica, UNAM, and partly supported by CONACyT (project 179467), Mexico. We also thank the University Centre in Svalbard (UNIS) for specimens collected aboard the RV Helmer Hanssen. This publication is registered as CAML (Census of Antarctic Marine Life) publication No. 166, contribution No. 12 to vERSO and contribution No. 215 to ANDEEP. We are also grateful to Zohra Elouaazizi (RBINS), Karin Breugelmans (RBINS) and Gontran Sonet (RBINS-JEMU) for helpful methodological advices. TB contributed to this manuscript on behalf of the Joint Experimental Molecular Unit (RBINS-JEMU) and the FWO Research Community W0.009.11N Belgian Network for DNA Barcoding (BeBoL).</t>
  </si>
  <si>
    <t>1055-7903</t>
  </si>
  <si>
    <t>1095-9513</t>
  </si>
  <si>
    <t>MOL PHYLOGENET EVOL</t>
  </si>
  <si>
    <t>Mol. Phylogenet. Evol.</t>
  </si>
  <si>
    <t>10.1016/j.ympev.2017.05.013</t>
  </si>
  <si>
    <t>Biochemistry &amp; Molecular Biology; Evolutionary Biology; Genetics &amp; Heredity</t>
  </si>
  <si>
    <t>FD1OQ</t>
  </si>
  <si>
    <t>WOS:000407307000002</t>
  </si>
  <si>
    <t>Vaux, F; Hills, SFK; Marshall, BA; Trewick, SA; Morgan-Richards, M</t>
  </si>
  <si>
    <t>Vaux, Felix; Hills, Simon F. K.; Marshall, Bruce A.; Trewick, Steven A.; Morgan-Richards, Mary</t>
  </si>
  <si>
    <t>A phylogeny of Southern Hemisphere whelks (Gastropoda: Buccinulidae) and concordance with the fossil record</t>
  </si>
  <si>
    <t>Buccinulum; Buccinidae; Kelletia; Marine snail; Penion; Systematics</t>
  </si>
  <si>
    <t>NEW-ZEALAND; MOLECULAR PHYLOGENY; MITOCHONDRIAL-DNA; MARINE SNAIL; GENE FLOW; DISPERSAL; NEOGASTROPODA; BUCCINIDAE; DIVERSITY; INSIGHTS</t>
  </si>
  <si>
    <t>Under current marine snail taxonomy, the majority of whelks from the Southern Hemisphere (Buccinulidae) are hypothesised to represent a monophyletic Glade that has evolved independently from Northern Hemisphere taxa (Buccinidae). Phylogenetic analysis of mitochondrial genomic and nuclear ribosomal DNA sequence data indicates that Southern Hemisphere taxa are not monophyletic, and results suggest that dispersal across the equator has occurred in both directions. New Zealand buccinulid whelks, noted for their high endemic diversity, are also found to not be monophyletic. Using independent fossil calibrations, estimated genetic divergence dates show remarkable concordance with the fossil record of the Penion and Kelletia. The divergence dates and the geographic distribution of the genera through time implies that some benthic marine snails are capable of dispersal over long distances, despite varied developmental strategies. Phylogenetic results also indicate that one species, P. benthicolus belongs in Antarctoneptunea. (C) 2017 Elsevier Inc. All rights reserved.</t>
  </si>
  <si>
    <t>[Vaux, Felix; Hills, Simon F. K.; Trewick, Steven A.; Morgan-Richards, Mary] Massey Univ, Inst Agr &amp; Environm, Ecol Grp, Palmerston North, New Zealand; [Marshall, Bruce A.] Natl Museum New Zealand Te Papa Tongarewa, Wellington, New Zealand</t>
  </si>
  <si>
    <t>Massey University</t>
  </si>
  <si>
    <t>Vaux, F (corresponding author), Massey Univ, Inst Agr &amp; Environm, Ecol Grp, Palmerston North, New Zealand.</t>
  </si>
  <si>
    <t>f.vaux@massey.ac.nz</t>
  </si>
  <si>
    <t>Hills, Simon F K/L-3244-2016; Vaux, Felix/V-6883-2019</t>
  </si>
  <si>
    <t>Hills, Simon F K/0000-0002-9115-0375; Vaux, Felix/0000-0002-2882-7996; Trewick, Steven/0000-0002-4680-8457; Morgan-Richards, Mary/0000-0002-3913-9814</t>
  </si>
  <si>
    <t>Royal Society of New Zealand Te Aparangi Marsden Fund grant [12-MAU-008]; Ministry of Business, Innovation and Employment Te Tipu Putaiao Postdoctoral Fellowship [CONT-22922-TTP-MAU]; Department Of Conservation Taxonomic and Threat Status Information fund [RIF 4718]; New Zealand Government under New Zealand International Polar Year Census of Antarctic Marine Life Project [TAN0802, So001IPY, IPY2007-01]; Ministry of Fisheries [TAN0402]</t>
  </si>
  <si>
    <t>Royal Society of New Zealand Te Aparangi Marsden Fund grant(Royal Society of New Zealand); Ministry of Business, Innovation and Employment Te Tipu Putaiao Postdoctoral Fellowship(New Zealand Ministry of Business, Innovation and Employment (MBIE)); Department Of Conservation Taxonomic and Threat Status Information fund; New Zealand Government under New Zealand International Polar Year Census of Antarctic Marine Life Project; Ministry of Fisheries</t>
  </si>
  <si>
    <t>This work was supported by the Royal Society of New Zealand Te Aparangi Marsden Fund grant (12-MAU-008), a Ministry of Business, Innovation and Employment Te Tipu Putaiao Postdoctoral Fellowship (CONT-22922-TTP-MAU), and a funding contribution from the Department Of Conservation Taxonomic and Threat Status Information fund (RIF 4718).; This work includes samples collected as part of two Antarctic survey projects: TAN0402: A biodiversity survey financed by the former New Zealand Ministry of Fisheries.; TAN0802: Funded by the New Zealand Government under the New Zealand International Polar Year Census of Antarctic Marine Life Project (Phase 1: So001IPY; Phase 2; IPY2007-01).</t>
  </si>
  <si>
    <t>10.1016/j.ympev.2017.06.018</t>
  </si>
  <si>
    <t>WOS:000407307000028</t>
  </si>
  <si>
    <t>Hoppe, P; Leitner, J; Kodolányi, J</t>
  </si>
  <si>
    <t>Hoppe, Peter; Leitner, Jan; Kodolanyi, Janos</t>
  </si>
  <si>
    <t>The stardust abundance in the local interstellar cloud at the birth of the Solar System</t>
  </si>
  <si>
    <t>NATURE ASTRONOMY</t>
  </si>
  <si>
    <t>PRESOLAR SILICATE GRAINS; INTERPLANETARY DUST; METEORITES; STARS; DISTRIBUTIONS; DESTRUCTION; CHONDRITES; EVOLUTION; ORIGINS; RICH</t>
  </si>
  <si>
    <t>Primitive Solar System materials, such as certain types of meteorites, interplanetary dust particles and cometary matter, contain small quantities of refractory dust grains that are older than our Solar System. These 'presolar grains' condensed in the winds of evolved stars and in the ejecta of stellar explosions, and they were part of the interstellar gas and dust cloud from which our Solar System formed 4.57 billion years ago(1). Interstellar dust is not only stardust but forms in the interstellar medium as well, predominantly as silicates, and, to a lesser extent, as carbonaceous dust and iron particles(2). Presolar grains represent a sample of stardust, and their abundances in primitive Solar System materials can be used to constrain the fraction of stardust among interstellar dust. Here we show that the size distribution of presolar silicates follows that observationally derived for interstellar dust, at least in the diameter range 100-500 nm, that current estimates of presolar grain abundances (mass fractions) are at least a factor of 2 too low, and that several per cent of the interstellar dust in the interstellar cloud pre-dating our Solar System was stardust, making it a minor but still important ingredient of the starting material from which our Solar System formed.</t>
  </si>
  <si>
    <t>[Hoppe, Peter; Leitner, Jan; Kodolanyi, Janos] Max Planck Inst Chem, Hahn Meitner Weg 1, D-55128 Mainz, Germany</t>
  </si>
  <si>
    <t>Max Planck Society</t>
  </si>
  <si>
    <t>Hoppe, P (corresponding author), Max Planck Inst Chem, Hahn Meitner Weg 1, D-55128 Mainz, Germany.</t>
  </si>
  <si>
    <t>peter.hoppe@mpic.de</t>
  </si>
  <si>
    <t>Hoppe, Peter/B-3032-2015; Leitner, Jan/A-7391-2015</t>
  </si>
  <si>
    <t>Hoppe, Peter/0000-0003-3681-050X; Leitner, Jan/0000-0003-3655-6273</t>
  </si>
  <si>
    <t>National Science Foundation; NASA; Max Planck Society; Deutsche Forschungsgemeinschaft [LE3279/1-1]</t>
  </si>
  <si>
    <t>National Science Foundation(National Science Foundation (NSF)); NASA(National Aeronautics &amp; Space Administration (NASA)); Max Planck Society(Max Planck Society); Deutsche Forschungsgemeinschaft(German Research Foundation (DFG))</t>
  </si>
  <si>
    <t>We thank E. Groner and A. Sorowka for technical support, the Natural History Museum in Vienna for the loan of the Acfer 094 sample, and ANSMET for the loan of the QUE 99177 and MET 00426 samples. US Antarctic meteorite samples are recovered by the Antarctic Search for Meteorites (ANSMET) program funded by the National Science Foundation and NASA, and characterized and curated by the Department of Mineral Sciences of the Smithsonian Institution and Astromaterials Curation Office at NASA Johnson Space Center. This work was supported by the Max Planck Society and the Deutsche Forschungsgemeinschaft (grant LE3279/1-1 to J.L.).</t>
  </si>
  <si>
    <t>2397-3366</t>
  </si>
  <si>
    <t>NAT ASTRON</t>
  </si>
  <si>
    <t>Nat. Astron.</t>
  </si>
  <si>
    <t>10.1038/s41550-017-0215-0</t>
  </si>
  <si>
    <t>FM7OL</t>
  </si>
  <si>
    <t>WOS:000415268900001</t>
  </si>
  <si>
    <t>Bergstrom, DM</t>
  </si>
  <si>
    <t>Bergstrom, Dana M.</t>
  </si>
  <si>
    <t>Ecosystem shift after a hot event</t>
  </si>
  <si>
    <t>EAST ANTARCTICA; CLIMATE-CHANGE</t>
  </si>
  <si>
    <t>[Bergstrom, Dana M.] Australian Antarctic Div, 203 Channel Highway, Kingston, Tas 7050, Australia</t>
  </si>
  <si>
    <t>Bergstrom, DM (corresponding author), Australian Antarctic Div, 203 Channel Highway, Kingston, Tas 7050, Australia.</t>
  </si>
  <si>
    <t>Dana.Bergstrom@aad.gov.au</t>
  </si>
  <si>
    <t>Bergstrom, Dana/AAC-2837-2022</t>
  </si>
  <si>
    <t>Bergstrom, Dana/0000-0001-8484-8954</t>
  </si>
  <si>
    <t>10.1038/s41559-017-0262-z</t>
  </si>
  <si>
    <t>WOS:000417190400010</t>
  </si>
  <si>
    <t>Gooseff, MN; Barrett, JE; Adams, BJ; Doran, PT; Fountain, AG; Lyons, WB; McKnight, DM; Priscu, JC; Sokol, ER; Takacs-Vesbach, C; Vandegehuchte, ML; Virginia, RA; Wall, DH</t>
  </si>
  <si>
    <t>Gooseff, Michael N.; Barrett, John E.; Adams, Byron J.; Doran, Peter T.; Fountain, Andrew G.; Lyons, W. Berry; McKnight, Diane M.; Priscu, John C.; Sokol, Eric R.; Takacs-Vesbach, Cristina; Vandegehuchte, Martijn L.; Virginia, Ross A.; Wall, Diana H.</t>
  </si>
  <si>
    <t>Decadal ecosystem response to an anomalous melt season in a polar desert in Antarctica</t>
  </si>
  <si>
    <t>RECENT CLIMATE-CHANGE; DRY VALLEY STREAMS; LIFE-CYCLE; THRESHOLDS; MARINE; ALASKA; IMPACT; EVENT; WATER</t>
  </si>
  <si>
    <t>Amplified climate change in polar regions is significantly altering regional ecosystems, yet there are few long-term records documenting these responses. The McMurdo Dry Valleys (MDV) cold desert ecosystem is the largest ice-free area of Antarctica, comprising soils, glaciers, meltwater streams and permanently ice-covered lakes. Multi-decadal records indicate that the MDV exhibited a distinct ecosystem response to an uncharacteristic austral summer and ensuing climatic shift. A decadal summer cooling phase ended in 2002 with intense glacial melt ('flood year')-a step-change in water availability triggering distinct changes in the ecosystem. Before 2002, the ecosystem exhibited synchronous behaviour: declining stream flow, decreasing lake levels, thickening lake ice cover, decreasing primary production in lakes and streams, and diminishing soil secondary production. Since 2002, summer air temperatures and solar flux have been relatively consistent, leading to lake level rise, lake ice thinning and elevated stream flow. Biological responses varied; one stream cyanobacterial mat type immediately increased production, but another stream mat type, soil invertebrates and lake primary productivity responded asynchronously a few years after 2002. This ecosystem response to a climatic anomaly demonstrates differential biological community responses to substantial perturbations, and the mediation of biological responses to climate change by changes in physical ecosystem properties.</t>
  </si>
  <si>
    <t>[Gooseff, Michael N.; McKnight, Diane M.; Sokol, Eric R.] Univ Colorado, Inst Arctic &amp; Alpine Res, Boulder, CO 80309 USA; [Barrett, John E.] Virginia Tech, Dept Biol Sci, Blacksburg, VA 24061 USA; [Adams, Byron J.] Brigham Young Univ, Dept Biol, Provo, UT 84602 USA; [Adams, Byron J.] Brigham Young Univ, Monte L Bean Museum, Provo, UT 84602 USA; [Doran, Peter T.] Louisiana State Univ, Dept Geol &amp; Geophys, Baton Rouge, LA 70803 USA; [Fountain, Andrew G.] Portland State Univ, Dept Geol, Portland, OR 97207 USA; [Lyons, W. Berry] Ohio State Univ, Sch Earth Sci, Columbus, OH 43210 USA; [Priscu, John C.] Montana State Univ, Dept Land Resources &amp; Environm Sci, Bozeman, MT 59717 USA; [Takacs-Vesbach, Cristina] Univ New Mexico, Dept Biol, Albuquerque, NM 87131 USA; [Vandegehuchte, Martijn L.; Wall, Diana H.] Colorado State Univ, Dept Biol, Ft Collins, CO 80523 USA; [Vandegehuchte, Martijn L.; Wall, Diana H.] Colorado State Univ, Sch Global Environm Sustainabil, Ft Collins, CO 80523 USA; [Vandegehuchte, Martijn L.] Swiss Fed Inst Forest Snow &amp; Landscape Res, Res Unit Community Ecol, CH-8903 Birmensdorf, Switzerland; [Vandegehuchte, Martijn L.] Univ Ghent, Dept Biol, Terr Ecol Unit, B-9000 Ghent, Belgium; [Virginia, Ross A.] Dartmouth Coll, Environm Studies Program, Hanover, NH 03755 USA</t>
  </si>
  <si>
    <t>University of Colorado System; University of Colorado Boulder; Virginia Polytechnic Institute &amp; State University; Brigham Young University; Brigham Young University; Louisiana State University System; Louisiana State University; Portland State University; University System of Ohio; Ohio State University; Montana State University System; Montana State University Bozeman; University of New Mexico; Colorado State University; Colorado State University; Swiss Federal Institutes of Technology Domain; Swiss Federal Institute for Forest, Snow &amp; Landscape Research; Ghent University; Dartmouth College</t>
  </si>
  <si>
    <t>Gooseff, MN (corresponding author), Univ Colorado, Inst Arctic &amp; Alpine Res, Boulder, CO 80309 USA.</t>
  </si>
  <si>
    <t>michael.gooseff@colorado.edu</t>
  </si>
  <si>
    <t>Wall, Diana H/F-5491-2011; Sokol, Eric R/D-3956-2011; Sokol, Eric R./HZL-4014-2023; Gooseff, Michael N/N-6087-2015; Adams, Byron/C-3808-2009; Barrett, John/D-5851-2016</t>
  </si>
  <si>
    <t>Sokol, Eric R./0000-0001-5923-0917; Gooseff, Michael N/0000-0003-4322-8315; Vandegehuchte, Martijn L./0000-0003-1283-4654; Adams, Byron/0000-0002-7815-3352; Wall, Diana H./0000-0002-9466-5235; Barrett, John/0000-0002-7610-0505</t>
  </si>
  <si>
    <t>National Science Foundation [9211773, 9813061, 9810219, 0096250, 0423595, 0832755, 1041742, 1115245]; Office of Polar Programs (OPP); Directorate For Geosciences [1115245] Funding Source: National Science Foundation</t>
  </si>
  <si>
    <t>National Science Foundation(National Science Foundation (NSF)); Office of Polar Programs (OPP); Directorate For Geosciences(National Science Foundation (NSF)NSF - Directorate for Geosciences (GEO))</t>
  </si>
  <si>
    <t>The McMurdo LTER team gratefully acknowledges the funding support from the National Science Foundation for the initial LTER grant and subsequent renewals (award numbers 9211773, 9813061, 9810219, 0096250, 0423595, 0832755, 1041742 and 1115245). We are grateful for the numerous collaborators and students who helped carry out lab and fieldwork associated with this project, and thank the logistical and helicopter support contractors who have facilitated our field research in Antarctica since 1993 through the US Antarctic Program: Antarctic Support Associates, Raytheon Polar Services, Antarctic Support Contractors and Petroleum Helicopters.</t>
  </si>
  <si>
    <t>10.1038/s41559-017-0253-0</t>
  </si>
  <si>
    <t>WOS:000417190400024</t>
  </si>
  <si>
    <t>Dornburg, A; Federman, S; Lamb, AD; Jones, CD; Near, TJ</t>
  </si>
  <si>
    <t>Dornburg, Alex; Federman, Sarah; Lamb, April D.; Jones, Christopher D.; Near, Thomas J.</t>
  </si>
  <si>
    <t>Cradles and museums of Antarctic teleost biodiversity</t>
  </si>
  <si>
    <t>CLIMATE-CHANGE; ADAPTIVE RADIATION; NOTOTHENIOID FISHES; OCEANIC ISLANDS; PENINSULA; DIVERSIFICATION; DIVERSITY; EVOLUTION; SHELF; BIOGEOGRAPHY</t>
  </si>
  <si>
    <t>Isolated in one of the most extreme marine environments on Earth, teleost fish diversity in Antarctica's Southern Ocean is dominated by one lineage: the notothenioids. Throughout the past century, the long-term persistence of this unique marine fauna has become increasingly threatened by regional atmospheric and, to a lesser extent oceanic, warming. Developing an understanding of how historical temperature shifts have shaped source-sink dynamics for Antarctica's teleost lineages provides critical insight for predicting future demographic responses to climate change. We use a combination of phylogenetic and biogeographic modelling to show that high-latitude Antarctic nearshore habitats have been an evolutionary sink for notothenioid species diversity. Contrary to expectations from island biogeographic theory, lower latitude regions of the Southern Ocean that include the northern Antarctic Peninsula and peripheral island archipelagos act as source areas to continental diversity. These peripheral areas facilitate both the generation of new species and repeated colonization of nearshore Antarctic continental regions. Our results provide historical context to contemporary trends of global climate change that threaten to invert these evolutionary dynamics.</t>
  </si>
  <si>
    <t>[Dornburg, Alex; Lamb, April D.] North Carolina Museum Nat Sci, Raleigh, NC 27601 USA; [Federman, Sarah; Near, Thomas J.] Yale Univ, Dept Ecol &amp; Evolutionary Biol, New Haven, CT 06520 USA; [Lamb, April D.] North Carolina State Univ, Dept Biol Sci, Raleigh, NC 27695 USA; [Jones, Christopher D.] Natl Marine Fisheries Serv, Southwest Fisheries Sci Ctr, NOAA, La Jolla, CA 92037 USA; [Near, Thomas J.] Yale Univ, Peabody Museum Nat Hist, New Haven, CT 06520 USA</t>
  </si>
  <si>
    <t>Yale University; North Carolina State University; National Oceanic Atmospheric Admin (NOAA) - USA; Yale University</t>
  </si>
  <si>
    <t>Dornburg, A (corresponding author), North Carolina Museum Nat Sci, Raleigh, NC 27601 USA.</t>
  </si>
  <si>
    <t>alex.dornburg@naturalsciences.org</t>
  </si>
  <si>
    <t>Near, Thomas J./K-1204-2012; Dornburg, Alex/CAF-1206-2022</t>
  </si>
  <si>
    <t>Near, Thomas J./0000-0002-7398-6670;</t>
  </si>
  <si>
    <t>North Carolina State University undergraduate research fellowship; National Science Foundation [ANT-1341661]; Bingham Oceanographic Fund of the Peabody Museum of Natural History, Yale University</t>
  </si>
  <si>
    <t>North Carolina State University undergraduate research fellowship; National Science Foundation(National Science Foundation (NSF)); Bingham Oceanographic Fund of the Peabody Museum of Natural History, Yale University</t>
  </si>
  <si>
    <t>We thank the NCSM ichthyology research unit, members of the Donoghue and Near Laboratory groups and attendees of the 2016 Verrill Medal Symposium at the Peabody Museum of Natural History for helpful discussions of this work, and K. Zapfe for help with illustrations. A.D.L was supported by a North Carolina State University undergraduate research fellowship. T.J.N was supported by the National Science Foundation (ANT-1341661) and the Bingham Oceanographic Fund of the Peabody Museum of Natural History, Yale University, and the students, staff and fellows of Saybrook College.</t>
  </si>
  <si>
    <t>10.1038/s41559-017-0239-y</t>
  </si>
  <si>
    <t>WOS:000417190400030</t>
  </si>
  <si>
    <t>Landeira, JM; Matsuno, K; Yamaguchi, A; Hirawake, T; Kikuchi, T</t>
  </si>
  <si>
    <t>Landeira, Jose M.; Matsuno, Kohei; Yamaguchi, Atsushi; Hirawake, Toru; Kikuchi, Takashi</t>
  </si>
  <si>
    <t>Abundance, development stage, and size of decapod larvae through the Bering and Chukchi Seas during summer</t>
  </si>
  <si>
    <t>Distribution; Variability; Decapod larvae; Snow crab; Arctic</t>
  </si>
  <si>
    <t>CRAB CHIONOECETES-OPILIO; RED KING CRAB; THE-GREAT BAY; SNOW CRAB; PARALITHODES-CAMTSCHATICUS; MARINE INVERTEBRATE; BRISTOL-BAY; POPULATION CONNECTIVITY; INCUBATION-TEMPERATURE; TROPHIC AMPLIFICATION</t>
  </si>
  <si>
    <t>Crustacean decapods are key components that structure the benthic ecosystems in the Subarctic/Arctic regions and support one of the largest fishery industries, but their larval dynamics are largely unknown. To investigate variability in decapod larvae community in this region, we analysed plankton samples collected during the summers of 2007 and 2008 along the southeastern Bering and Chukchi Seas. Distribution of adult population was studied using bottom trawling during 2008 cruise. Larvae of Pagurus spp., Hyas spp., and the commercially important Chionoecetes bairdi and Chionoecetes opilio were the most abundant species. The distribution of benthic adults linked to those of planktonic larvae and may favour recruitment near suitable habitats and the maintenance of the populations. Earlier larval stages of C. bairdi, C. opilio, and Hyas spp. were more abundant in 2008 than in 2007. The body size of C. opilio showed a significant latitudinal pattern, in which larger sizes occurred at higher latitudes in association with distinct temperature and food conditions. We argue that annual changes in abundance and developmental stage structure of planktonic larvae seemed to be related to the 1 month delay in the sampling period and are not determined by the contrasting environmental conditions observed in both years.</t>
  </si>
  <si>
    <t>[Landeira, Jose M.; Yamaguchi, Atsushi] Hokkaido Univ, Grad Sch Fisheries Sci, Lab Marine Biol, 3-1-1 Minatomachi, Hakodate, Hokkaido 0418611, Japan; [Landeira, Jose M.] Tokyo Univ Marine Sci &amp; Technol, Dept Ocean Sci, Minato Ku, 4-5-7 Konan, Tokyo 1088477, Japan; [Matsuno, Kohei] Australian Antarctic Div, 203 Channel Highway, Kingston, Tas 7050, Australia; [Hirawake, Toru] Hokkaido Univ, Grad Sch Fisheries Sci, Lab Marine Bioresource &amp; Environm Sensing, 3-1-1 Minato Cho, Hakodate, Hokkaido 0418611, Japan; [Kikuchi, Takashi] Japan Agcy Marine Earth Sci &amp; Technol, 2-15 Natsushima Cho, Yokosuka, Kanagawa 2370061, Japan</t>
  </si>
  <si>
    <t>Hokkaido University; Tokyo University of Marine Science &amp; Technology; Australian Antarctic Division; Hokkaido University; Japan Agency for Marine-Earth Science &amp; Technology (JAMSTEC)</t>
  </si>
  <si>
    <t>Landeira, JM (corresponding author), Hokkaido Univ, Grad Sch Fisheries Sci, Lab Marine Biol, 3-1-1 Minatomachi, Hakodate, Hokkaido 0418611, Japan.;Landeira, JM (corresponding author), Tokyo Univ Marine Sci &amp; Technol, Dept Ocean Sci, Minato Ku, 4-5-7 Konan, Tokyo 1088477, Japan.</t>
  </si>
  <si>
    <t>jm_landeira@yahoo.es</t>
  </si>
  <si>
    <t>Matsuno, Kohei/AAJ-6510-2021; Landeira, Jose Maria/AAB-2183-2019; Yamaguchi, Atsushi/A-8613-2012</t>
  </si>
  <si>
    <t>Matsuno, Kohei/0000-0001-9793-7622; Landeira, Jose Maria/0000-0001-6419-2046; Yamaguchi, Atsushi/0000-0002-5646-3608; Hirawake, Toru/0000-0003-0274-6642</t>
  </si>
  <si>
    <t>Green Network of Excellence Program's (GRENE Program) Arctic Climate Change Research Project: 'Rapid Change of the Arctic Climate System and its Global Influences'; JSPS [24248032, 24110005, PE14055, P16401]; Grants-in-Aid for Scientific Research [17H01483, 15KK0268] Funding Source: KAKEN; Austrian Science Fund (FWF) [P16401] Funding Source: Austrian Science Fund (FWF)</t>
  </si>
  <si>
    <t>Green Network of Excellence Program's (GRENE Program) Arctic Climate Change Research Project: 'Rapid Change of the Arctic Climate System and its Global Influences';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 Austrian Science Fund (FWF)(Austrian Science Fund (FWF))</t>
  </si>
  <si>
    <t>We are grateful to the captain, officers, and crews of the T/S Oshoro-Maru for their help in sample collection. Special thanks to Prof. Yasuzumi Fujimori, Hokkaido University for his advices using the bottom trawl data. This study was supported by the Green Network of Excellence Program's (GRENE Program) Arctic Climate Change Research Project: 'Rapid Change of the Arctic Climate System and its Global Influences'. This work was a part of the Arctic Challenge for Sustainability (ArCS) Project. This study was also supported by a Grant-in-Aid for Scientific Research (A) (24248032) to AY, a Grant-in-Aid for Scientific Research on Innovative Areas (24110005) to AY from the JSPS and by postdoctoral fellowships (PE14055, P16401) to JML from JSPS.</t>
  </si>
  <si>
    <t>10.1007/s00300-017-2103-6</t>
  </si>
  <si>
    <t>WOS:000410258900009</t>
  </si>
  <si>
    <t>Jazdzewska, AM; Sicinski, J</t>
  </si>
  <si>
    <t>Jazdzewska, Anna Maria; Sicinski, Jacek</t>
  </si>
  <si>
    <t>Assemblages and habitat preferences of soft bottom Antarctic Amphipoda: Admiralty Bay case study</t>
  </si>
  <si>
    <t>West Antarctic; Amphipods; Macrozoobenthos assemblages; Soft bottom; Environmental conditions</t>
  </si>
  <si>
    <t>EASTERN WEDDELL SEA; KING GEORGE ISLAND; ROSS SEA; SOUTHERN-OCEAN; SPECIES COMPOSITION; BENTHIC FAUNA; POPULATION-STRUCTURE; CONTINENTAL-SHELF; VICTORIA-LAND; DEEP-SEA</t>
  </si>
  <si>
    <t>Amphipoda belong to enormously diverse benthic invertebrate groups in the Southern Ocean, playing a very important role in the Antarctic communities. However, in the majority of ecological studies they are identified only to the order level. Rare ecological studies, where amphipods were identified to the species level, concern mainly shallow sublittoral. There is also poor knowledge about the environmental features that are important in the habitat selection by these crustaceans. The aims of this study were to recognize and describe the soft bottom sublittoral amphipod assemblages of the Antarctic fjord and observe the habitat preferences of dominant species. Additionally, we investigated the usefulness of surrogacy methods in the description of amphipod assemblages. The series of 101 quantitative samples from wide depth range (25-502 m) from Admiralty Bay were studied. The cluster analysis allowed to distinguish four assemblages representing: shallow sublittoral (A), middle sublittoral (B) and deep sublittoral (C) of central basin of the bay and Ezcurra Inlet (D) fauna. The study of habitat preferences led to the recognition of the species whose distribution depended on the depth and type of the sediment. The first group encompassed shallow water species characteristic of assemblage (A). The second set of species was related to the presence of colonial organisms identifying the assemblage (B). Third group of deep water species represented assemblage C, while the group of species preferring fine-grained sediments was found in assemblage D. The surrogacy analysis demonstrated low usefulness of this method in the description of Antarctic amphipod assemblages in non-disturbed areas.</t>
  </si>
  <si>
    <t>[Jazdzewska, Anna Maria; Sicinski, Jacek] Univ Lodz, Fac Biol &amp; Environm Protect, Dept Invertebrate Zool &amp; Hydrobiol, Lab Polar Biol &amp; Oceanobiol, 12-16 Banacha St, PL-90237 Lodz, Poland</t>
  </si>
  <si>
    <t>Jazdzewska, AM (corresponding author), Univ Lodz, Fac Biol &amp; Environm Protect, Dept Invertebrate Zool &amp; Hydrobiol, Lab Polar Biol &amp; Oceanobiol, 12-16 Banacha St, PL-90237 Lodz, Poland.</t>
  </si>
  <si>
    <t>ajazdz@biol.uni.lodz.pl</t>
  </si>
  <si>
    <t>Sicinski, Jacek/P-2033-2017; Jazdzewska, Anna/AAK-4697-2020</t>
  </si>
  <si>
    <t>Jazdzewska, Anna/0000-0003-2529-0641; Sicinski, Jacek/0000-0002-5235-3188</t>
  </si>
  <si>
    <t>Polish Ministry of Science and Higher Education [51/N-IPY/2007/0]; University of Lodz; European Union</t>
  </si>
  <si>
    <t>Polish Ministry of Science and Higher Education(Ministry of Science and Higher Education, Poland); University of Lodz; European Union(European Union (EU))</t>
  </si>
  <si>
    <t>The authors thank the participants of the IX Polish Antarctic Expedition for assistance during the sampling and the staff of the Department of Invertebrate Zoology and Hydrobiology, University of Lodz for help in sample sorting. This study was supported by the Polish Ministry of Science and Higher Education (51/N-IPY/2007/0) and partially from the internal funds of the University of Lodz. Part of the identification was done during two visits of the senior author in Institut royal des Sciences naturelles de Belgique, Brussels which were granted by SYNTHESYS programme (The European Union-funded Integrated Infrastructure Initiative grant). We thank also Krzysztof Pabis for fruitful discussions during preparation of the manuscript, the reviewers for constructive critiques and Joanna Leszczynska who has done the language correction of the text.</t>
  </si>
  <si>
    <t>10.1007/s00300-017-2107-2</t>
  </si>
  <si>
    <t>WOS:000410258900012</t>
  </si>
  <si>
    <t>Rosa, R; Lopes, VM; Guerreiro, M; Bolstad, K; Xavier, JC</t>
  </si>
  <si>
    <t>Rosa, Rui; Lopes, Vanessa M.; Guerreiro, Miguel; Bolstad, Kathrin; Xavier, Jose C.</t>
  </si>
  <si>
    <t>Biology and ecology of the world's largest invertebrate, the colossal squid (Mesonychoteuthis hamiltoni): a short review</t>
  </si>
  <si>
    <t>Colossal squid; Mesonychoteuthis hamiltoni; Cranchiids; Southern Ocean; Gigantism</t>
  </si>
  <si>
    <t>ANTARCTIC POLAR FRONT; SOUTHERN-OCEAN CEPHALOPODS; ALBATROSS DIOMEDEA-EXULANS; PREDATOR-PREY INTERACTIONS; SURFACE TEMPERATURE DATA; GREY-HEADED ALBATROSSES; GIANT-SQUID; WANDERING ALBATROSS; STABLE-ISOTOPE; DISSOSTICHUS-ELEGINOIDES</t>
  </si>
  <si>
    <t>The colossal squid Mesonychoteuthis hamiltoni (Robson 1925) is the largest (heaviest) living invertebrate and although it is preyed upon by many top predators, its basic biology and ecology remain one of the ocean's great mysteries. The present study aims to review the current biological knowledge on this squid. It is considered to be endemic in the Southern Ocean (SO) with a circumpolar distribution spreading from the Antarctic continent up to the Sub-Antarctic Front. Small juveniles (&lt; 40 mm mantle length) are mainly found from the surface to 500 m, and the late juvenile stages are assumed to undergo ontogenetic descent to depths reaching 2000 m. Thus, this giant spends most of its life in the meso- and bathypelagic realms, where it can reach a total length of 6 m. The maximum weight recorded so far was 495 kg. M. hamiltoni is presently reported from the diets of 17 different predator species, comprising penguins and other seabirds, fishes and marine mammals, and may feed on various prey types, including myctophids, Patagonian toothfish, sleeper sharks and other squid. Stable isotopic analysis places the colossal squid as one of the top predators in the SO. It is assumed that this squid is not capable of high-speed predator-prey interactions, but it is rather an ambush predator. Its eyes, the largest on the planet, seem to have evolved to detect very large predators (e.g., sperm whales) rather than to detect prey at long distances. The study of this unique invertebrate giant constitutes a valuable source of insight into the biophysical principles behind body-size evolution.</t>
  </si>
  <si>
    <t>[Rosa, Rui; Lopes, Vanessa M.; Guerreiro, Miguel] Univ Lisbon, Fac Ciencias, MARE Marine Environm Sci Ctr, Lab Maritimo Guia, Lisbon, Portugal; [Bolstad, Kathrin] Auckland Univ Technol, Sch Sci, Inst Appl Ecol New Zealand, Auckland, New Zealand; [Xavier, Jose C.] Univ Coimbra, MARE Marine &amp; Environm Sci Ctr MARE, Dept Life Sci, P-3004517 Coimbra, Portugal; [Xavier, Jose C.] NERC, British Antarctic Survey, Madingley Rd, Cambridge CB3 0ET, England</t>
  </si>
  <si>
    <t>Universidade de Lisboa; Auckland University of Technology; Universidade de Coimbra; UK Research &amp; Innovation (UKRI); Natural Environment Research Council (NERC); NERC British Antarctic Survey</t>
  </si>
  <si>
    <t>Rosa, R (corresponding author), Univ Lisbon, Fac Ciencias, MARE Marine Environm Sci Ctr, Lab Maritimo Guia, Lisbon, Portugal.</t>
  </si>
  <si>
    <t>rrosa@fc.ul.pt</t>
  </si>
  <si>
    <t>Xavier, José/KFB-6739-2024; Guerreiro, Miguel/D-8651-2015; Lopes, Vanessa/L-3625-2019; Rosa, Rui/A-4580-2009</t>
  </si>
  <si>
    <t>Guerreiro, Miguel/0000-0002-0735-9812; Lopes, Vanessa/0000-0001-8276-4490; Rosa, Rui/0000-0003-2801-5178; /0000-0002-9621-6660</t>
  </si>
  <si>
    <t>FCT [MARE-UID/MAR/04292/2013]; Investigator FCT program [IF/00616/2013, IF/01373/2013]; Foundation for Science and Technology (Portugal); NERC [bas010011] Funding Source: UKRI; Natural Environment Research Council [bas010011] Funding Source: researchfish</t>
  </si>
  <si>
    <t>FCT(Fundacao para a Ciencia e a Tecnologia (FCT)); Investigator FCT program(Fundacao para a Ciencia e a Tecnologia (FCT)); Foundation for Science and Technology (Portugal)(Fundacao para a Ciencia e a Tecnologia (FCT)); NERC(UK Research &amp; Innovation (UKRI)Natural Environment Research Council (NERC)); Natural Environment Research Council(UK Research &amp; Innovation (UKRI)Natural Environment Research Council (NERC))</t>
  </si>
  <si>
    <t>This study benefited from the strategic program of MARE, financed by FCT (MARE-UID/MAR/04292/2013). JX is supported by the Investigator FCT program (IF/00616/2013) and by the Foundation for Science and Technology (Portugal) and is associated to SCAR AnT-ERA, SCAR EGBAMM, ICED, BAS-CEPH programs. RR is supported by the Investigator FCT program (IF/01373/2013).</t>
  </si>
  <si>
    <t>10.1007/s00300-017-2104-5</t>
  </si>
  <si>
    <t>WOS:000410258900013</t>
  </si>
  <si>
    <t>Bombosch, A; Solovyev, B</t>
  </si>
  <si>
    <t>Bombosch, Annette; Solovyev, Boris</t>
  </si>
  <si>
    <t>Weddell seal (Leptonychotes weddellii) killing Gentoo Penguin (Pygoscelis papua) at Neko Harbour, Antarctic Peninsula</t>
  </si>
  <si>
    <t>Weddell seal (Leptonychotes weddellii); Gentoo Penguin (Pygoscelis papua); Antarctic Peninsula; Foraging ecology; Behavior</t>
  </si>
  <si>
    <t>ADELIE PENGUINS; PREDATION; DIET; COMMON; ISLAND</t>
  </si>
  <si>
    <t>Weddell seals (Leptonychotes weddellii) typically prey on fish, cephalopods, and invertebrates. While other seal species also include penguins as part of their regular diet, such as leopard seals, this behavior seems unusual for Weddell seals. Here, we describe an opportunistic observation of a Weddell seal attacking and killing a Gentoo Penguin (Pygoscelis papua) at Neko Harbour, Antarctic Peninsula. This behavior has rarely been observed and published. Yet, we collected several additional anecdotal observations from various regions around Antarctica, indicating that this behavior might be more common than previously assumed, challenging our current understanding of Weddell seal foraging ecology.</t>
  </si>
  <si>
    <t>[Bombosch, Annette] Marybio Fdn, Alvarez Thomas 3550,3 A, RA-1431 Buenos Aires, DF, Argentina; [Solovyev, Boris] Russian Acad Sci, AN Severtsov Inst Ecol &amp; Evolut, Leninsky Ave 33, Moscow 119071, Russia</t>
  </si>
  <si>
    <t>Russian Academy of Sciences; Saratov Scientific Center of the Russian Academy of Sciences; Severtsov Institute of Ecology &amp; Evolution</t>
  </si>
  <si>
    <t>Bombosch, A (corresponding author), Marybio Fdn, Alvarez Thomas 3550,3 A, RA-1431 Buenos Aires, DF, Argentina.</t>
  </si>
  <si>
    <t>annette.bombosch@gmail.com</t>
  </si>
  <si>
    <t>Solovyev, Boris/0000-0002-8328-8040</t>
  </si>
  <si>
    <t>10.1007/s00300-016-2070-3</t>
  </si>
  <si>
    <t>WOS:000410258900016</t>
  </si>
  <si>
    <t>Bester, MN; Bester, WA; Wege, M; Schofield, RA; Glass, TA</t>
  </si>
  <si>
    <t>Bester, M. N.; Bester, W. A.; Wege, M.; Schofield, R. A.; Glass, T. A.</t>
  </si>
  <si>
    <t>Vagrant leopard seal at Tristan da Cunha Island, South Atlantic</t>
  </si>
  <si>
    <t>Leopard seal; Tristan da Cunha Island; Southern Ocean</t>
  </si>
  <si>
    <t>HYDRURGA-LEPTONYX; GOUGH ISLAND; COAST</t>
  </si>
  <si>
    <t>Leopard seals Hydrurga leptonyx breed in the Antarctic pack ice, but individuals may wander farther north. Only two records exist from Gough Island (40A degrees S, 10A degrees W) situated 360 km to the SW of Tristan da Cunha Island, in the central South Atlantic Ocean. We report the first record from Tristan da Cunha (37A degrees S, 12A degrees W) in September 2016. The juvenile male was lean, in poor condition, and had minor injuries. Its hindquarters were covered in stalked barnacles, which suggest that it had spent a long period at sea.</t>
  </si>
  <si>
    <t>[Bester, M. N.; Bester, W. A.; Wege, M.] Univ Pretoria, Mammal Res Inst, Dept Zool &amp; Entomol, Private Bag X20, ZA-0028 Pretoria, South Africa; [Schofield, R. A.] RSPB, Sandy SG19 2DL, Beds, England; [Glass, T. A.] Tristan Cunha Conservat Dept, Edinburgh, Tristan Da Cunh, Scotland</t>
  </si>
  <si>
    <t>University of Pretoria; Royal Society for Protection of Birds</t>
  </si>
  <si>
    <t>Bester, MN (corresponding author), Univ Pretoria, Mammal Res Inst, Dept Zool &amp; Entomol, Private Bag X20, ZA-0028 Pretoria, South Africa.</t>
  </si>
  <si>
    <t>mnbester@zoology.up.ac.za</t>
  </si>
  <si>
    <t>Wege, Mia/B-1103-2016; Bester, Marthán N/E-5387-2010</t>
  </si>
  <si>
    <t>Wege, Mia/0000-0002-9022-3069;</t>
  </si>
  <si>
    <t>10.1007/s00300-017-2073-8</t>
  </si>
  <si>
    <t>WOS:000410258900017</t>
  </si>
  <si>
    <t>Turney, CSM</t>
  </si>
  <si>
    <t>Turney, Chris S. M.</t>
  </si>
  <si>
    <t>Why didn't they ask Evans?</t>
  </si>
  <si>
    <t>Arguably the best known scientific Antarctic venture was the British Antarctic Expedition of 1911-1913 led by Captain Robert Falcon Scott. Whilst the so-called race to the geographic South Pole with Roald Amundsen's Norwegian Antarctic expedition excited international interest, the tragic death of Scott and his returning Polar Party was a striking reminder of the hazards of operating in the south. Recent work has highlighted the possible role expedition second-in-command Lieutenant Edward 'Teddy' Evans played in the deaths of Scott and his men. Here I report newly discovered documents which, when placed in a wider context, raise significant questions over Evans' behaviour during the expedition. The evidence focuses on the shortage of food at key depots, the apparently deliberate obfuscation of when Evans fell down with scurvy and the failure to pass on orders given by Scott. It is concluded that Evans actions on and off the ice can at best be described as ineffectual, at worst deliberate sabotage. Why Evans was not questioned more about these events on his return to England remains unknown.</t>
  </si>
  <si>
    <t>[Turney, Chris S. M.] Univ New South Wales, Sch Biol Earth &amp; Environm Sci BEES, Sydney, NSW 2052, Australia</t>
  </si>
  <si>
    <t>University of New South Wales Sydney</t>
  </si>
  <si>
    <t>Turney, CSM (corresponding author), Univ New South Wales, Sch Biol Earth &amp; Environm Sci BEES, Sydney, NSW 2052, Australia.</t>
  </si>
  <si>
    <t>Turney, Chris/P-8701-2018</t>
  </si>
  <si>
    <t>Turney, Chris/0000-0001-6733-0993</t>
  </si>
  <si>
    <t>10.1017/S0032247417000468</t>
  </si>
  <si>
    <t>WOS:000413169400004</t>
  </si>
  <si>
    <t>Hatvani, IG; Leuenberger, M; Kohán, B; Kern, Z</t>
  </si>
  <si>
    <t>Hatvani, Istvan Gabor; Leuenberger, Markus; Kohan, Balazs; Kern, Zoltan</t>
  </si>
  <si>
    <t>Geostatistical analysis and isoscape of ice core derived water stable isotope records in an Antarctic macro region</t>
  </si>
  <si>
    <t>delta O-18 &amp; delta H-2 records; Isoscape; Polar precipitation; Variogram analysis</t>
  </si>
  <si>
    <t>DRONNING MAUD-LAND; SNOW-ACCUMULATION RATES; SHALLOW FIRN CORES; SURFACE ACCUMULATION; PRECIPITATION; INTERPOLATION; DELTA-O-18; O-18; INFORMATION; TEMPERATURE</t>
  </si>
  <si>
    <t>Water stable isotopes preserved in ice cores provide essential information about polar precipitation. In the present study, multivariate regression and variogram analyses were conducted on 22 delta H-2 and 53 delta O-18 records from 60 ice cores covering the second half of the 20th century. Taking the multicollinearity of the explanatory variables into account, as also the model's adjusted R2 and its mean absolute error, longitude, elevation and distance from the coast were found to be the main independent geographical driving factors governing the spatial delta O-18 variability of firn/ice in the chosen Antarctic macro region. After diminishing the effects of these factors, using variography, the weights for interpolation with kriging were obtained and the spatial autocorrelation structure of the dataset was revealed. This indicates an average area of influence with a radius of 350 km. This allows the determination of the areas which are as yet not covered by the spatial variability of the existing network of ice cores. Finally, the regional isoscape was obtained for the study area, and this may be considered the first step towards a geostatistically improved isoscape for Antarctica. (C) 2017 Elsevier B.V. and NIPR. All rights reserved.</t>
  </si>
  <si>
    <t>[Hatvani, Istvan Gabor; Kern, Zoltan] Hungarian Acad Sci, Res Ctr Astron &amp; Earth Sci, Inst Geol &amp; Geochem Res, Budaorsi Ut 45, H-1112 Budapest, Hungary; [Leuenberger, Markus] Univ Bern, Phys Inst, Div Climate &amp; Environm Phys, Sidlerstr 5, CH-3012 Bern, Switzerland; [Leuenberger, Markus] Oeschger Ctr Climate Change Res, Falkenpl 16, CH-3012 Bern, Switzerland; [Kohan, Balazs] Eotvos Lorand Univ, Dept Environm &amp; Landscape Geog, Budapest, Hungary</t>
  </si>
  <si>
    <t>Hungarian Research Network; Hungarian Academy of Sciences; HUN-REN Research Centre for Astronomy &amp; Earth Sciences; Institute for Geological &amp; Geochemical Research - HAS; University of Bern; University of Bern; Eotvos Lorand University</t>
  </si>
  <si>
    <t>Hatvani, IG (corresponding author), Hungarian Acad Sci, Res Ctr Astron &amp; Earth Sci, Inst Geol &amp; Geochem Res, Budaorsi Ut 45, H-1112 Budapest, Hungary.</t>
  </si>
  <si>
    <t>hatvaniig@gmail.com; leuenberger@climate.unibe.ch; balazs.kohan@gmail.com; zoltan.kern@gmail.com</t>
  </si>
  <si>
    <t>Kohán, Balázs/AAB-1459-2019; Leuenberger, Markus C/K-9655-2016; Kern, Zoltan/C-8449-2013</t>
  </si>
  <si>
    <t>Kohán, Balázs/0000-0001-5111-0224; Leuenberger, Markus C/0000-0003-4299-6793; Kern, Zoltan/0000-0003-4900-2587; Hatvani, Istvan Gabor/0000-0002-9262-7315</t>
  </si>
  <si>
    <t>National Excellence Program - Elaborating and operating an inland student and researcher personal support system [TAMOP 4.2.4. A/1-11-1-2012-0001]; European Social Fund; MTA Lendulet program [LP2012-27/2012]; Janos Bolyai Research Scholarship of the Hungarian Academy of Sciences; European Union</t>
  </si>
  <si>
    <t>National Excellence Program - Elaborating and operating an inland student and researcher personal support system; European Social Fund(European Social Fund (ESF)); MTA Lendulet program; Janos Bolyai Research Scholarship of the Hungarian Academy of Sciences(Hungarian Academy of Sciences); European Union(European Union (EU))</t>
  </si>
  <si>
    <t>We the authors would like to thank Paul Thatcher for his work on our English version and say thanks for the stimulating discussion with Julien P. Nicolas from the Ohio State University. The work of I.G. Hatvani was supported within the framework of TAMOP 4.2.4. A/1-11-1-2012-0001 National Excellence Program - Elaborating and operating an inland student and researcher personal support system. The project was subsidized by the European Union and co-financed by the European Social Fund. Special thanks to D. Divine, C.M. Laluraj for providing access to their data and the researchers who archived their Antarctic ice core derived stable isotope data in PANGAEA. The NCEP Reanalysis data was provided by the NOAA/OAR/ESRL PSD, Boulder, Colorado, USA, from their website at http://www.esrl.noaa.gov/psd/. We would also like to give thanks for the support of the MTA Lendulet program (LP2012-27/2012) and the Janos Bolyai Research Scholarship of the Hungarian Academy of Sciences. This is contribution No. 39 of 2ka Palaeoclimate Research Group.</t>
  </si>
  <si>
    <t>10.1016/j.polar.2017.04.001</t>
  </si>
  <si>
    <t>WOS:000408673200003</t>
  </si>
  <si>
    <t>Liu, XC; Zhao, Y; Chen, H; Song, B</t>
  </si>
  <si>
    <t>Liu, Xiaochun; Zhao, Yue; Chen, Hong; Song, Biao</t>
  </si>
  <si>
    <t>New zircon U-Pb and Hf-Nd isotopic constraints on the timing of magmatism, sedimentation and metamorphism in the northern Prince Charles Mountains, East Antarctica</t>
  </si>
  <si>
    <t>PRECAMBRIAN RESEARCH</t>
  </si>
  <si>
    <t>Zircon; Magmatic age; Depositional age; Metamorphic age; Rayner orogen; East Antarctica</t>
  </si>
  <si>
    <t>AMERY ICE SHELF; PRYDZ-BAY; LU-HF; RADOK LAKE; TH-PB; METAPELITIC GRANULITES; METAVOLCANIC ROCKS; LARSEMANN HILLS; BATTYE GLACIER; RAYNER COMPLEX</t>
  </si>
  <si>
    <t>The northern Prince Charles Mountains (PCM) in East Antarctica represent the largest continuously exposed section of the Rayner Complex and may provide important insights into the tectonic evolution of the Rayner orogen. We present new U-Pb and Hf isotopic data for zircons from felsic orthogneisses, mafic granulites, paragneisses and charnockites and additional Nd isotopic data for the former two rock types from the Beaver Lake area in the northern PCM. Zircons from the felsic orthogneisses document protolith ages of ca. 1170-1070 Ma, with Hf and Nd model ages of 1.99-1.74 Ga, suggesting the generation of the felsic magmas by partial melting of crustal rocks that were extracted from the mantle during the Paleoproterozoic. Detrital zircons from one paragneiss sample yield a major age population at ca. 1480-1140 Ma and three subordinate populations at ca. 2130-1850, 1780-1620 and 1010-860 Ma, whereas those from another paragneiss sample produce a major age population at ca. 1180-830 Ma and a subordinate age population at ca. 1370-1230 Ma. Discounting the effects of zircon recrystallization during post -depositional metamorphism, we infer that the sedimentary precursors to the aforementioned paragneiss samples were deposited after ca. 1200 and 1020 Ma, respectively, in intra- or back arc basins of the Rayner continental arc. Charnockites were either emplaced at ca. 980 Ma or episodically at ca. 1050 and ca. 950 Ma, with Hf model ages of 1.97-1.90 Ga. They were derived from partial melting of a Paleoproterozoic source region similar to the surrounding felsic orthogneisses at deeper levels. Zircon overgrowth domains from all of the studied rock types indicate that high-grade metamorphism took place at ca. 945-915 Ma. Only one paragneiss sample from the Else Platform preserves evidence of Cambrian metamorphic reworking. Based on published data from the Rayner Complex and the Eastern Ghats Belt of India, we speculate that long-lived convergent processes between the Indian craton and East Antarctica lasted from ca. 1500 to 900 Ma. Therefore, the Rayner Complex may represent the exposed orogenic root of a large Meso-Neoproterozoic accretionary orogen. (C) 2017 Elsevier B.V. All rights reserved.</t>
  </si>
  <si>
    <t>[Liu, Xiaochun; Zhao, Yue; Chen, Hong] Chinese Acad Geol Sci, Inst Geomech, 11 Minzudaxue Nanlu, Beijing 100081, Peoples R China; [Song, Biao] Chinese Acad Geol Sci, Inst Geol, Beijing SHRIMP Ctr, Beijing 100037, Peoples R China</t>
  </si>
  <si>
    <t>China Geological Survey; Institute of Geomechanics, Chinese Academy of Geological Sciences; Chinese Academy of Geological Sciences; China Geological Survey; Institute of Geology, Chinese Academy of Geological Sciences; Chinese Academy of Geological Sciences</t>
  </si>
  <si>
    <t>Liu, XC (corresponding author), Chinese Acad Geol Sci, Inst Geomech, 11 Minzudaxue Nanlu, Beijing 100081, Peoples R China.</t>
  </si>
  <si>
    <t>liuxchqw@cags.ac.cn</t>
  </si>
  <si>
    <t>National Natural Science Foundation of China [41530209]; Chinese Polar Environment Comprehensive investigation &amp; Assessment Programmes [CHINARE201602-05]; Geological Investigation Project of the Chinese Geological Survey [12120113019000]</t>
  </si>
  <si>
    <t>National Natural Science Foundation of China(National Natural Science Foundation of China (NSFC)); Chinese Polar Environment Comprehensive investigation &amp; Assessment Programmes; Geological Investigation Project of the Chinese Geological Survey</t>
  </si>
  <si>
    <t>We thank Jian Liu, Yingchun Cui and James Hamilton for assistance during 12 day's fieldwork in the northern Prince Charles Mountains during the 2014-2015 Chinese National Antarctic Research Expedition. Logistic support from the Australian Antarctic Division and the Chinese Arctic and Antarctic Administration are gratefully acknowledged. Critical reviews by E. V. Mikhalsky and Yanbin Wang substantially improved the manuscript. This research was supported by the National Natural Science Foundation of China (No. 41530209), the Chinese Polar Environment Comprehensive investigation &amp; Assessment Programmes (No. CHINARE201602-05) and the Geological Investigation Project of the Chinese Geological Survey (No. 12120113019000).</t>
  </si>
  <si>
    <t>0301-9268</t>
  </si>
  <si>
    <t>1872-7433</t>
  </si>
  <si>
    <t>PRECAMBRIAN RES</t>
  </si>
  <si>
    <t>Precambrian Res.</t>
  </si>
  <si>
    <t>10.1016/j.precamres.2017.07.012</t>
  </si>
  <si>
    <t>FH8CP</t>
  </si>
  <si>
    <t>WOS:000411419700002</t>
  </si>
  <si>
    <t>Gasser, M; Pelegrí, JL; Emelianov, M; Bruno, M; Gràcia, E; Pastor, M; Peters, H; Rodríguez-Santana, A; Salvador, J; Sánchez-Leal, RF</t>
  </si>
  <si>
    <t>Gasser, Marc; Pelegri, Josep L.; Emelianov, Mikhail; Bruno, Miguel; Gracia, Eulalia; Pastor, Marcos; Peters, Hartmut; Rodriguez-Santana, Angel; Salvador, Joaquin; Sanchez-Leal, Ricardo F.</t>
  </si>
  <si>
    <t>Tracking the Mediterranean outflow in the Gulf of Cadiz</t>
  </si>
  <si>
    <t>PROGRESS IN OCEANOGRAPHY</t>
  </si>
  <si>
    <t>Mediterranean outflow water; Strait of Gibraltar; Gulf of Cadiz; Topographic steering; Bottom drainage system; Along-slope contour avenues; Down-slope erosional channels</t>
  </si>
  <si>
    <t>ANTARCTIC INTERMEDIATE WATER; NORTH-ATLANTIC; CONTINENTAL-MARGIN; GIBRALTAR; STRAIT; VARIABILITY; MODEL; OCEAN; SEA; SALINIFICATION</t>
  </si>
  <si>
    <t>The Mediterranean Water leaves the western end of the Strait of Gibraltar as a bottom wedge of salty and warm waters flowing down the continental slope. The salinity of the onset Mediterranean Outflow Water (MOW) is so high that leads to water much denser (initially in excess of 1.5 kg m(-3)) than the overlying central waters. During much of its initial descent, the MOW retains large salinity anomalies-causing density anomalies that induce its gravity current character-and relatively high westward speeds-causing a substantial Coriolis force over long portions of its course. We use hydrographic data from six cruises (a total of 1176 stations) plus velocity data from two cruises, together with high-resolution bathymetric data, to track the preferential MOW pathways from the Strait of Gibraltar into the western Gulf of Cadiz and to examine the relation of these pathways to the bottom topography. A methodology for tributary systems in drainage basins, modified to account for the Coriolis force, emphasizes the good agreement between the observed trajectories and those expected from a topographically-constrained flow. Both contour avenues and cross-slope channels are important and have complementary roles steering the MOW along the upper and middle continental slope before discharging as a neutrally buoyant flow into the western Gulf of Cadiz. Our results show that the interaction between bottom flow and topography sets the path and final equilibrium depths of the modern MOW. Furthermore, they support the hypothesis that, as a result of the high erosive power of the bottom flow and changes in bottom-water speed, the MOW pathways and mixing rates have changed in the geological past. (C) 2017 Elsevier Ltd. All rights reserved.</t>
  </si>
  <si>
    <t>[Gasser, Marc; Pelegri, Josep L.; Emelianov, Mikhail; Gracia, Eulalia; Salvador, Joaquin] CSIC, Inst Ciencies Mar, Dept Oceanog Fis &amp; Tecnol, Barcelona, Spain; [Bruno, Miguel] Univ Cadiz, Dept Fis Aplicada, Cadiz, Spain; [Pastor, Marcos] CSIC, Unitat Tecnol Marina, Barcelona, Spain; [Peters, Hartmut] Earth &amp; Space Res, Seattle, WA USA; [Rodriguez-Santana, Angel] Univ Las Palmas Gran Canaria, Dept Fis, Las Palmas Gran Canaria, Spain; [Sanchez-Leal, Ricardo F.] Ctr Oceanog Cadiz, Inst Espanol Oceanog, Cadiz, Spain</t>
  </si>
  <si>
    <t>Consejo Superior de Investigaciones Cientificas (CSIC); CSIC - Centro Mediterraneo de Investigaciones Marinas y Ambientales (CMIMA); CSIC - Instituto de Ciencias del Mar (ICM); Universidad de Cadiz; Consejo Superior de Investigaciones Cientificas (CSIC); CSIC - Centro Mediterraneo de Investigaciones Marinas y Ambientales (CMIMA); CSIC - Unidad de Tecnologia Marina (UTM); Universidad de Las Palmas de Gran Canaria; Spanish Institute of Oceanography</t>
  </si>
  <si>
    <t>Pelegrí, JL (corresponding author), CSIC, Inst Ciencies Mar, Dept Oceanog Fis &amp; Tecnol, Barcelona, Spain.</t>
  </si>
  <si>
    <t>pelegri@icm.csic.es</t>
  </si>
  <si>
    <t>Sánchez Leal, Ricardo Félix/E-1347-2012; Joaquin, Salvador/ABF-7075-2021; Pelegrí, Josep L/L-5815-2014; Rodriguez-Santana, Angel/H-8596-2015; Emelianov, Mikhail/M-1400-2014; Gràcia, Eulàlia/E-6153-2013</t>
  </si>
  <si>
    <t>Sánchez Leal, Ricardo Félix/0000-0003-0492-9186; Pelegrí, Josep L/0000-0003-0661-2190; Rodriguez-Santana, Angel/0000-0003-1960-6777; Emelianov, Mikhail/0000-0002-1459-2911;</t>
  </si>
  <si>
    <t>Spanish government, through project MOC2 [CTM2008-06438-C02-01]; Spanish government, through project MED-OUTFLOW [CTM2008-03422-E/MAR, CTM2010-11488-E]; Spanish government, through project VA-DE-RETRO [CTM2014-56987-P]</t>
  </si>
  <si>
    <t>Spanish government, through project MOC2; Spanish government, through project MED-OUTFLOW; Spanish government, through project VA-DE-RETRO</t>
  </si>
  <si>
    <t>We are grateful to captain Eduardo Otal and the crew of the R/V Garcia del Cid for their exceptional work during the MEDOUT-09 and MEDOUT-11 cruises. We are thankful to Jim Price for making available the GCE dataset, Francisco Machin for assistance with the CANIGO dataset, and Jesus Garcia Lafuente for logistic support during the MEDOUT-09 and MEDOUT-11 cruises. We are indebted to all scientists participating in the MEDOUT cruises: Aissa Benazzouz, Elisa Bruque, Jamal Chioua, Juan Jesus Gomiz, Samuel Kelly, Jonathan Nash, Mercedes Pozo, Antonio Jesus Sanchez, Jose Carlos Sanchez, Francisco Javier Soto and Agueda Vazquez. We also wish to sincerely thank Maribel Lloret, Jose Antonio Pozo and Cristina Alvarez for their technical support during the cruises, and Susana Diez for her assistance with the multibeam data processing. We thank Wolfgang Schwanghart for making available the topographic analysis functions through TopoToolbox. Finally, we are grateful to Jose Ochoa and an anonymous reviewer for a number of useful comments and suggestions, and to our editor, Enrique Curchitser, for the handling of the manuscript. This research has been carried out with the support of the Spanish government, through projects MOC2 (CTM2008-06438-C02-01), MED-OUTFLOW 2009 (CTM2008-03422-E/MAR), MED-OUTFLOW-2011 (CTM2010-11488-E) and VA-DE-RETRO (CTM2014-56987-P).</t>
  </si>
  <si>
    <t>0079-6611</t>
  </si>
  <si>
    <t>PROG OCEANOGR</t>
  </si>
  <si>
    <t>Prog. Oceanogr.</t>
  </si>
  <si>
    <t>10.1016/j.pocean.2017.05.015</t>
  </si>
  <si>
    <t>FK8XV</t>
  </si>
  <si>
    <t>WOS:000413795900004</t>
  </si>
  <si>
    <t>Borisova, TD; Blagoveshchenskaya, NF; Yeoman, TK; Häggström, I</t>
  </si>
  <si>
    <t>Borisova, T. D.; Blagoveshchenskaya, N. F.; Yeoman, T. K.; Haggstrom, I.</t>
  </si>
  <si>
    <t>EXCITATION OF ARTIFICIAL IONOSPHERIC TURBULENCE IN THE HIGH-LATITUDE IONOSPHERIC F REGION AS A FUNCTION OF THE EISCAT/HEATING EFFECTIVE RADIATED POWER</t>
  </si>
  <si>
    <t>RADIOPHYSICS AND QUANTUM ELECTRONICS</t>
  </si>
  <si>
    <t>PARAMETRIC DECAY INSTABILITY; HEATING EXPERIMENTS; RADIO-WAVES; TROMSO; IRREGULARITIES; FREQUENCY; CASCADE</t>
  </si>
  <si>
    <t>We present the results of experimental studies of the parameters of HF-enhanced ion-acoustic and Langmuir plasma waves, as well as small-scale artificial field-aligned irregularities (AFAIs) when the EISCAT/Heating effective radiated power is varied from 10 to 560 MW. In the course of the experiments, a high-power HF radio wave with the alternating ordinary (O-mode) and extraordinary (X-mode) polarizations was radiated towards the magnetic zenith at a frequency of 7.953 MHz lying below the cutoff frequency of the F-2 layer. A fundamental difference in the development of artificial ion-acoustic and Langmuir turbulence, which is seen as HF-enhanced ion and plasma lines in the EISCAT spectra, under the O- and X-mode HF pumping was found. The minimum values of the HF pump-wave electric fields in the ionosphere when the HF-enhanced ion and plasma lines, as well as small-scale artificial field-aligned irregularities, start to be excited, were determined from experimental data both for the O- and X-mode HF pumping. Comparison between the experimental and theoretical threshold values of the electric field required for the excitation of artificial ionospheric turbulence in thermal, Langmuir, and ion-acoustic modes in the high-latitude ionospheric F-2 layer for the O-mode HF pump wave was made.</t>
  </si>
  <si>
    <t>[Borisova, T. D.; Blagoveshchenskaya, N. F.] Arctic &amp; Antarctic Res Inst, St Petersburg, Russia; [Yeoman, T. K.] Univ Leicester, Leicester, Leics, England; [Haggstrom, I.] EISCAT Sci Assoc, Kiruna, Sweden</t>
  </si>
  <si>
    <t>Arctic &amp; Antarctic Research Institute; University of Leicester</t>
  </si>
  <si>
    <t>Borisova, TD (corresponding author), Arctic &amp; Antarctic Res Inst, St Petersburg, Russia.</t>
  </si>
  <si>
    <t>borisova@aari.ru</t>
  </si>
  <si>
    <t>Borisova, Tatiana/AAK-7698-2020; Yeoman, Timothy k/L-9105-2014</t>
  </si>
  <si>
    <t>Yeoman, Timothy k/0000-0002-8434-4825; Haggstrom, Ingemar/0000-0003-1070-6915; Borisova, Tatiana/0000-0003-1727-5310</t>
  </si>
  <si>
    <t>NERC [eiscat01001, NE/K011766/1] Funding Source: UKRI; Natural Environment Research Council [eiscat01001, NE/K011766/1] Funding Source: researchfish</t>
  </si>
  <si>
    <t>0033-8443</t>
  </si>
  <si>
    <t>1573-9120</t>
  </si>
  <si>
    <t>RADIOPHYS QUANT EL+</t>
  </si>
  <si>
    <t>Radiophys. Quantum Electron.</t>
  </si>
  <si>
    <t>10.1007/s11141-017-9798-7</t>
  </si>
  <si>
    <t>Engineering, Electrical &amp; Electronic; Physics, Applied; Physics, Fluids &amp; Plasmas</t>
  </si>
  <si>
    <t>Engineering; Physics</t>
  </si>
  <si>
    <t>FK7BW</t>
  </si>
  <si>
    <t>WOS:000413660000002</t>
  </si>
  <si>
    <t>Huijbens, E; Lamers, M</t>
  </si>
  <si>
    <t>Huijbens, Edward; Lamers, Machiel</t>
  </si>
  <si>
    <t>Sustainable Tourism and Natural Resource Conservation in the Polar Regions: An Editorial</t>
  </si>
  <si>
    <t>tourism; Arctic; Antarctic; polar; research</t>
  </si>
  <si>
    <t>EMISSIONS</t>
  </si>
  <si>
    <t>This editorial provides an introduction to the special issue of Resources on Sustainable Tourism and Natural Resource Conservation in the Polar Regions, which proceeds the fifth bi-annual conference of the International Polar Tourism Research Network (IPTRN). The conference and coinciding community workshop on tourism development were organized at the edge of the Arctic in the community of Raufarhofn (pop. 160) in Northeast Iceland from 29 August to 2 September 2016.</t>
  </si>
  <si>
    <t>[Huijbens, Edward] Univ Akureyri, Iceland Tourism Res Ctr, IS-600 Akureyri, Iceland; [Lamers, Machiel] Wageningen Univ, Environm Policy Grp, POB 8130, NL-6700 EW Wageningen, Netherlands</t>
  </si>
  <si>
    <t>University of Akureyri; Wageningen University &amp; Research</t>
  </si>
  <si>
    <t>Huijbens, E (corresponding author), Univ Akureyri, Iceland Tourism Res Ctr, IS-600 Akureyri, Iceland.</t>
  </si>
  <si>
    <t>edward@unak.is; machiel.lamers@wur.nl</t>
  </si>
  <si>
    <t>Huijbens, Edward H./IST-2724-2023</t>
  </si>
  <si>
    <t>10.3390/resources6030045</t>
  </si>
  <si>
    <t>WOS:000412505500023</t>
  </si>
  <si>
    <t>Rothman, DH</t>
  </si>
  <si>
    <t>Rothman, Daniel H.</t>
  </si>
  <si>
    <t>Thresholds of catastrophe in the Earth system</t>
  </si>
  <si>
    <t>TRIASSIC-JURASSIC BOUNDARY; EOCENE THERMAL MAXIMUM; CARBON-ISOTOPE STRATIGRAPHY; OCEANIC ANOXIC EVENT; U-PB GEOCHRONOLOGY; FOSSIL-FUEL CO2; MASS EXTINCTION; DELTA-C-13 STRATIGRAPHY; INTEGRATED STRATIGRAPHY; ANTARCTIC GLACIATION</t>
  </si>
  <si>
    <t>The history of the Earth system is a story of change. Some changes are gradual and benign, but others, especially those associated with catastrophic mass extinction, are relatively abrupt and destructive. What sets one group apart from the other? Here, I hypothesize that perturbations of Earth's carbon cycle lead to mass extinction if they exceed either a critical rate at long time scales or a critical size at short time scales. By analyzing 31 carbon isotopic events during the past 542 million years, I identify the critical rate with a limit imposed by mass conservation. Identification of the crossover time scale separating fast from slow events then yields the critical size. The modern critical size for the marine carbon cycle is roughly similar to the mass of carbon that human activities will likely have added to the oceans by the year 2100.</t>
  </si>
  <si>
    <t>[Rothman, Daniel H.] MIT, Dept Earth Atmospher &amp; Planetary Sci, Cambridge, MA 02139 USA</t>
  </si>
  <si>
    <t>Rothman, DH (corresponding author), MIT, Dept Earth Atmospher &amp; Planetary Sci, Cambridge, MA 02139 USA.</t>
  </si>
  <si>
    <t>dhr@mit.edu</t>
  </si>
  <si>
    <t>/0000-0003-4006-7771</t>
  </si>
  <si>
    <t>e1700906</t>
  </si>
  <si>
    <t>10.1126/sciadv.1700906</t>
  </si>
  <si>
    <t>WOS:000411592600062</t>
  </si>
  <si>
    <t>Vecchiato, M; Gregoris, E; Barbaro, E; Barbante, C; Piazza, R; Gambaro, A</t>
  </si>
  <si>
    <t>Vecchiato, Marco; Gregoris, Elena; Barbaro, Elena; Barbante, Carlo; Piazza, Rossano; Gambaro, Andrea</t>
  </si>
  <si>
    <t>Fragrances in the seawater of Terra Nova Bay, Antarctica</t>
  </si>
  <si>
    <t>SCIENCE OF THE TOTAL ENVIRONMENT</t>
  </si>
  <si>
    <t>Fragrance Materials (FMs); Personal Care Products (PCPs); Seawater; Antarctica</t>
  </si>
  <si>
    <t>CHROMATOGRAPHY-MASS SPECTROMETRY; PERSONAL CARE PRODUCTS; WASTE-WATER TREATMENT; SUN-BLOCKING AGENTS; GAS-CHROMATOGRAPHY; POLYCYCLIC MUSKS; DIPHENYL ETHERS; LOCAL-SOURCES; UV FILTERS; SALICYLATE</t>
  </si>
  <si>
    <t>Personal Care Products are emerging pollutants whose distribution in the Antarctic and remote environments is still largely unknown. Among PCPs, long-lasting and stable Fragrance Materials were selected to perform a first pilot study on their occurrence in the coastal surface seawater of Terra Nova Bay in the Ross Sea, Antarctica. Ambrofix, Amyl Salicylate, Benzyl Salicylate, Hexyl Salicylate, Lemonile and Okoumal were detected for the first time in Antarctic natural seawater, and reached total concentrations up to 100 ng L-1. Treated discharges from the Italian research station Mario Zucchelli (MZS) contain FMs, however concentrations in nearby Tethys Bay increase during the seasonal melt of the sea ice and its snow cover: variability in emissions and distribution, as well as a contribution from atmospheric (long or short-range) transport were hypothesized. (C) 2017 Elsevier B.V. All rights reserved.</t>
  </si>
  <si>
    <t>[Vecchiato, Marco; Barbaro, Elena; Barbante, Carlo; Piazza, Rossano; Gambaro, Andrea] Ca Foscari Univ Venice, Dept Environm Sci Informat &amp; Stat DAIS, Via Torino 155, I-30172 Venice, Italy; [Gregoris, Elena; Barbante, Carlo; Piazza, Rossano; Gambaro, Andrea] Inst Dynam Environm Proc IDPA CNR, Via Torino 155, I-30172 Venice, Italy</t>
  </si>
  <si>
    <t>Vecchiato, M (corresponding author), Ca Foscari Univ Venice, Dept Environm Sci Informat &amp; Stat DAIS, Via Torino 155, I-30172 Venice, Italy.</t>
  </si>
  <si>
    <t>vecchiato@unive.it</t>
  </si>
  <si>
    <t>Barbaro, Elena/AAX-8809-2020; Barbante, Carlo/B-3195-2011; Gregoris, Elena/ABE-2253-2020; BARBARO, ELENA/AAK-3106-2021; Gregoris, Elena/AAE-8055-2022</t>
  </si>
  <si>
    <t>Barbaro, Elena/0000-0003-2639-7475; Gregoris, Elena/0000-0003-3963-3959; Piazza, Rossano/0000-0002-1897-4124; Barbante, Carlo/0000-0003-4177-2288; Vecchiato, Marco/0000-0002-5112-8472</t>
  </si>
  <si>
    <t>Italian National Program for Research in Antarctica [PNRA2013 AZ2.05]</t>
  </si>
  <si>
    <t>Italian National Program for Research in Antarctica(Ministry of Education, Universities and Research (MIUR))</t>
  </si>
  <si>
    <t>Funds were provided by the Italian National Program for Research in Antarctica ( PNRA2013 AZ2.05). The authors gratefully acknowledge Elena Barbaro, Silvia Illuminati and Sandro Francesconi for sampling and Warren R.L. Cairns for his accurate revision of this manuscript. Givaudan and the International Express Service (IES-Ingredients) provided the commercial standards of FMs free of charge. Elga Lab water, High Wycombe UK, supplied the pure water system used in this study.</t>
  </si>
  <si>
    <t>0048-9697</t>
  </si>
  <si>
    <t>1879-1026</t>
  </si>
  <si>
    <t>SCI TOTAL ENVIRON</t>
  </si>
  <si>
    <t>Sci. Total Environ.</t>
  </si>
  <si>
    <t>10.1016/j.scitotenv.2017.03.197</t>
  </si>
  <si>
    <t>EU7FX</t>
  </si>
  <si>
    <t>WOS:000401201800039</t>
  </si>
  <si>
    <t>Ametrano, CG; Selbmann, L; Muggia, L</t>
  </si>
  <si>
    <t>Ametrano, Claudio G.; Selbmann, Laura; Muggia, Lucia</t>
  </si>
  <si>
    <t>A standardized approach for co-culturing dothidealean rock-inhabiting fungi and lichen photobionts in vitro</t>
  </si>
  <si>
    <t>SYMBIOSIS</t>
  </si>
  <si>
    <t>Carbon sources; Coccomyxa; Mixed culture; Lichenothelia; Saxomyces; Trebouxia</t>
  </si>
  <si>
    <t>LICHENICOLOUS FUNGUS; CLADONIA-CRISTATELLA; GENETIC DIVERSITY; LICHENOTHELIA; ASCOMYCOTA; DESERT; EVOLUTION; SYMBIOSIS; THALLI; ALGAE</t>
  </si>
  <si>
    <t>Black, rock inhabiting fungi (RIF) are polyextremotolerant, oligotrophic organisms which colonize bare rocks and are specialized to grow in niches precluded to other microorganisms in the harshest environments. In many cases RIF share this environment with green algae and cyanobacteria forming subaerial biofilms; some of them have also been found to be associated with lichen thalli. The RIF genus Lichenothelia is of particular interest because it includes lichen parasites and species which are loosely associated with algae or grow independently on rocks. Here, in vitro culture experiments studied the development of three Lichenothelia species when co-cultured with two different lichen photobionts on growth media differing in nutrient content. The growth rates of these fungi were statistically evaluated and the structure of the mixed cultures was analyzed by light and scanning electron microscopy. The results show that the presence of algae neither influence the growth rate of fungi nor the formation of any lichen-like structure; tight contacts between the hyphae and the algal cells were also not detected. Since multiple trials were carried out on well characterized species of microcolonial fungi and the methodological procedures were established, standardized and coupled with morphological analyses, this approach proves suitable for future investigations on fungal-algal interactions in other systems.</t>
  </si>
  <si>
    <t>[Ametrano, Claudio G.; Muggia, Lucia] Univ Trieste, Dept Life Sci, Via Giorgieri 10, I-34127 Trieste, Italy; [Selbmann, Laura] Univ Snc, Univ Tuscia, Dept Ecol &amp; Biol Sci, I-01100 Viterbo, Italy</t>
  </si>
  <si>
    <t>University of Trieste; Tuscia University</t>
  </si>
  <si>
    <t>Ametrano, CG (corresponding author), Univ Trieste, Dept Life Sci, Via Giorgieri 10, I-34127 Trieste, Italy.</t>
  </si>
  <si>
    <t>claudiogennaro.ametrano@phd.units.it</t>
  </si>
  <si>
    <t>Ametrano, Claudio Gennaro/GYA-5308-2022</t>
  </si>
  <si>
    <t>Ametrano, Claudio Gennaro/0000-0002-0967-5050</t>
  </si>
  <si>
    <t>project (Finanziamenti di Ateneo per progetti di Ricerca scientifica); Italian National Antarctic Museum Felice Ippolito</t>
  </si>
  <si>
    <t>This research was supported by the project FRA-2014 (Finanziamenti di Ateneo per progetti di Ricerca scientifica) assigned to LM by the University of Trieste. Francesca Vita is thanked for the support in the SEM analyses; Martin Grube and Lorenzo Fortuna are thanked for the constructive discussions. The Italian National Antarctic Museum Felice Ippolito is kindly acknowledged for funding CCFEE (Culture Collection of Fungi from Extreme Environments).</t>
  </si>
  <si>
    <t>0334-5114</t>
  </si>
  <si>
    <t>1878-7665</t>
  </si>
  <si>
    <t>Symbiosis</t>
  </si>
  <si>
    <t>10.1007/s13199-017-0479-2</t>
  </si>
  <si>
    <t>FG4LM</t>
  </si>
  <si>
    <t>WOS:000410224900005</t>
  </si>
  <si>
    <t>Králová, S</t>
  </si>
  <si>
    <t>Kralova, Stanislava</t>
  </si>
  <si>
    <t>Role of fatty acids in cold adaptation of Antarctic psychrophilic Flavobacterium spp</t>
  </si>
  <si>
    <t>Flavobacterium; Antarctic bacteria; Adaptation; Fatty acids; Cell membrane; Cold-shock</t>
  </si>
  <si>
    <t>SP-NOV.; THERMAL ADAPTATION; GROWTH TEMPERATURE; BACTERIA; DESATURATION; MEMBRANES; SURVIVAL</t>
  </si>
  <si>
    <t>Cold-loving microorganisms developed numerous adaptation mechanisms allowing them to survive in extremely cold habitats, such as adaptation of the cell membrane. The focus of this study was on the membrane fatty acids of Antarctic Flavobacterium spp., and their adaptation response to cold-stress. Fatty acids and cold-response of Antarctic flavobacteria was also compared to mesophilic and thermophilic members of the genus Flavobacterium. The results showed that the psychrophiles produced more types of major fatty acids than meso- and thermophilic members of this genus, namely Cis:i iso G, C-15:0 iso G C-15:0 anteiso, C-15:1 w6C, C-15:0 iso 30H, Cmi w6c, C-16:0 iso 3OH and C-17:0 iso 3OH, summed features 3 (C-16:1 co7cand/or C-16:1 w6c) and 9 (C-16:0 10-methyl and/or C-17:1 iso w6c). It was shown that the cell membrane of psychrophiles was composed mainly of branched and unsaturated fatty acids. The results also implied that Antarctic flavobacteria mainly used two mechanisms of membrane fluidity alteration in their cold-adaptive response. The first mechanism was based on unsaturation of fatty acids, and the second mechanism on de novo synthesis of branched fatty acids. The alteration of the cell membrane was shown to be similar for all thermotypes of members of the genus Flavobacterium. (C) 2017 Elsevier GmbH. All rights reserved.</t>
  </si>
  <si>
    <t>[Kralova, Stanislava] Masaryk Univ, Fac Sci, Czech Collect Microorganisms, Dept Expt Biol, Kamenice 5, Brno 62500, Czech Republic</t>
  </si>
  <si>
    <t>Masaryk University Brno</t>
  </si>
  <si>
    <t>Králová, S (corresponding author), Masaryk Univ, Fac Sci, Czech Collect Microorganisms, Dept Expt Biol, Kamenice 5, Brno 62500, Czech Republic.</t>
  </si>
  <si>
    <t>stanci@mail.muni.cz</t>
  </si>
  <si>
    <t>Kralova, Stanislava/AAW-4815-2021</t>
  </si>
  <si>
    <t>Kralova, Stanislava/0000-0003-3384-5328</t>
  </si>
  <si>
    <t>Ministry of Education, Youth and Sports of the Czech Republic [LM2015078]</t>
  </si>
  <si>
    <t>The author is grateful to the scientific infrastructure of the J.G. Mendel Czech Antarctic Station, which is part of the Czech Polar Research Infrastructure (CzechPolar2) supported by the Ministry of Education, Youth and Sports of the Czech Republic (LM2015078). Stanislava Kralova is the holder of a Brno PhD Talent financial aid.</t>
  </si>
  <si>
    <t>10.1016/j.syapm.2017.06.001</t>
  </si>
  <si>
    <t>WOS:000411539100002</t>
  </si>
  <si>
    <t>Taylor, ML; Rogers, AD</t>
  </si>
  <si>
    <t>Taylor, M. L.; Rogers, A. D.</t>
  </si>
  <si>
    <t>Primnoidae (Cnidaria: Octocorallia) of the SW Indian Ocean: new species, genus revisions and systematics</t>
  </si>
  <si>
    <t>deep-sea; octocoral; phylogenetic; polar submergence</t>
  </si>
  <si>
    <t>PHYLOGENETIC ANALYSES; ANTHOZOA CNIDARIA; WATER OCTOCORALS; SOUTHERN-OCEAN; RIBOSOMAL-RNA; NARELLA GRAY; DEEP-OCEAN; MITOCHONDRIAL; SEAMOUNTS; BIOGEOGRAPHY</t>
  </si>
  <si>
    <t>The Indian Ocean is one of the least-studied areas of the world's largest biome, the deep sea. On an expedition to five seamounts along the SW Indian Ocean Ridge in 2011, thousands of specimens from deep-sea habitats were procured. We propose five new species of Primnoidae, a predominantly deep-sea octocoral family. The new species include three from the genus Narella, and one new species each from Primnoa and Primnoeides; the latter genus is revised and we propose Digitogorgia as its junior synonym. We support the new species placement within Primnoidae through taxonomic descriptions and the most comprehensive molecular phylogenetic analysis of any deep-sea coral family (81 species across 29 genera). We also present a rare example of polar submergence (from the Antarctic shelf into deeper more Northern waters).</t>
  </si>
  <si>
    <t>[Taylor, M. L.; Rogers, A. D.] Univ Oxford, Dept Zool, Tinbergen Bldg,South Parks Rd, Oxford OX1 3PS, England</t>
  </si>
  <si>
    <t>University of Oxford</t>
  </si>
  <si>
    <t>Taylor, ML (corresponding author), Univ Oxford, Dept Zool, Tinbergen Bldg,South Parks Rd, Oxford OX1 3PS, England.</t>
  </si>
  <si>
    <t>michelle.taylor@zoo.ox.ac.uk</t>
  </si>
  <si>
    <t>Taylor, Michelle/AAY-3864-2021; Taylor, Michelle/C-3918-2015</t>
  </si>
  <si>
    <t>Rogers, Alex David/0000-0002-4864-2980; Taylor, Michelle/0000-0001-7271-4385</t>
  </si>
  <si>
    <t>Global Environment Facility Grant through UNDP Project [IDGEF3138/PIMS3657]; NERC [NE/F005504/1]; FAO/NORAD EAF Nansen Project; Agulhas and Somali Current LME project; [FFEM-SWIO-P00917]; Natural Environment Research Council [NE/F005504/1, NBAF010003] Funding Source: researchfish; NERC [NE/F005504/1, NBAF010003] Funding Source: UKRI</t>
  </si>
  <si>
    <t>Global Environment Facility Grant through UNDP Project; NERC(UK Research &amp; Innovation (UKRI)Natural Environment Research Council (NERC)); FAO/NORAD EAF Nansen Project; Agulhas and Somali Current LME project; ; Natural Environment Research Council(UK Research &amp; Innovation (UKRI)Natural Environment Research Council (NERC)); NERC(UK Research &amp; Innovation (UKRI)Natural Environment Research Council (NERC))</t>
  </si>
  <si>
    <t>JC066 expedition was financed by the Global Environment Facility Grant through UNDP Project IDGEF3138/PIMS3657 executed by IUCN as the IUCN Seamounts Project FFEM-SWIO-P00917 and NERC Grant NE/F005504/1 Benthic Biodiversity of Seamounts in the Southwest Indian Ocean. Additional funding was provided by the FAO/NORAD EAF Nansen Project and Agulhas and Somali Current LME project.</t>
  </si>
  <si>
    <t>10.1093/zoolinnean/zlx003</t>
  </si>
  <si>
    <t>Green Submitted, hybrid, Green Accepted, Green Published</t>
  </si>
  <si>
    <t>WOS:000409237300002</t>
  </si>
  <si>
    <t>Burr, DJ; Martin, A; Maas, EW; Ryan, KG</t>
  </si>
  <si>
    <t>Burr, David J.; Martin, Andrew; Maas, Elizabeth W.; Ryan, Ken G.</t>
  </si>
  <si>
    <t>In situ light responses of the proteorhodopsin-bearing Antarctic sea- ice bacterium, Psychroflexus torques</t>
  </si>
  <si>
    <t>MARINE FLAVOBACTERIA; GROWTH; PHOTOTROPHY; SALINITY; SAR11</t>
  </si>
  <si>
    <t>Proteorhodopsin (PR) is a wide-spread protein found in many marine prokaryotes. PR allows for the potential conversion of solar energy to ATP, possibly assisting in cellular growth and survival during periods of high environmental stress. PR utilises either blue or green light through a single amino acid substitution. We incubated the PR-bearing bacterium Psychroflexus torquis 50 cm deep within Antarctic sea ice for 13 days, exposing cultures to diurnal fluctuations in light and temperature. Enhanced growth occurred most prominently in cultures incubated under irradiance levels of similar to 50 mu mol photons m(-2) s(-1), suggesting PR provides a strong selective advantage. In addition, cultures grown under blue light yielded over 5.5 times more live cells per photon compared to greenlight incubations. Because P. torquis expresses an apparently 'green-shifted' PR gene variant, this finding infers that the spectral tuning of PR is more complex than previously thought. This study supports the theory that PR provides additional energy to bacteria under sub-optimal conditions, and raises several points of interest to be addressed by future research.</t>
  </si>
  <si>
    <t>[Burr, David J.; Martin, Andrew; Ryan, Ken G.] Victoria Univ Wellington, Sch Biol Sci, POB 600, Wellington 6140, New Zealand; [Burr, David J.; Maas, Elizabeth W.] Natl Inst Water &amp; Atmospher Res NIWA, Wellington, New Zealand; [Martin, Andrew] Univ Tasmania, Inst Marine &amp; Antarctic Sci, Antarctic Gateway Partnership, Hobart, Tas, Australia; [Maas, Elizabeth W.] Minist Primary Ind, Ahuriri, Napier, New Zealand</t>
  </si>
  <si>
    <t>Victoria University Wellington; National Institute of Water &amp; Atmospheric Research (NIWA) - New Zealand; University of Tasmania</t>
  </si>
  <si>
    <t>Ryan, KG (corresponding author), Victoria Univ Wellington, Sch Biol Sci, POB 600, Wellington 6140, New Zealand.</t>
  </si>
  <si>
    <t>ken.ryan@vuw.ac.nz</t>
  </si>
  <si>
    <t>Ryan, Ken/0000-0001-7075-0112; Burr, David/0000-0002-4208-034X</t>
  </si>
  <si>
    <t>VUW [100241]; Antarctica New Zealand</t>
  </si>
  <si>
    <t>VUW; Antarctica New Zealand</t>
  </si>
  <si>
    <t>We thank Associate Professor John Bowman (U. Tasmania) for supplying cultures of P. torquis, and acknowledge VUW Grant 100241 and Antarctica New Zealand for funding and logistical support.</t>
  </si>
  <si>
    <t>10.1038/ismej.2017.65</t>
  </si>
  <si>
    <t>FD8WF</t>
  </si>
  <si>
    <t>WOS:000407804100018</t>
  </si>
  <si>
    <t>Tucker, NM; Payne, JL; Clark, C; Hand, M; Taylor, RJM; Kylander-Clark, ARC; Martin, L</t>
  </si>
  <si>
    <t>Tucker, Naomi M.; Payne, Justin L.; Clark, Chris; Hand, Martin; Taylor, Richard J. M.; Kylander-Clark, Andrew R. C.; Martin, Laure</t>
  </si>
  <si>
    <t>Proterozoic reworking of Archean (Yilgarn) basement in the Bunger Hills, East Antarctica</t>
  </si>
  <si>
    <t>Albany-Fraser Orogen; Antarctica; Bunger Hills; Lu-Hf isotope; Rodinia; U-Pb geochronology</t>
  </si>
  <si>
    <t>ALBANY-FRASER OROGEN; U-PB ZIRCON; NORTHERN GAWLER CRATON; OFFSHORE WESTERN-AUSTRALIA; PLASMA-MASS SPECTROMETRY; HF-ISOTOPE; CRUSTAL EVOLUTION; IN-SITU; LU-HF; OXYGEN ISOTOPES</t>
  </si>
  <si>
    <t>The Bunger Hills in East Antarctica occupy a pivotal location as the westernmost continuation of the Albany-Fraser Orogen in southwestern Australia. Combined U-Pb, Lu-Hf and oxygen isotope data from the Bunger Hills reveal a previously unrecognised Archean basement (ca. 2800-2700 Ma) of Yilgarn Craton affinity. Results also reveal a Paleo-Mesoproterozoic (ca. 1700-1500 Ma) volcano-clastic sequence and late Mesoproterozoic magmatic intrusives (ca. 1260 Ma and 1200 Ma) that were coeval with high grade metamorphism. Isotopic data reflect the influence of an Archean crustal component in Proterozoic magmatism. Paleoproterozoic magmatism was characterised by voluminous juvenile input and minor recycling of Archean crust. In contrast, Mesoproterozoic magmatism is isotopically evolved, and is interpreted to have been derived largely from reworking of the Paleoproterozoic crust and Archean basement. Strong parallels between the age and isotopic composition of igneous rocks over time from the Bunger Hills and Albany-Fraser Orogen in southwest Australia suggest that the Paleo-Mesoproterozoic tectonic evolution of these two elements of the orogen is linked. Specifically, the Bunger Hills are interpreted to represent the Paleo-Mesoproterozoic (para)autochthonous modification of a reworked fragment of the Archean Yilgarn Craton that was extended during the late Paleoproterozoic. (C) 2017 Elsevier B.V. All rights reserved.</t>
  </si>
  <si>
    <t>[Tucker, Naomi M.; Payne, Justin L.; Hand, Martin] Univ Adelaide, Sch Phys Sci, Dept Earth Sci, Adelaide, SA 5005, Australia; [Payne, Justin L.] Univ South Australia, Sch Nat &amp; Built Environm, Mawson Lakes Campus, Mawson Lakes, SA 5095, Australia; [Clark, Chris] Curtin Univ, Dept Appl Geol, Perth, WA, Australia; [Taylor, Richard J. M.] Univ Cambridge, Dept Earth Sci, Cambridge CB2 3EQ, England; [Kylander-Clark, Andrew R. C.] Univ Calif Santa Barbara, Dept Earth Sci, Santa Barbara, CA 93106 USA; [Martin, Laure] Univ Western Australia, ARC Ctr Excellence Core Crust Fluid Syst, Perth, WA 6009, Australia; [Martin, Laure] Univ Western Australia, Ctr Microscopy Characterisat &amp; Anal, Perth, WA 6009, Australia</t>
  </si>
  <si>
    <t>University of Adelaide; University of South Australia; Curtin University; University of Cambridge; University of California System; University of California Santa Barbara; University of Western Australia; University of Western Australia</t>
  </si>
  <si>
    <t>Tucker, NM (corresponding author), Univ Adelaide, Dept Earth Sci, Mawson Bldg, Adelaide, SA 5005, Australia.</t>
  </si>
  <si>
    <t>naomi.tucker@adelaide.edu.au</t>
  </si>
  <si>
    <t>Taylor, Rich/K-4119-2017; Clark, Chris/B-6471-2008; Martin, Laure AJ/F-5215-2012; Payne, Justin/B-8260-2013</t>
  </si>
  <si>
    <t>Taylor, Rich/0000-0003-3013-9372; Clark, Chris/0000-0001-9982-7849; Payne, Justin/0000-0002-3953-7783; Kylander-Clark, Andrew/0000-0002-4034-644X; hand, martin/0000-0003-3743-9706; Tucker, Naomi/0000-0002-6795-0903; martin, laure/0000-0002-6343-2447</t>
  </si>
  <si>
    <t>Australian Antarctic Division; Australian Research Council [DE120103067]; Australian Government; Playford Trust; Australian Research Council [DE120103067] Funding Source: Australian Research Council</t>
  </si>
  <si>
    <t>Australian Antarctic Division; Australian Research Council(Australian Research Council); Australian Government(Australian Government); Playford Trust; Australian Research Council(Australian Research Council)</t>
  </si>
  <si>
    <t>Logistical and financial support for field work in Antarctica was provided by the Australian Antarctic Division. We also gratefully acknowledge the logistical support of fellow expeditioners at Casey Station, and the crew of Kenn Borek Air, during the 2014-2015 summer season. In particular, Kimberly (Billy) Wallace is thanked for her invaluable assistance in the field. Chris Kirkland is thanked for his comments on an earlier version of the dataset. Analytical work was funded by an Australian Research Council DECRA fellowship (DE120103067). We thank reviewers Catherine Spaggiari, Jacqueline Halpin and John Goodge for their constructive comments and suggestions on earlier versions of this manuscript. NMT acknowledges the support of an Australian Government Research Training Program Scholarship (formerly Australian Postgraduate Award) and Playford Trust PhD Scholarship. This work forms part of Australian Antarctic Science Project 4191.</t>
  </si>
  <si>
    <t>10.1016/j.precamres.2017.05.013</t>
  </si>
  <si>
    <t>FD6RE</t>
  </si>
  <si>
    <t>WOS:000407654800002</t>
  </si>
  <si>
    <t>Froy, H; Lewis, S; Nussey, DH; Wood, AG; Phillips, RA</t>
  </si>
  <si>
    <t>Froy, Hannah; Lewis, Sue; Nussey, Daniel H.; Wood, Andrew G.; Phillips, Richard A.</t>
  </si>
  <si>
    <t>Contrasting drivers of reproductive ageing in albatrosses</t>
  </si>
  <si>
    <t>JOURNAL OF ANIMAL ECOLOGY</t>
  </si>
  <si>
    <t>Bird Island South Georgia; black-browed albatross Thalassarche melanophris; grey-headed albatross Thalassarche chrysostoma; life-history trade-off; selective disappearance; senescence; terminal effect; wandering albatross Diomedea exulans</t>
  </si>
  <si>
    <t>AGE-SPECIFIC REPRODUCTION; LIFE-HISTORY; BREEDING SUCCESS; DIOMEDEA-EXULANS; BIRD-ISLAND; SELECTIVE DISAPPEARANCE; SENESCENCE RATES; PERFORMANCE; SURVIVAL; COSTS</t>
  </si>
  <si>
    <t>1. Age-related variation in reproductive performance is ubiquitous in wild vertebrate populations and has important consequences for population and evolutionary dynamics. 2. The ageing trajectory is shaped by both within-individual processes, such as improvement and senescence, and the among-individual effects of selective appearance and disappearance. To date, few studies have compared the role of these different drivers among species or populations. 3. In this study, we use nearly 40 years of longitudinal monitoring data to contrast the within-and among-individual processes contributing to the reproductive ageing patterns in three albatross species (two biennial and one annual breeder) and test whether these can be explained by differences in life histories. 4. Early-life performance in all species increased with age and was predominantly influenced by within-individual improvements. However, reproductive senescence was detected in only two of the species. In the species exhibiting senescent declines, we also detected a terminal improvement in breeding success. This is suggestive of a trade-off between reproduction and survival, which was supported by evidence of selective disappearance of good breeders. 5. We demonstrate that comparisons of closely related species which differ in specific aspects of their life history can shed light on the ecological and evolutionary forces shaping variation in ageing patterns.</t>
  </si>
  <si>
    <t>[Froy, Hannah; Lewis, Sue; Nussey, Daniel H.] Univ Edinburgh, Inst Evolutionary Biol, Edinburgh, Midlothian, Scotland; [Froy, Hannah; Wood, Andrew G.; Phillips, Richard A.] NERC, British Antarctic Survey, Cambridge, England; [Lewis, Sue] Ctr Ecol &amp; Hydrol, Bush Estate, Penicuik, Midlothian, Scotland</t>
  </si>
  <si>
    <t>University of Edinburgh; UK Research &amp; Innovation (UKRI); Natural Environment Research Council (NERC); NERC British Antarctic Survey; UK Centre for Ecology &amp; Hydrology (UKCEH)</t>
  </si>
  <si>
    <t>Froy, H (corresponding author), Univ Edinburgh, Inst Evolutionary Biol, Edinburgh, Midlothian, Scotland.;Froy, H (corresponding author), NERC, British Antarctic Survey, Cambridge, England.</t>
  </si>
  <si>
    <t>hannah.froy@ed.ac.uk</t>
  </si>
  <si>
    <t>Lewis, Sue/D-3380-2012; Nussey, Daniel H/F-4155-2010</t>
  </si>
  <si>
    <t>Lewis, Sue/0000-0003-3511-2259; Froy, Hannah/0000-0003-2965-3526</t>
  </si>
  <si>
    <t>George Macdougal Mackintosh scholarship; Natural Environment Research Council; Biotechnology and Biological Sciences Research Council; Biotechnology and Biological Sciences Research Council [BB/H021868/1] Funding Source: researchfish; Natural Environment Research Council [bas0100035, NE/E012906/1] Funding Source: researchfish; BBSRC [BB/H021868/1] Funding Source: UKRI; NERC [NE/E012906/1, bas0100035] Funding Source: UKRI</t>
  </si>
  <si>
    <t>George Macdougal Mackintosh scholarship; Natural Environment Research Council(UK Research &amp; Innovation (UKRI)Natural Environment Research Council (NERC)); Biotechnology and Biological Sciences Research Council(UK Research &amp; Innovation (UKRI)Biotechnology and Biological Sciences Research Council (BBSRC)); Biotechnology and Biological Sciences Research Council(UK Research &amp; Innovation (UKRI)Biotechnology and Biological Sciences Research Council (BBSRC)); Natural Environment Research Council(UK Research &amp; Innovation (UKRI)Natural Environment Research Council (NERC)); BBSRC(UK Research &amp; Innovation (UKRI)Biotechnology and Biological Sciences Research Council (BBSRC)); NERC(UK Research &amp; Innovation (UKRI)Natural Environment Research Council (NERC))</t>
  </si>
  <si>
    <t>George Macdougal Mackintosh scholarship; Natural Environment Research Council; Biotechnology and Biological Sciences Research Council</t>
  </si>
  <si>
    <t>0021-8790</t>
  </si>
  <si>
    <t>1365-2656</t>
  </si>
  <si>
    <t>J ANIM ECOL</t>
  </si>
  <si>
    <t>J. Anim. Ecol.</t>
  </si>
  <si>
    <t>10.1111/1365-2656.12712</t>
  </si>
  <si>
    <t>Ecology; Zoology</t>
  </si>
  <si>
    <t>Environmental Sciences &amp; Ecology; Zoology</t>
  </si>
  <si>
    <t>FD1TV</t>
  </si>
  <si>
    <t>WOS:000407320500005</t>
  </si>
  <si>
    <t>Raveh-Rubin, S</t>
  </si>
  <si>
    <t>Raveh-Rubin, Shira</t>
  </si>
  <si>
    <t>Dry Intrusions: Lagrangian Climatology and Dynamical Impact on the Planetary Boundary Layer</t>
  </si>
  <si>
    <t>POTENTIAL-VORTICITY; STRATOSPHERIC INTRUSIONS; GLOBAL CLIMATOLOGY; TROPOPAUSE FOLD; COMMA CLOUD; CYCLONE; AIR; EVOLUTION; OZONE; TROPOSPHERE</t>
  </si>
  <si>
    <t>Dry-air intrusions (DIs) are dry, deeply descending airstreams from the upper troposphere toward the planetary boundary layer (PBL). The significance of DIs spans a variety of aspects, including the interaction with convection, extratropical cyclones and fronts, the PBL, and extreme surface weather. Here, a Lagrangian definition for DI trajectories is used and applied to ECMWF interim reanalysis (ERA-Interim) data. Based on the criterion of a minimum descent of 400 hPa during 48 h, a first global Lagrangian climatology of DI trajectories is compiled for the years 1979-2014, allowing quantitative understanding of the occurrence and variability of DIs, as well as the dynamical and thermodynamical interactions that determine their impact. DIs occur mainly in winter. While traveling equatorward from 40 degrees-50 degrees latitude, DIs typically reach the lower troposphere (with maximum frequencies of similar to 10% in winter) in the storm-track regions, as well as over the Mediterranean Sea, Arabian Sea, and eastern North Pacific, off the western coast of South America, South Africa, and Australia, and across the Antarctic coast. The DI descent is nearly adiabatic, with a mean potential temperature decrease of 3K in two days. Relative humidity drops strongly during the first descent day and increases in the second day, because of mixing into the moist PBL. Significant destabilization of the lower levels occurs beneath DIs, accompanied by increased 10-m wind gusts, intense surface heat and moisture fluxes, and elevated PBL heights. Interestingly, only 1.2% of all DIs are found to originate from the stratosphere.</t>
  </si>
  <si>
    <t>[Raveh-Rubin, Shira] Swiss Fed Inst Technol, Inst Atmospher &amp; Climate Sci, Zurich, Switzerland</t>
  </si>
  <si>
    <t>Swiss Federal Institutes of Technology Domain; ETH Zurich</t>
  </si>
  <si>
    <t>Raveh-Rubin, S (corresponding author), Swiss Fed Inst Technol, Inst Atmospher &amp; Climate Sci, Zurich, Switzerland.</t>
  </si>
  <si>
    <t>shira.raveh@env.ethz.ch</t>
  </si>
  <si>
    <t>Raveh-Rubin, Shira/AAP-5461-2020</t>
  </si>
  <si>
    <t>Raveh-Rubin, Shira/0000-0001-6244-8693</t>
  </si>
  <si>
    <t>Swiss National Science Foundation Marie Heim-Vegtlin Programme [PMPDP2_158347/1]; Swiss National Science Foundation (SNF) [PMPDP2_158347] Funding Source: Swiss National Science Foundation (SNF)</t>
  </si>
  <si>
    <t>Swiss National Science Foundation Marie Heim-Vegtlin Programme; Swiss National Science Foundation (SNF)(Swiss National Science Foundation (SNSF))</t>
  </si>
  <si>
    <t>The work is funded by the Swiss National Science Foundation Marie Heim-Vegtlin Programme (PMPDP2_158347/1). MeteoSwiss and ECMWF are acknowledged for providing access to ERA-Interim data. The European Severe Weather Database (ESWD) of the European Severe Storms Laboratory (http://www.essl.org) is acknowledged for allowing online access to reports from 20 to 24 October 2014. I thank Michael Sprenger (ETH) for the ongoing technical help. I am grateful to Heini Wernli (ETH) for inspiring and fruitful discussions, and for feedback on the manuscript. Finally, I thank Keith Browning and two anonymous reviewers for their constructive comments.</t>
  </si>
  <si>
    <t>10.1175/JCLI-D-16-0782.1</t>
  </si>
  <si>
    <t>WOS:000407276600005</t>
  </si>
  <si>
    <t>Imae, N; Isobe, H</t>
  </si>
  <si>
    <t>Imae, Naoya; Isobe, Hiroshi</t>
  </si>
  <si>
    <t>An experimental study of chondrule formation from chondritic precursors via evaporation and condensation in Knudsen cell: Shock heating model of dust aggregates</t>
  </si>
  <si>
    <t>chondrule; condensation and evaporation; chondrite; Knudsen cell; solar nebula; shock wave heating</t>
  </si>
  <si>
    <t>SOLAR NEBULA; MAGNESIAN CHONDRULES; ORIGIN; SYSTEM; IRON; GAS; CONSTRAINTS; COMPONENTS; BEARING; SODIUM</t>
  </si>
  <si>
    <t>Chondrules, igneous objects of similar to 1 mm in diameter, formed in the earliest solar system via a transient heating event, are divided into two types: main (type I, FeO-poor) and minor (type II, FeO-rich). Using various chondritic materials for different redox conditions and grain sizes, chondrule reproduction experiments were carried out at IW-2 to IW-3.8, with cooling rates mainly similar to 100 degrees C/h, with peak temperatures mainly at 1450 degrees C, and mainly at 100 Pa in a Knudsen cell providing near chemical equilibrium between the charge and the surrounding gas at the peak temperatures. Vapor pressures in the capsule were controlled using solid buffers. After and during the significant evaporation of the iron component from the metallic iron-poor starting materials in near equilibrium, crystallization occurred. This resulted in the formation of a product similar to the type I chondrules. Dusty olivine grains occurred in charges that had precursor type II chondrules containing coarse ferroan olivine, but such grains are not common in type I chondrules. Therefore fine-grained ferroan matrices rather than type II chondrules are main precursor for type I chondrules. The type I chondrules would have evolved via evaporation and condensation in the similar conditions to the present experimental system. Residual gas, which escaped in experiments, could have condensed to form matrices, leading to complementary compositions. Clusters of matrices and primordial chondrules could have been recycled to form main-generation chondrules originated from the shock heating. (C) 2017 Elsevier B.V. All rights reserved.</t>
  </si>
  <si>
    <t>[Imae, Naoya] Natl Inst Polar Res, Antarctic Meteorite Res Ctr, 10-3 Midori Cho, Tachikawa, Tokyo 1908518, Japan; [Imae, Naoya] SOKENDAI, Sch Multidisciplinary Sci, Dept Polar Sci, 10-3 Midori Cho, Tachikawa, Tokyo 1908518, Japan; [Isobe, Hiroshi] Kumamoto Univ, Fac Adv Sci &amp; Technol, Dept Earth &amp; Environm Sci, Chuo Ku, Kumamoto 8608555, Japan</t>
  </si>
  <si>
    <t>Research Organization of Information &amp; Systems (ROIS); National Institute of Polar Research (NIPR) - Japan; Kumamoto University</t>
  </si>
  <si>
    <t>Imae, N (corresponding author), Natl Inst Polar Res, Antarctic Meteorite Res Ctr, 10-3 Midori Cho, Tachikawa, Tokyo 1908518, Japan.</t>
  </si>
  <si>
    <t>imae@nipr.ac.jp</t>
  </si>
  <si>
    <t>Japan Society for the Promotion of Science [23340165]; National Institute of Polar Research (NIPR); NIPR research project, KP6 (Origin and evolutional process of the planetary materials in the solar system); Grants-in-Aid for Scientific Research [17K05721, 17K05710, 23340165] Funding Source: KAKEN</t>
  </si>
  <si>
    <t>Japan Society for the Promotion of Science(Ministry of Education, Culture, Sports, Science and Technology, Japan (MEXT)Japan Society for the Promotion of Science); National Institute of Polar Research (NIPR)(National Institute of Polar Research (NIPR) - Japan); NIPR research project, KP6 (Origin and evolutional process of the planetary materials in the solar system); Grants-in-Aid for Scientific Research(Ministry of Education, Culture, Sports, Science and Technology, Japan (MEXT)Japan Society for the Promotion of ScienceGrants-in-Aid for Scientific Research (KAKENHI))</t>
  </si>
  <si>
    <t>We are very grateful to the thorough and constructive reviews by Prof. Hewins and an anonymous referee and the handling of the paper by the Editor, Prof. Buffett. This study was supported mainly by a grant-in-aid for scientific research from the Japan Society for the Promotion of Science (No. 23340165). NI is grateful to Prof. A. Tsuchiyama of Kyoto University for discussions. NI is also grateful for the fruitful discussion at the research meeting in the Institute for Cosmic Ray Research, University of Tokyo. The production of this paper was partly supported by a publication subsidy from National Institute of Polar Research (NIPR) and the NIPR research project, KP6 (Origin and evolutional process of the planetary materials in the solar system).</t>
  </si>
  <si>
    <t>10.1016/j.epsl.2017.05.040</t>
  </si>
  <si>
    <t>WOS:000406571500025</t>
  </si>
  <si>
    <t>van Ginneken, M; Gattacceca, J; Rochette, P; Sonzogni, C; Alexandre, A; Vidal, V; Genge, MJ</t>
  </si>
  <si>
    <t>van Ginneken, M.; Gattacceca, J.; Rochette, P.; Sonzogni, C.; Alexandre, A.; Vidal, V.; Genge, M. J.</t>
  </si>
  <si>
    <t>The parent body controls on cosmic spherule texture: Evidence from the oxygen isotopic compositions of large micrometeorites</t>
  </si>
  <si>
    <t>Micrometeorites; Cosmic spherules; Oxygen isotopes; Laser fluorination; Parent bodies</t>
  </si>
  <si>
    <t>LASER-EXTRACTION TECHNIQUE; TRACE-ELEMENT ABUNDANCES; EARLY SOLAR-SYSTEM; X-RAY-DIFFRACTION; ATMOSPHERIC ENTRY; TRANSANTARCTIC MOUNTAINS; CARBONACEOUS CHONDRITES; ANTARCTIC ICE; CHEMICAL-COMPOSITIONS; CHONDRULE FORMATION</t>
  </si>
  <si>
    <t>High-precision oxygen isotopic compositions of eighteen large cosmic spherules (&gt; 500 mu m diameter) from the Atacama Desert, Chile, were determined using IR-laser fluorination - Isotope Ratio Mass spectrometry. The four discrete isotopic groups defined in a previous study on cosmic spherules from the Transantarctic Mountains (Suavet et al., 2010) were identified, confirming their global distribution. Approximately 50% of the studied cosmic spherules are related to carbonaceous chondrites, 38% to ordinary chondrites and 12% to unknown parent bodies. Approximately 90% of barred olivine (BO) cosmic spherules show oxygen isotopic compositions suggesting they are related to carbonaceous chondrites. Similarly, similar to 90% porphyritic olivine (Po) cosmic spherules are related to ordinary chondrites and none can be unambiguously related to carbonaceous chondrites. Other textures are related to all potential parent bodies. The data suggests that the textures of cosmic spherules are mainly controlled by the nature of the precursor rather than by the atmospheric entry parameters. We propose that the Po texture may essentially be formed from a coarse-grained precursor having an ordinary chondritic mineralogy and chemistry. Coarse-grained precursors related to carbonaceous chondrites (i.e. chondrules) are likely to either survive atmospheric entry heating or form V-type cosmic spherules. Due to the limited number of submicron nucleation sites after total melting, ordinary chondrite-related coarse-grained precursors that suffer higher peak temperatures will preferentially form cryptocrystalline (Cc) textures instead of BO textures. Conversely, the BO textures would be mostly related to the fine-grained matrices of carbonaceous chondrites due to the wide range of melting temperatures of their constituent mineral phases, allowing the preservation of submicron nucleation sites. Independently of the nature of the precursors, increasing peak temperatures form glassy textures. (C) 2017 The Authors. Published by Elsevier Ltd.</t>
  </si>
  <si>
    <t>[van Ginneken, M.; Genge, M. J.] Imperial Coll London, IARC, Dept Earth Sci &amp; Engn, Exhibit Rd, London SW7 2AZ, England; [van Ginneken, M.] Nat Hist Museum, Dept Earth Sci, Cromwell Rd, London SW7 5BD, England; [Gattacceca, J.; Rochette, P.; Sonzogni, C.; Alexandre, A.; Vidal, V.] Aix Marseille Univ, CNRS, IRD, Coll France,CEREGE UM34, Aix En Provence, France</t>
  </si>
  <si>
    <t>Imperial College London; Natural History Museum London; Natural History Museum London; Universite PSL; College de France; Aix-Marseille Universite; Centre National de la Recherche Scientifique (CNRS); Institut de Recherche pour le Developpement (IRD)</t>
  </si>
  <si>
    <t>van Ginneken, M (corresponding author), Univ Libre Bruxelles, Lab G Time, Av FD Roosevelt 50, B-1050 Brussels, Belgium.;van Ginneken, M (corresponding author), Vrije Univ Brussel, Dept Analyt Environm &amp; Geochem, Pleinlaan 2, B-1050 Brussels, Belgium.</t>
  </si>
  <si>
    <t>Matthias.Van.Ginneken@ulb.ac.be</t>
  </si>
  <si>
    <t>Rochette, Pierre/O-4612-2019; Van Ginneken, Matthias/AFQ-5594-2022; Gattacceca, Jerome/AAG-5651-2019; Alexandre, Ana/L-3121-2013; Sonzogni, Corinne/AAG-5816-2019</t>
  </si>
  <si>
    <t>Rochette, Pierre/0000-0002-7362-0660; Van Ginneken, Matthias/0000-0002-2508-7021; Gattacceca, Jerome/0000-0002-1639-7140; Alexandre, Ana/0000-0001-7164-1487; Alexandre, Anne/0000-0003-0696-4022</t>
  </si>
  <si>
    <t>Science and Technology Facilities Council (STFC) [ST/J001260/1]; Agence Nationale de la Recherche [ANR-13-BS05-0009]; Belgian Science Policy; Investissements d'Avenir French Government program of the Agence Nationale de la Recherche (ANR) through the French platform called Nano-ID (EQUIPEX project) [ANR-10EQPX-39-01]; STFC [ST/N000803/1, ST/J001260/1] Funding Source: UKRI; Science and Technology Facilities Council [ST/N000803/1, ST/J001260/1] Funding Source: researchfish; Agence Nationale de la Recherche (ANR) [ANR-13-BS05-0009] Funding Source: Agence Nationale de la Recherche (ANR)</t>
  </si>
  <si>
    <t>Science and Technology Facilities Council (STFC)(UK Research &amp; Innovation (UKRI)Science &amp; Technology Facilities Council (STFC)Science and Technology Development Fund (STDF)); Agence Nationale de la Recherche(Agence Nationale de la Recherche (ANR)); Belgian Science Policy(Belgian Federal Science Policy Office); Investissements d'Avenir French Government program of the Agence Nationale de la Recherche (ANR) through the French platform called Nano-ID (EQUIPEX project)(Agence Nationale de la Recherche (ANR)); STFC(UK Research &amp; Innovation (UKRI)Science &amp; Technology Facilities Council (STFC)); Science and Technology Facilities Council(UK Research &amp; Innovation (UKRI)Science &amp; Technology Facilities Council (STFC)); Agence Nationale de la Recherche (ANR)(Agence Nationale de la Recherche (ANR))</t>
  </si>
  <si>
    <t>This work was supported by the Science and Technology Facilities Council (STFC) [grant number: ST/J001260/1]. JG acknowledges funding from the Agence Nationale de la Recherche (project ANR-13-BS05-0009). MVG thanks the Belgian Science Policy (program BRAIN.be) for present funding. This work was in part funded by the Investissements d'Avenir French Government program of the Agence Nationale de la Recherche (ANR) through the French platform called Nano-ID (EQUIPEX project ANR-10EQPX-39-01), and we would like to thank D. Borschneck (CEREGE) for assistance in using the platform. C. Koeberl is acknowledged for editorial assistance, and Cecile Engrand and an anonymous reviewer for their constructive comments.</t>
  </si>
  <si>
    <t>10.1016/j.gca.2017.05.008</t>
  </si>
  <si>
    <t>FA9SZ</t>
  </si>
  <si>
    <t>WOS:000405787500013</t>
  </si>
  <si>
    <t>Figuerola, B; Kuklinski, P; Carmona, F; Taylor, PD</t>
  </si>
  <si>
    <t>Figuerola, Blanca; Kuklinski, Piotr; Carmona, Francesc; Taylor, Paul D.</t>
  </si>
  <si>
    <t>Evaluating potential factors influencing branch diameter and skeletal Mg-calcite using an Antarctic cyclostome bryozoan species</t>
  </si>
  <si>
    <t>HYDROBIOLOGIA</t>
  </si>
  <si>
    <t>Bathymetrical tool; Magnesium; Skeletal morphology; Antarctica</t>
  </si>
  <si>
    <t>PHENOTYPIC PLASTICITY; WEDDELL SEA; PATTERNS; DEPTH; ACIDIFICATION; MORPHOLOGY; DIVERSITY; ISLANDS; GROWTH; SHELF</t>
  </si>
  <si>
    <t>Environmental and biological factors play important roles in determining the skeletal morphology and mineralogy of modular colonial organisms such as bryozoans. The broad bathymetrical ranges of Antarctic bryozoans make them useful organisms for evaluating depth-related changes in colony morphology, including branch diameter, which has been shown to decrease with depth in various ramose colonial animals. The current study focuses on the bryozoan Fasciculipora ramosa, using 32 specimens collected at East Antarctica from 185 to 597 m deep during the CEAMARC cruise (2007-2008). In order to test for the expected inverse relationship between depth and branch diameter, measurements of branch diameters were made. Levels of Mg in the calcite skeleton were determined as this was also predicted to follow changes in branch diameter. A significant negative correlation was found between branch diameter and depth. No significant relationship was detected between branch diameter and skeletal Mg, suggesting that these variables are driven by different factors. The thickest branches were found in current-influenced sites on Adelie Bank where temperature and salinity are both lower and planktonic food supply may also be different from the other sites. Further studies are needed along a wider bathymetrical range to clarify which factors influence branch diameter as well as Mg content in F. ramosa and to test its potential as an environmental indicator.</t>
  </si>
  <si>
    <t>[Figuerola, Blanca] Univ Barcelona, Fac Biol, Biodivers Res Inst IrBIO, Av Diagonal 643, E-08028 Barcelona, Catalonia, Spain; [Figuerola, Blanca; Kuklinski, Piotr] Polish Acad Sci, Inst Oceanol, PL-81712 Sopot, Poland; [Kuklinski, Piotr; Taylor, Paul D.] Nat Hist Museum, Dept Earth Sci, London SW7 5BD, England; [Carmona, Francesc] Univ Barcelona, Fac Biol, Dept Genet Microbiol &amp; Stat, Av Diagonal 643, E-08028 Barcelona, Spain</t>
  </si>
  <si>
    <t>University of Barcelona; Polish Academy of Sciences; Institute of Oceanology of the Polish Academy of Sciences; Natural History Museum London; University of Barcelona</t>
  </si>
  <si>
    <t>Figuerola, B (corresponding author), Univ Barcelona, Fac Biol, Biodivers Res Inst IrBIO, Av Diagonal 643, E-08028 Barcelona, Catalonia, Spain.</t>
  </si>
  <si>
    <t>bfiguerola@gmail.com</t>
  </si>
  <si>
    <t>Figuerola, Blanca/C-6252-2015; Pontaque, Francisco Carmona/ABH-1146-2020</t>
  </si>
  <si>
    <t>Figuerola, Blanca/0000-0003-4731-9337; Pontaque, Francisco Carmona/0000-0002-5410-0854; Taylor, Paul/0000-0002-3127-080X; Kuklinski, Piotr/0000-0002-1507-215X</t>
  </si>
  <si>
    <t>Australian Antarctic Division; Japanese Science Foundation; French Polar Institute IPEV; Museum National d'Histoire Naturelle; Leading National Research Centre (KNOW); European Community Research Infrastructure Action; Polish Ministry of Science and Higher Education; Polish-Norwegian Research Programme; SYNTHESYS Project; Centre for Polar Studies; National Centre for Research and Development under Norwegian Financial Mechanism [Pol-Nor/196260/81/2013]</t>
  </si>
  <si>
    <t>Australian Antarctic Division; Japanese Science Foundation; French Polar Institute IPEV; Museum National d'Histoire Naturelle; Leading National Research Centre (KNOW); European Community Research Infrastructure Action; Polish Ministry of Science and Higher Education(Ministry of Science and Higher Education, Poland); Polish-Norwegian Research Programme; SYNTHESYS Project; Centre for Polar Studies; National Centre for Research and Development under Norwegian Financial Mechanism</t>
  </si>
  <si>
    <t>The authors thank Mary Spencer-Jones for her valuable support at the Natural History Museum, London (NHMUK). We are also very grateful for the helpful suggestions of the editor, Dr. Chiara Lombardi and two anonymous reviewers. We wish to acknowledge the voyage leader, Martin Riddle, the crew and the captain of the RV Aurora Australis. The CAML-CEAMARC cruise of RV Aurora Australis (IPY Project no 53) was supported by the Australian Antarctic Division, the Japanese Science Foundation, the French Polar Institute IPEV and the Museum National d'Histoire Naturelle. The research stages of B.F. at the NHMUK and at the Institute of Oceanology, Polish Academy of Sciences received support from the SYNTHESYS Project http://www.synthesys.info/and from the Leading National Research Centre (KNOW), respectively. SYNTHESYS is financed by European Community Research Infrastructure Action under the FP7 Capacities'' Program. KNOW received funds from the Polish Ministry of Science and Higher Education by the Centre for Polar Studies for the period 2014-2018. The study was also completed thanks to the financial support to PK from the Polish-Norwegian Research Programme operated by the National Centre for Research and Development under the Norwegian Financial Mechanism 2009-2014 in the frame of Project Contract No Pol-Nor/196260/81/2013.</t>
  </si>
  <si>
    <t>0018-8158</t>
  </si>
  <si>
    <t>1573-5117</t>
  </si>
  <si>
    <t>Hydrobiologia</t>
  </si>
  <si>
    <t>10.1007/s10750-017-3213-4</t>
  </si>
  <si>
    <t>FA8TW</t>
  </si>
  <si>
    <t>WOS:000405720000007</t>
  </si>
  <si>
    <t>Carson, CJ; Post, AL; Smith, J; Walker, G; Waring, P; Bartley, R; Raymond, B</t>
  </si>
  <si>
    <t>Carson, C. J.; Post, A. L.; Smith, J.; Walker, G.; Waring, P.; Bartley, R.; Raymond, B.</t>
  </si>
  <si>
    <t>The seafloor geomorphology of the Windmill Islands, Wilkes Land, East Antarctica: Evidence of Law Dome ice margin dynamics</t>
  </si>
  <si>
    <t>Bathymetry; LGM glacial evolution; Submarine geomorphology; Wilkes Land; Windmill Islands; Casey; Law Dome; East Antarctica</t>
  </si>
  <si>
    <t>LAST GLACIAL MAXIMUM; WEST ANTARCTICA; SOUTHERN-OCEAN; SUBMARINE GEOMORPHOLOGY; CONTINENTAL-SHELF; LEVEL CHANGES; ROSS SEA; SHEET; STREAMS; RETREAT</t>
  </si>
  <si>
    <t>A high-resolution multibeam sonar dataset covering an area of ca. 33 km(2) was collected in the vicinity of the Windmill Islands (67 degrees S, 110 degrees E), Wilkes Land, East Antarctica. The new data permit visualisation of the nearshore seafloor morphology in unprecedented detail, providing invaluable insight into the ice-sheet history of the region. A range of geomorphic features are evident, including prominent parallel northwest-trending linear fault sets affecting Mesoproterozoic metamorphic basement, which appear to control the regional coastal physiography. The fault systems probably formed during fragmentation of eastern Gondwana during the Mesozoic. Networks of sub-glacial meltwater channels, preserved on bedrock platforms and ridges, indicate grounding of a thick ice sheet over the continental shelf during previous glaciations. West-trending subtle glacial lineations and streamlined landforms record evidence of the westward expansion of the grounded Law Dome ice sheet margin, probably during the late Pleistocene. The direction of these features coincides with glacial striae on onshore crystalline bedrock outcrops. Perhaps the most striking glacial geomorphological features are sets of arcuate ridges confined mostly within glacially excavated U-shaped troughs formed by erosion of the northwest-trending bedrock fault sets. These ridge sets are interpreted as push moraines or grounding zone features, formed during episodic retreat of highly channelised, topographically-controlled ice-streams following ice surging of the Law Dome margin. This event was possibly triggered in response to local environmental forcing during the mid-late Holocene. Minor post-glacial marine sedimentation is preserved in several small (&lt;= 1 km(2)) isolated basins with shallow seaward sills.</t>
  </si>
  <si>
    <t>[Carson, C. J.; Post, A. L.; Smith, J.] Geosci Australia, GPO Box 378, Canberra, ACT 2601, Australia; [Walker, G.; Waring, P.] Royal Australian Navy, Balls Head Rd, Waverton, NSW 2060, Australia; [Bartley, R.; Raymond, B.] Australian Antarctic Div, Channel Hwy, Kingston, Tas 7050, Australia</t>
  </si>
  <si>
    <t>Geoscience Australia; Australian Antarctic Division</t>
  </si>
  <si>
    <t>Carson, CJ (corresponding author), Geosci Australia, GPO Box 378, Canberra, ACT 2601, Australia.</t>
  </si>
  <si>
    <t>chris.carson@ga.gov.au</t>
  </si>
  <si>
    <t>Carson, Christopher J. J/M-8795-2014</t>
  </si>
  <si>
    <t>Post, Alexandra/0000-0002-6287-3283; Smith, Jodie/0000-0002-4706-4269</t>
  </si>
  <si>
    <t>10.1016/j.geomorph.2017.04.031</t>
  </si>
  <si>
    <t>FA0UZ</t>
  </si>
  <si>
    <t>WOS:000405153300001</t>
  </si>
  <si>
    <t>Koppel, DJ; Gissi, F; Adams, MS; King, CK; Jolley, DF</t>
  </si>
  <si>
    <t>Koppel, Darren J.; Gissi, Francesca; Adams, Merrin S.; King, Catherine K.; Jolley, Dianne F.</t>
  </si>
  <si>
    <t>Chronic toxicity of five metals to the polar marine microalga Cryothecomonas armigera - Application of a new bioassay</t>
  </si>
  <si>
    <t>PHAEODACTYLUM-TRICORNUTUM; BENTHIC DIATOM; A FLUORESCENCE; COPPER; SENSITIVITY; CADMIUM; GROWTH; TIME; PHYTOCHELATIN; CONTAMINANTS</t>
  </si>
  <si>
    <t>The paucity of ecotoxicological data for Antarctic organisms is impeding the development of region specific water quality guidelines. To address this limitation, toxicity testing protocols need to be developed to account for the unique physiology of polar organisms, in particular their slow growth rates. In this study, a toxicity test protocol was developed to investigate the toxicities of five metals to the polar marine microalga Cryothecomonas armigera. The concentrations which reduced population growth rate by 10% (EC10) after 24-d for Cu, Pb, Zn, Cd and Ni were 21.6, 152, 366, 454, and 1220 mu g.L-1, respectively. At the concentrations used in tests, only Cu and Ni were sufficiently toxic to enable the derivation of EC50 values of 63.1 and 1570 mu g.L-1 respectively. All metals affected C armigera's cellular physiology including cellular chlorophyll a fluorescence, cell complexity and size, and lipid concentrations. However, no changes to cellular membrane permeability were observed. The reduction in cellular lipid concentrations was a more sensitive indicator of toxicity for Cd, Ni, and Pb than growth rate inhibition, with EC10 values of 89, 894, and 11 mu g.L-1, respectively, highlighting its potential as a sensitive measure of metal toxicity. (C) 2017 Elsevier Ltd. All rights reserved.</t>
  </si>
  <si>
    <t>[Koppel, Darren J.; Jolley, Dianne F.] Univ Wollongong, Sch Chem, Wollongong, NSW, Australia; [Koppel, Darren J.; Gissi, Francesca; Adams, Merrin S.] CSIRO Land &amp; Water, Lucas Heights, NSW, Australia; [Koppel, Darren J.; King, Catherine K.] Australian Antarctic Div, Kingston, Tas, Australia</t>
  </si>
  <si>
    <t>University of Wollongong; Commonwealth Scientific &amp; Industrial Research Organisation (CSIRO); Australian Antarctic Division</t>
  </si>
  <si>
    <t>Jolley, DF (corresponding author), Univ Wollongong, Sch Chem, Wollongong, NSW, Australia.</t>
  </si>
  <si>
    <t>djk146@uowmail.edu.au; francesca.gissi@csiro.au; merrin.adams@csiro.au; cath.king@aad.gov.au; djolley@uow.edu.au</t>
  </si>
  <si>
    <t>Gissi, Francesca/N-7822-2017; King, Catherine K/G-7059-2017; Koppel, Darren J/AAY-6884-2020; Jolley, Dianne/D-1597-2009; Adams, Merrin/F-3513-2011</t>
  </si>
  <si>
    <t>Gissi, Francesca/0000-0002-4622-7572; King, Catherine K/0000-0003-3356-0381; Koppel, Darren J/0000-0001-7534-237X; Jolley, Dianne/0000-0003-1028-1603; Adams, Merrin/0000-0003-2849-9096</t>
  </si>
  <si>
    <t>Australian government through Australian Antarctic Science [AAS 4326, AAS 4100]; Australian Government Research Training Program Scholarship; CSIRO Land and Water</t>
  </si>
  <si>
    <t>Australian government through Australian Antarctic Science; Australian Government Research Training Program Scholarship(Australian GovernmentDepartment of Industry, Innovation and Science); CSIRO Land and Water(Commonwealth Scientific &amp; Industrial Research Organisation (CSIRO))</t>
  </si>
  <si>
    <t>Funding and support for the present study was provided by the Australian government through Australian Antarctic Science Grants (AAS 4326 and AAS 4100), an Australian Government Research Training Program Scholarship for Darren Koppel, and by CSIRO Land and Water. We thank C. Jarolimek and J. King (CSIRO Land and Water) for assistance with metal concentration analyses, and the anonymous reviewers for comments which improved the manuscript. We would also like to thank A. Cooper, A. Davidson, and P. Lowery (Australian Antarctic Division), for assistance with establishing microalgal cultures and for coordinating the transport of microalgae from Hobart to Sydney. Data generated from this study is available from the Australian Antarctic Data Centre http://dx.doi.org/10.4225/15/5746938EC8C8B (Koppel et al., 2016).</t>
  </si>
  <si>
    <t>10.1016/j.envpol.2017.05.034</t>
  </si>
  <si>
    <t>EZ9IA</t>
  </si>
  <si>
    <t>WOS:000405042100023</t>
  </si>
  <si>
    <t>Carravieri, A; Cherel, Y; Brault-Favrou, M; Churlaud, C; Peluhet, L; Labadie, P; Budzinski, H; Chastel, O; Bustamante, P</t>
  </si>
  <si>
    <t>Carravieri, Alice; Cherel, Yves; Brault-Favrou, Maud; Churlaud, Carine; Peluhet, Laurent; Labadie, Pierre; Budzinski, Helene; Chastel, Olivier; Bustamante, Paco</t>
  </si>
  <si>
    <t>From Antarctica to the subtropics: Contrasted geographical concentrations of selenium, mercury, and persistent organic pollutants in skua chicks (Catharacta spp.)</t>
  </si>
  <si>
    <t>Bioaccumulation; Blood; Chick; HCB; Southern Ocean; Stable isotopes</t>
  </si>
  <si>
    <t>STABLE-ISOTOPE SIGNATURES; SOUTH SHETLAND ISLANDS; TRACE-ELEMENTS; ORGANOCHLORINE POLLUTANTS; INDIVIDUAL SPECIALIZATION; TISSUE CONCENTRATIONS; TROPICAL SEABIRD; TROPHIC POSITION; SEASONAL-CHANGES; DOSE-RESPONSE</t>
  </si>
  <si>
    <t>Seabirds integrate bioaccumulative contaminants via food intake and have revealed geographical trends of contamination in a variety of ecosystems. Pre-fledging seabird chicks are particularly interesting as bioindicators of chemical contamination, because concentrations in their tissues reflect primarily dietary sources from the local environment. Here we measured 14 trace elements and 18 persistent organic pollutants (POPS) in blood of chicks of skuas that breed in four sites encompassing a large latitudinal range within the southern Indian Ocean, from Antarctica (Adelie Land, south polar skua Catharacta maccormicki), through subantarctic areas (Crozet and Kerguelen Islands, brown skua C lonnbergi), to the subtropics (Amsterdam Island, C lonnbergi). Stables isotopes of carbon (delta C-13, feeding habitat) and nitrogen (815N, trophic position) were also measured to control for the influence of feeding habits on contaminant burdens. Concentrations of mercury (Hg) and selenium (Se) were very high at all the four sites, with Amsterdam birds having the highest concentrations ever reported in chicks worldwide (4.0 +/- 0.8 and 646 +/- 123 mu g g(-1) dry weight, respectively). Blood Hg concentrations showed a clear latitudinal pattern, increasing from chicks in Antarctica to chicks in the subantarctic and subtropical islands. Interestingly, blood Se concentrations showed similar between-population differences to Hg, suggesting its involvement in protective mechanisms against Hg toxicity. Chicks' POPs pattern was largely dominated by organochlorine pesticides, in particular DDT metabolites and hexachlorobenzene (HCB). Skua chicks from subantarctic islands presented high concentrations and diversity of POPs. By contrast, chicks from the Antarctic site overall had the lowest concentrations and diversity of both metallic and organic contaminants, with the exception of HCB and arsenic. Skua populations from these sites, being naturally exposed to different quantities of contaminants, are potentially good models for testing toxic effects in developing chicks in the wild. (C) 2017 Elsevier Ltd. All rights reserved.</t>
  </si>
  <si>
    <t>[Carravieri, Alice; Cherel, Yves; Chastel, Olivier] Univ La Rochelle, Ctr Etud Biol Chize, UMR 7372, CNRS, 405 Route Canauderie, F-79360 Villiers En Bois, France; [Brault-Favrou, Maud; Churlaud, Carine; Bustamante, Paco] Univ La Rochelle, Littoral Environm &amp; Soc LIENSs, UMR 7266, CNRS, 2 Rue Olympe de Gouges, F-17000 La Rochelle, France; [Peluhet, Laurent; Labadie, Pierre; Budzinski, Helene] Univ Bordeaux, CNRS, UMR EPOC 5805, LPTC Res Grp, 351 Cours Liberat, F-33405 Talence, France</t>
  </si>
  <si>
    <t>La Rochelle Universite; Centre National de la Recherche Scientifique (CNRS); CNRS - Institute of Ecology &amp; Environment (INEE); Centre National de la Recherche Scientifique (CNRS); CNRS - Institute of Ecology &amp; Environment (INEE); La Rochelle Universite; Universite de Bordeaux; Centre National de la Recherche Scientifique (CNRS); CNRS - National Institute for Earth Sciences &amp; Astronomy (INSU)</t>
  </si>
  <si>
    <t>Carravieri, A (corresponding author), Univ La Rochelle, Ctr Etud Biol Chize, UMR 7372, CNRS, 405 Route Canauderie, F-79360 Villiers En Bois, France.</t>
  </si>
  <si>
    <t>alice.carravieri@gmail.com</t>
  </si>
  <si>
    <t>Bustamante, Paco/G-5833-2011; Labadie, Pierre/F-9297-2015</t>
  </si>
  <si>
    <t>Bustamante, Paco/0000-0003-3877-9390; BUDZINSKI, Helene/0000-0001-5282-9011; Labadie, Pierre/0000-0001-7184-6327</t>
  </si>
  <si>
    <t>Region Poitou-Charentes; Agence Nationale de la Recherche; Institut Polaire Francais Paul Emile Victor [109]; Terres Australes et Antarctiques Francaises (TAAF); Aquitaine Region; European Union</t>
  </si>
  <si>
    <t>Region Poitou-Charentes(Region Nouvelle-Aquitaine); Agence Nationale de la Recherche(Agence Nationale de la Recherche (ANR)); Institut Polaire Francais Paul Emile Victor; Terres Australes et Antarctiques Francaises (TAAF); Aquitaine Region(Region Nouvelle-Aquitaine); European Union(European Union (EU))</t>
  </si>
  <si>
    <t>The present work was supported financially and logistically by the Region Poitou-Charentes through a PhD grant to AC, and by the Agence Nationale de la Recherche (program POLARTOP, O. Chastel), the Institut Polaire Francais Paul Emile Victor (IPEV, program no. 109, H. Weimerskirch) and the Terres Australes et Antarctiques Francaises (TAAF). The Aquitaine Region and the European Union (CPER A2E project) are acknowledged for their financial support. Europe is moving in Aquitaine with the European Regional Development Fund. The authors thank J-B Thiebot and all the field workers that contributed to the collection of samples. The authors also thank T. Lacombe for the skua picture of the graphical abstract. The authors are grateful to the Plateforme Analyses Elementaires and the Plateforme Analyses Isotopiques of the LIENSs laboratory for the access to their analytical facilities, and in particular to G. Guillou for running stable isotope analysis. Field procedures were authorised by the Ethics Committee of IPEV and by the Comite de l'Environnement Polaire.</t>
  </si>
  <si>
    <t>10.1016/j.envpol.2017.05.053</t>
  </si>
  <si>
    <t>WOS:000405042100049</t>
  </si>
  <si>
    <t>Gastauer, S; Scoulding, B; Parsons, M</t>
  </si>
  <si>
    <t>Gastauer, Sven; Scoulding, Ben; Parsons, Miles</t>
  </si>
  <si>
    <t>Estimates of variability of goldband snapper target strength and biomass in three fishing regions within the Northern Demersal Scalefish Fishery (Western Australia)</t>
  </si>
  <si>
    <t>FISHERIES RESEARCH</t>
  </si>
  <si>
    <t>Fisheries acoustics; Geostatistics; Target strength; NDSF; Fishing vessel; Goldband snapper; Error estimates</t>
  </si>
  <si>
    <t>MULTIPLE-FREQUENCY METHOD; ACOUSTIC SURVEYS; SPECIES IDENTIFICATION; KIMBERLEY COAST; AGE VALIDATION; ABUNDANCE; AGGREGATIONS; VERIFICATION; PROPOSALS; MORTALITY</t>
  </si>
  <si>
    <t>Goldband snapper (Pristipomoides multidens) is an ecologically and economically important species in the Northern Demersal Scalefish Fishery (NDSF). The Carolina M, a trap fishing vessel operating in the NDSF, was equipped with Simrad ES70 echosounders, operated at 38 and 120 kHz. In 2014 acoustic data, in combination with optical recordings of the catch, were opportunistically collected during routine fishing operations. In December 2014 pure, low density goldband snapper schools were observed on the echograms. In situ target strength (TS) estimates were derived and linked to length distributions of catch information with the curve fitting method. Estimated TS-Length (I) at 38 kHz was 20.1 log(10)(L)-70.5 and 16.4 log(10)(L)-77 at 120 kHz. Three fishing grounds, where near simultaneously recorded acoustic and optical information was available were selected. Fish school densities observed within the 38 kHz acoustic data were disaggregated according to catch proportions using kriging. Goldband snapper density estimates ranged between 9518 individuals per nmi(2) in the high-density fishing region and 2512 and 945 individuals per nmi(2) in the two low density fishing regions. Sampling variance was estimated using geostatistics (coefficient of variance, CV = 10-20.9%). Other errors considered were signal-to-noise ratio (CV &lt; 1%), variation in the acoustic signal due to fluctuations in temperature and salinity (CV = 0.5-1.15%), effects of diurnal vertical migration and variability of catch information (CV = 1.2-2%). A total CV of 28.2-50.6% was estimated for all considered sources, for the three fishing regions.</t>
  </si>
  <si>
    <t>[Gastauer, Sven; Parsons, Miles] Curtin Univ, Ctr Marine Sci &amp; Technol, GPO Box U1987, Perth, WA 6845, Australia; [Gastauer, Sven] Wageningen Marine Res, POB 68, NL-1970 AB Ijmuiden, Netherlands; [Gastauer, Sven] Univ Tasmania, Antarctic Climate &amp; Ecosyst Cooperat Res Ctr, Private Bag 80, Hobart, Tas 7001, Australia; [Scoulding, Ben] Echoview Software Pty Ltd, GPO Box 1387, Hobart, Tas 7001, Australia</t>
  </si>
  <si>
    <t>Curtin University; Wageningen University &amp; Research; Antarctic Climate &amp; Ecosystems Cooperative Research Centre (ACE CRC); University of Tasmania</t>
  </si>
  <si>
    <t>Gastauer, S (corresponding author), Curtin Univ, CMST, B301 Hayman Rd, Bentley, WA 6102, Australia.</t>
  </si>
  <si>
    <t>sven.gastauer@postgrad.curtin.edu.au</t>
  </si>
  <si>
    <t>Scoulding, Ben/L-6200-2018; Gastauer, Sven/KFT-2835-2024</t>
  </si>
  <si>
    <t>Gastauer, Sven/0000-0001-9676-9946</t>
  </si>
  <si>
    <t>ICES WGFAST; Australian Government via the Fisheries Research and Development Corporation (FRDC); Western Australian Department of Fisheries</t>
  </si>
  <si>
    <t>ICES WGFAST; Australian Government via the Fisheries Research and Development Corporation (FRDC)(Fisheries R&amp;D Corp); Western Australian Department of Fisheries</t>
  </si>
  <si>
    <t>The authors would like to thank ICES WGFAST, for fruitful discussions and support. Echoview Software for data processing and software support, with special thanks to Toby Jarvis and Briony Hutton. Tim Ryan from CSIRO is thanked for helping with CARS data. A special thank you to Kimberley Wildcatch and the crew of Carolina M, as well as Adam and Alison Masters for their support and help during the data collection process. Data included within the present study was collected within a project funded by the Australian Government via the Fisheries Research and Development Corporation (FRDC), with support from the Western Australian Department of Fisheries.</t>
  </si>
  <si>
    <t>0165-7836</t>
  </si>
  <si>
    <t>1872-6763</t>
  </si>
  <si>
    <t>FISH RES</t>
  </si>
  <si>
    <t>Fish Res.</t>
  </si>
  <si>
    <t>10.1016/j.fishres.2017.05.001</t>
  </si>
  <si>
    <t>EY9IA</t>
  </si>
  <si>
    <t>WOS:000404311100026</t>
  </si>
  <si>
    <t>Conca, E; Malandrino, M; Giacomino, A; Buoso, S; Berto, S; Verplanck, PL; Magi, E; Abollino, O</t>
  </si>
  <si>
    <t>Conca, E.; Malandrino, M.; Giacomino, A.; Buoso, S.; Berto, S.; Verplanck, P. L.; Magi, E.; Abollino, O.</t>
  </si>
  <si>
    <t>Dynamics of inorganic components in lake waters from Terra Nova Bay, Antarctica</t>
  </si>
  <si>
    <t>Terra Nova Bay; Antarctica; Lacustrine water; Suspended Particulate Material; Metals; Pattern recognition</t>
  </si>
  <si>
    <t>RARE-EARTH-ELEMENT; MCMURDO DRY VALLEYS; TRACE-ELEMENTS; WRIGHT VALLEY; PARTICULATE MATTER; EAST ANTARCTICA; SURFACE WATERS; HUMAN IMPACTS; ROSS SEA; METALS</t>
  </si>
  <si>
    <t>Water and Suspended Particulate Material (SPM) samples analysed in this work were collected in the austral summer 2011/12 from six shallow Antarctic lakes (Carezza, Edmonson Point 14 and 15a, Gondwana, Inexpressible Island 10b and Tarn Flat 20) of Terra Nova Bay (Northern Victoria Land, Antarctica). The total concentrations of a large suite of inorganic analytes were determined, in order to gain insight into the natural processes regulating species distribution, define natural background values and detect possible present or future local and/or global anthropogenic contamination. Lake water composition was found to be influenced by marine spray, lake geographical position and meltwater input. Seasonal variability was also evaluated for each analyte, and explained considering the natural transport processes involving each species. Multivariate chemometric techniques were used in order to identify groups of samples with similar characteristics and find out similarities and correlations among variables. The variability observed within the water samples is closely connected to the marine aerosol input; hence, it is primarily a consequence of geographical and meteorological factors, such as distance from the ocean and period of year. Higher element concentrations have been found in SPM than in water, suggesting that weathering plays an important role on the chemistry of these lakes or that adsorption processes take place. SPM samples were also examined with a Scanning Electron Microscope (SEM), and many diatoms belonging to different species were detected. No clear evidence of a relevant metal contamination was found in the investigated area. (C) 2017 Elsevier Ltd. All rights reserved.</t>
  </si>
  <si>
    <t>[Conca, E.; Malandrino, M.; Buoso, S.; Berto, S.; Abollino, O.] Univ Turin, Dept Chem, Via Giuria 5, I-10125 Turin, Italy; [Giacomino, A.] Univ Turin, Dept Drug Sci &amp; Technol, Via Giuria 9, I-10125 Turin, Italy; [Verplanck, P. L.] US Geol Survey, MS973 Denver Fed Ctr, Denver, CO 80225 USA; [Magi, E.] Univ Genoa, Dept Chem &amp; Ind Chem, Via Dodecaneso 31, I-16146 Genoa, Italy</t>
  </si>
  <si>
    <t>University of Turin; University of Turin; United States Department of the Interior; United States Geological Survey; University of Genoa</t>
  </si>
  <si>
    <t>Malandrino, M (corresponding author), Univ Turin, Dept Chem, Via Giuria 5, I-10125 Turin, Italy.</t>
  </si>
  <si>
    <t>mery.malandrino@unito.it</t>
  </si>
  <si>
    <t>Magi, Emanuele/C-9564-2011; Conca, Eleonora/IUP-4564-2023; Abollino, Ornella/AAS-7412-2020; Berto, Silvia/AAE-5465-2020</t>
  </si>
  <si>
    <t>Magi, Emanuele/0000-0002-8183-5020; Abollino, Ornella/0000-0003-2350-4941; GIACOMINO, AGNESE/0000-0001-6089-7751; Conca, Eleonora/0000-0002-9303-9427; Malandrino, Mery/0000-0002-8352-0487</t>
  </si>
  <si>
    <t>Italian National Research Program for Antarctica (PNRA) [2009/A2.05]</t>
  </si>
  <si>
    <t>Italian National Research Program for Antarctica (PNRA)</t>
  </si>
  <si>
    <t>This research was supported by the Italian National Research Program for Antarctica (PNRA - grant No. 2009/A2.05). We are grateful to the Italian participants to the XXVII Expedition to Antarctica, in the austral summer 2011/12, for carrying out the samplings.</t>
  </si>
  <si>
    <t>10.1016/j.chemosphere.2017.05.104</t>
  </si>
  <si>
    <t>WOS:000404196400050</t>
  </si>
  <si>
    <t>Alter, K; Andrewartha, SJ; Morash, AJ; Clark, TD; Hellicar, AD; León, RI; Elliott, NG</t>
  </si>
  <si>
    <t>Alter, Katharina; Andrewartha, Sarah J.; Morash, Andrea J.; Clark, Timothy D.; Hellicar, Andrew D.; Leon, Rafael I.; Elliott, Nicholas G.</t>
  </si>
  <si>
    <t>Hybrid abalone are more robust to multi-stressor environments than pure parental species</t>
  </si>
  <si>
    <t>Hybrid vigor; Abalone; Heart rate; Oxygen consumption rate; Movement</t>
  </si>
  <si>
    <t>HALIOTIS-DISCUS-HANNAI; OXYGEN-CONSUMPTION; THERMAL TOLERANCE; GREENLIP ABALONE; HEART-RATE; TEMPERATURE; GROWTH; PLASTICITY; LOCOMOTION; LIMITS</t>
  </si>
  <si>
    <t>Many hybrids of marine molluscs show improved growth in comparison to their pure parental species. Yet, little is known about the physiological mechanisms underlying the better hybrid performance. In this study, movement, oxygen consumption rate ((M) over dot(O2)), and heart rate were determined in 22 month old cultured abalone Haliotis rubra, H. laevigata and their interspecies hybrid, the latter of which exhibits improved growth rate. Abalone were exposed to an acute temperature increase following acclimation to 16 or 23 degrees C at high and low oxygen levels (100% or 70% air saturation, respectively). Movement of hybrids and H. laevigata was generally not affected by temperature and oxygen levels, yet H. rubra showed a strong thermal response. Heart rate and (M) over dot(O2)/temperature slopes revealed that hybrids were least affected by oxygen levels. Arrhenius break-point temperatures of hybrids and H. laevigata, but not H. rubra, were generally higher when abalone were acclimated to 23 degrees C in comparison to 16 degrees C. The hybrid had more stable maximum heart rate and (M) over dot(O2) values across acclimation conditions in comparison to H. laevigata and H. rubra. Thus, it appears that hybrids are able to maintain physiological functions over a broader environmental range. This improved tolerance to environmental fluctuations may bolster energy metabolism and improve growth in variable environments such as aquaculture farms.</t>
  </si>
  <si>
    <t>[Alter, Katharina; Andrewartha, Sarah J.; Clark, Timothy D.] Univ Tasmania, Inst Marine &amp; Antarctic Studies, Hobart, Tas 7001, Australia; [Alter, Katharina; Andrewartha, Sarah J.; Clark, Timothy D.; Elliott, Nicholas G.] Agr &amp; Food Commonwealth Sci &amp; Ind Res Org, Hobart, Tas, Australia; [Morash, Andrea J.] Mt Allison Univ, Dept Biol, Sackville, NB, Canada; [Hellicar, Andrew D.] Commonwealth Sci &amp; Ind Res Org, Data 61, Hobart, Tas, Australia; [Leon, Rafael I.] Univ Tasmania, Inst Marine &amp; Antarctic Studies, Taroona, Tas, Australia</t>
  </si>
  <si>
    <t>University of Tasmania; Commonwealth Scientific &amp; Industrial Research Organisation (CSIRO); Mount Allison University; Commonwealth Scientific &amp; Industrial Research Organisation (CSIRO); University of Tasmania</t>
  </si>
  <si>
    <t>Alter, K (corresponding author), Univ Tasmania, Inst Marine &amp; Antarctic Studies, Hobart, Tas 7001, Australia.</t>
  </si>
  <si>
    <t>katharina.alter@gmail.com</t>
  </si>
  <si>
    <t>Hellicar, Andrew D/B-6633-2011; Alter, Katharina/AAA-6902-2019; León, Rafael I/N-6510-2014; Andrewartha, Sarah/K-4189-2012; Clark, Timothy/K-7129-2012; Alter, Katharina/J-5900-2013</t>
  </si>
  <si>
    <t>Andrewartha, Sarah/0000-0003-1973-9502; Clark, Timothy/0000-0001-8738-3347; Alter, Katharina/0000-0002-1801-748X</t>
  </si>
  <si>
    <t>University of Tasmania; Sense-T Program; CSIRO</t>
  </si>
  <si>
    <t>University of Tasmania; Sense-T Program; CSIRO(Commonwealth Scientific &amp; Industrial Research Organisation (CSIRO))</t>
  </si>
  <si>
    <t>We thank Jade Tiger Abalone for providing their abalone for this study. KA is grateful for support from the University of Tasmania, the Sense-T Program and CSIRO.</t>
  </si>
  <si>
    <t>10.1016/j.aquaculture.2017.04.035</t>
  </si>
  <si>
    <t>EY7TX</t>
  </si>
  <si>
    <t>WOS:000404196200004</t>
  </si>
  <si>
    <t>Zanini, A; Ciancio, V; Laurenza, M; Storini, M; Esposito, A; Terrazas, JC; Morfino, P; Liberatore, A; Di Giovan, G</t>
  </si>
  <si>
    <t>Zanini, Alba; Ciancio, Vicente; Laurenza, Monica; Storini, Marisa; Esposito, Adolfo; Terrazas, Juan Carlos; Morfino, Paolo; Liberatore, Alessandro; Di Giovan, Gustavo</t>
  </si>
  <si>
    <t>Environmental radiation dosimetry at Argentine Antarctic Marambio Base (64° 13′ S, 56° 43′ W): preliminary results</t>
  </si>
  <si>
    <t>JOURNAL OF ENVIRONMENTAL RADIOACTIVITY</t>
  </si>
  <si>
    <t>Secondary atmospheric radiation; Cosmic rays; Neutrons; Dosimetry; Antarctic environmental radiation</t>
  </si>
  <si>
    <t>NEUTRON SPECTROMETRY; MOUNTAIN ALTITUDE; COSMIC-RAYS; SIMULATIONS; SPECTRUM; DECREASE; MONITOR</t>
  </si>
  <si>
    <t>The preliminary results obtained in the first environmental radiation dosimetry campaign performed in the Antarctic region are presented. This experiment is carried out in the framework of CORA (COsmic Rays in Antarctica) Project, a collaboration between Argentine and Italian institutions. After a feasibility study performed in the Antarctic summer 2013, a new campaign has been carried out, started in March 2015, to measure various components of cosmic ray induced secondary atmospheric radiation at the Argentine Marambio Base (Antarctica; 196 m a.s.l., 64 degrees 13' 5, 56 degrees 43' W). Due to a very few dosimetric data available in literature at high southern latitudes, accurate measurements are performed by using a set of different active and passive detectors. Special attention is dedicated to measure the neutron ambient dose equivalent in different energy ranges, by using an active detector, the Atomtex Rem Counter, for neutron energy between 0.025 eV-14 MeV and a set of passive bubble dosimeters, sensitive to thermal neutrons and neutrons in the energy range 100 keV-20 MeV. The results obtained in the first six months of measurements for X and gamma radiation and for low and intermediate energy neutrons (E-n &lt;= 20 MeV) are presented in this paper and show that at high latitude, also at sea level and at distance from the South Magnetic Pole, the ambient dose equivalent is significant, in particular for the high contribution of neutron component. This involves that at higher altitude (i.e. Antarctic Plateau, over 3000 m a.s.l.) the yearly ambient dose equivalent could be higher than the limit of 1 mSv recommended for general public by the International Commission on Radiological Protection (ICRP). (C) 2017 Elsevier Ltd. All rights reserved.</t>
  </si>
  <si>
    <t>[Zanini, Alba] INFN Sez Torino, Via P Giuria 1, I-10125 Turin, Italy; [Ciancio, Vicente; Di Giovan, Gustavo] Univ Nacl La Plata, Ave 7776, RA-1900 La Plata, Buenos Aires, Argentina; [Laurenza, Monica; Storini, Marisa] IAPS INAF, Via Fosso del Cavaliere 100, I-00133 Rome, Italy; [Esposito, Adolfo] LNF INFN, Via E Fermi 40, I-00044 Rome, Italy; [Terrazas, Juan Carlos] INAF OATo, Str Osservatorio 20, I-10025 Turin, Italy; [Morfino, Paolo] Efesto Sarl, 55 Ave Marceau, F-75116 Paris 1, France; [Liberatore, Alessandro] Univ Torino, Dipartimento Fis, Via P Giuria, I-10125 Turin, Italy</t>
  </si>
  <si>
    <t>Istituto Nazionale di Fisica Nucleare (INFN); National University of La Plata; Istituto Nazionale Astrofisica (INAF); Istituto Nazionale di Fisica Nucleare (INFN); Istituto Nazionale Astrofisica (INAF); University of Turin</t>
  </si>
  <si>
    <t>Zanini, A (corresponding author), INFN Sez Torino, Via P Giuria 1, I-10125 Turin, Italy.</t>
  </si>
  <si>
    <t>zanini@to.infn.it</t>
  </si>
  <si>
    <t>Laurenza, Monica/HMD-8729-2023; Liberatore, Alessandro/AAD-2629-2019</t>
  </si>
  <si>
    <t>Laurenza, Monica/0000-0001-5481-4534; Liberatore, Alessandro/0000-0002-0016-7594</t>
  </si>
  <si>
    <t>0265-931X</t>
  </si>
  <si>
    <t>1879-1700</t>
  </si>
  <si>
    <t>J ENVIRON RADIOACTIV</t>
  </si>
  <si>
    <t>J. Environ. Radioact.</t>
  </si>
  <si>
    <t>10.1016/j.jenvrad.2017.04.011</t>
  </si>
  <si>
    <t>EY9HQ</t>
  </si>
  <si>
    <t>WOS:000404310100017</t>
  </si>
  <si>
    <t>Majumdar, RD; Bliumkin, L; Lane, D; Soong, R; Simpson, M; Simpson, AJ</t>
  </si>
  <si>
    <t>Majumdar, Rudraksha Dutta; Bliumkin, Liora; Lane, Daniel; Soong, Ronald; Simpson, Myrna; Simpson, Andre J.</t>
  </si>
  <si>
    <t>Analysis of DOM phototransformation using a looped NMR system integrated with a sunlight simulator</t>
  </si>
  <si>
    <t>WATER RESEARCH</t>
  </si>
  <si>
    <t>Nuclear magnetic resonance spectroscopy; DOM; Photolysis; In situ; Diffusion-edited NMR; COSY; HSQC</t>
  </si>
  <si>
    <t>DISSOLVED-ORGANIC-MATTER; NUCLEAR-MAGNETIC-RESONANCE; MOLECULAR-WEIGHT; PHOTOCHEMICAL PRODUCTION; STRUCTURAL COMPONENTS; NATURAL-ABUNDANCE; SUWANNEE RIVER; GLACIAL ICE; SPECTROSCOPY; MARINE</t>
  </si>
  <si>
    <t>Photochemical transformation plays an important role in functionalizing and degrading dissolved organic matter (DOM), producing one of the most complex mixtures known. In this study, using a flow-based design, nuclear magnetic resonance (NMR) spectroscopy is directly interfaced with a sunlight simulator enabling the study of DOM photodegradation in situ with high temporal resolution over 5 days. Samples from Suwannee River (Florida), Nordic Reservoir (Norway), and Pony Lake (Antarctic) are studied. Phototransformation of DOM is dominated by the degradation of aromatics and unsaturated structures (many arising from lignin) into carboxylated and hydroxylated products. To assess longer term changes, the samples were continuously irradiated for 17.5 days, followed by the identification a wide range of compounds and assessment of their fate using off-line 2D-NMR. This study demonstrates the applicability of the looped system to follow degradation in a non-targeted fashion (the mixture as a whole) and target analysis (tracing specific metabolites), which holds great potential to study the fate and transformation of contaminants and nutrients in the presence of DOM. It also demonstrates that components that remain unresolved in 1D NMR can be identified using 2D methods. (C) 2017 Elsevier Ltd. All rights reserved.</t>
  </si>
  <si>
    <t>[Majumdar, Rudraksha Dutta; Bliumkin, Liora; Lane, Daniel; Soong, Ronald; Simpson, Myrna; Simpson, Andre J.] Univ Toronto Scarborough, Dept Phys &amp; Environm Sci, Environm NMR Ctr, Toronto, ON M1C 1A4, Canada</t>
  </si>
  <si>
    <t>University of Toronto; University Toronto Scarborough</t>
  </si>
  <si>
    <t>Simpson, AJ (corresponding author), Univ Toronto Scarborough, Dept Phys &amp; Environm Sci, Environm NMR Ctr, Toronto, ON M1C 1A4, Canada.</t>
  </si>
  <si>
    <t>andre.simpson@utoronto.ca</t>
  </si>
  <si>
    <t>Majumdar, Rudraksha Dutta/O-6014-2019</t>
  </si>
  <si>
    <t>Majumdar, Rudraksha Dutta/0000-0001-9232-7331; Simpson, Myrna/0000-0002-8084-411X</t>
  </si>
  <si>
    <t>NSERC [STPGP 494273-16, RGPIN-2014-05423]; Canada Foundation for Innovation (CFI); Ministry of Research and Innovation (MRI); Krembil Foundation; Government of Ontario</t>
  </si>
  <si>
    <t>NSERC(Natural Sciences and Engineering Research Council of Canada (NSERC)); Canada Foundation for Innovation (CFI)(Canada Foundation for Innovation); Ministry of Research and Innovation (MRI)(Ministry of Research and Innovation, Ontario); Krembil Foundation; Government of Ontario</t>
  </si>
  <si>
    <t>A.J.S. thanks NSERC, (Strategic (STPGP 494273-16) and Discovery Programs (RGPIN-2014-05423)), the Canada Foundation for Innovation (CFI), and the Ministry of Research and Innovation (MRI) and Krembil Foundation for providing funding. A.J.S. also thanks the Government of Ontario for an Early Researcher Award.</t>
  </si>
  <si>
    <t>0043-1354</t>
  </si>
  <si>
    <t>1879-2448</t>
  </si>
  <si>
    <t>WATER RES</t>
  </si>
  <si>
    <t>Water Res.</t>
  </si>
  <si>
    <t>10.1016/j.watres.2017.04.067</t>
  </si>
  <si>
    <t>Engineering, Environmental; Environmental Sciences; Water Resources</t>
  </si>
  <si>
    <t>Engineering; Environmental Sciences &amp; Ecology; Water Resources</t>
  </si>
  <si>
    <t>EX7LZ</t>
  </si>
  <si>
    <t>WOS:000403431000007</t>
  </si>
  <si>
    <t>Gerardo-Nieto, O; Astorga-España, MS; Mansilla, A; Thalasso, F</t>
  </si>
  <si>
    <t>Gerardo-Nieto, Oscar; Soledad Astorga-Espana, Maria; Mansilla, Andres; Thalasso, Frederic</t>
  </si>
  <si>
    <t>Initial report on methane and carbon dioxide emission dynamics from sub-Antarctic freshwater ecosystems: A seasonal study of a lake and a reservoir</t>
  </si>
  <si>
    <t>CH4; Carbon dioxide; Oxygen; Dissolved gas; Contour maps</t>
  </si>
  <si>
    <t>GAS TRANSFER VELOCITY; DISSOLVED METHANE; PHYSICAL CONTROLS; PRODUCTIVE LAKE; NORTHERN LAKES; TEMPERATE; FLUXES; PATTERNS; EXCHANGE; CLIMATE</t>
  </si>
  <si>
    <t>The sub-Antarctic Magellanic ecoregion is a part of the world where ecosystems have been understudied and where the CH4 cycling and emissions in lakes has not ever been reported. To fill that knowledge gap, a lake and a reservoir located at 53 degrees S were selected and studied during three campaigns equally distributed over one year. Among the parameters measured were CH4 and CO2 emissions, as well their dissolved concentrations in the water column, which were determined with high spatial resolution. No ebullition was observed and the CH4 flux ranged from 0.0094 to 4.47 mmol m(-2) d(-1) while the CO2 flux ranged from -22.95 to 35.68 mmol m(-2) d(-1). Dissolved CH4 concentrations varied over more than four orders of magnitude (0.025-128.75 mu mol L-1), and the dissolved carbon dioxide ranged from below the detection limit of our method (i.e., 0.15 mu mol L-1) to 379.09 mu mol L-1. The high spatial resolution of the methods used enabled the construction of bathymetric maps, surface contour maps of CH4 and CO2 fluxes, and transect contour maps of dissolved oxygen, temperature, and dissolved greenhouse gases. Overall, both lakes were net greenhouse gas producers and were not significantly different from temperate lakes located at a similar northern latitudes (53 degrees N), except that ebullition was never observed in the studied sub-Antarctic lakes. (C) 2017 Elsevier B.V. All rights reserved.</t>
  </si>
  <si>
    <t>[Gerardo-Nieto, Oscar; Thalasso, Frederic] IPN, CINVESTAV, Ctr Invest &amp; Estudios Avanzados, Dept Biotecnol &amp; Bioingn, Av IPN 2508, Mexico City 07360, DF, Mexico; [Soledad Astorga-Espana, Maria; Mansilla, Andres; Thalasso, Frederic] Univ Magallanes, Dept Ciencias &amp; Recursos Nat, POB 113-D, Punta Arenas, Chile; [Mansilla, Andres] Inst Ecol &amp; Biodiversidad, Casilla 653, Santiago, Chile</t>
  </si>
  <si>
    <t>CINVESTAV - Centro de Investigacion y de Estudios Avanzados del Instituto Politecnico Nacional; Instituto Politecnico Nacional - Mexico; Universidad de Magallanes</t>
  </si>
  <si>
    <t>Thalasso, F (corresponding author), IPN, CINVESTAV, Ctr Invest &amp; Estudios Avanzados, Dept Biotecnol &amp; Bioingn, Av IPN 2508, Mexico City 07360, DF, Mexico.;Thalasso, F (corresponding author), Univ Magallanes, Dept Ciencias &amp; Recursos Nat, POB 113-D, Punta Arenas, Chile.</t>
  </si>
  <si>
    <t>thalasso@cinvestav.mx</t>
  </si>
  <si>
    <t>Thalasso, Frederic/E-1403-2011</t>
  </si>
  <si>
    <t>Thalasso, Frederic/0000-0003-2246-2372; Mansilla, Andres/0000-0003-3505-7018; Astorga Espana, Maria Soledad/0000-0003-0647-7515</t>
  </si>
  <si>
    <t>Comision Nacional de Investigacion Cientifica y Tecnologica (Conicyt, Chile) [MEC-2014-80140028]; Consejo Nacional de Ciencia y Tecnologia (CONACYT, Mexico) [233719, 277238]; Parque del Estrecho de Magallanes; Aguas Magallanes S.A.</t>
  </si>
  <si>
    <t>Comision Nacional de Investigacion Cientifica y Tecnologica (Conicyt, Chile)(Comision Nacional de Investigacion Cientifica y Tecnologica (CONICYT)); Consejo Nacional de Ciencia y Tecnologia (CONACYT, Mexico)(Consejo Nacional de Ciencia y Tecnologia (CONACyT)); Parque del Estrecho de Magallanes; Aguas Magallanes S.A.</t>
  </si>
  <si>
    <t>We acknowledge the Comision Nacional de Investigacion Cientifica y Tecnologica (Conicyt, Chile) for the financial support received (MEC-2014-80140028). We also acknowledge the Consejo Nacional de Ciencia y Tecnologia (CONACYT, Mexico) for the financial support to F. Thalasso (sabbatical grant #233719) and for the financial support to O. Gerardo-Nieto (grant #277238). The authors are thankful to Parque del Estrecho de Magallanes and Aguas Magallanes S.A. for their support and to Victoria T. Velazquez-Martinez and Juan Corona-Hernandez for their technical assistance.</t>
  </si>
  <si>
    <t>10.1016/j.scitotenv.2017.02.144</t>
  </si>
  <si>
    <t>WOS:000401201800016</t>
  </si>
  <si>
    <t>Krietsch, J; Hahn, S; Kopp, M; Phillips, RA; Peter, HU; Lisovski, S</t>
  </si>
  <si>
    <t>Krietsch, Johannes; Hahn, Steffen; Kopp, Matthias; Phillips, Richard A.; Peter, Hans-Ulrich; Lisovski, Simeon</t>
  </si>
  <si>
    <t>Consistent variation in individual migration strategies of brown skuas</t>
  </si>
  <si>
    <t>Catharacta antarctica lonnbergi; Seabird ecology; Light-level geolocation; Non-breeding distribution; Individual consistency; Ocean primary productivity; Migratory connectivity</t>
  </si>
  <si>
    <t>ACTIVITY PATTERNS; MOVEMENT PATTERNS; FORAGING BEHAVIOR; BREEDING GROUNDS; RISSA-TRIDACTYLA; CLIMATE-CHANGE; EARLY ARRIVAL; FOOD-WEB; WINTER; REPEATABILITY</t>
  </si>
  <si>
    <t>Seabirds show remarkable variability in migration strategies among individuals and populations. In this study, we analysed 47 migrations of 28 brown skuas Catharacta antarctica lonnbergi breeding on King George Island in the Maritime Antarctic. Brown skuas from this population used a large area during the non-breeding period north of 55 degrees S, including parts of the Patagonian Shelf, Argentine Basin and South Brazil Shelf, areas which are characterised by high levels of marine productivity. However, individual birds utilised only a subset of these areas, adopting 1 of 4 distinct migration strategies to which they were highly faithful between years, and showed high repeatability in departure and arrival dates at the breeding ground. Although they spent the majority of the non-breeding season within a particular region, almost all individuals used the same area in the late winter, exploiting its seasonal peak in productivity. Overall, these results indicate consistent individual variation in migration strategies that may reflect a combination of genetic control and individual experience, but with considerable flexibility to shift distribution in response to prevailing environmental conditions.</t>
  </si>
  <si>
    <t>[Krietsch, Johannes; Kopp, Matthias; Peter, Hans-Ulrich] Friedrich Schiller Univ Jena, Inst Ecol, Polar &amp; Bird Ecol Grp, D-07743 Jena, Germany; [Hahn, Steffen] Swiss Ornithol Inst, Dept Bird Migrat, CH-6204 Sempach, Switzerland; [Phillips, Richard A.] British Antarctic Survey, Nat Environm Res Council, Cambridge CB3 0ET, England; [Lisovski, Simeon] Deakin Univ, Sch Life &amp; Environm Sci, Ctr Integrat Ecol, Geelong, Vic 3220, Australia; [Lisovski, Simeon] Univ Calif Davis, Dept Neurobiol Physiol &amp; Behav, One Shields Ave, Davis, CA 95616 USA</t>
  </si>
  <si>
    <t>Friedrich Schiller University of Jena; Swiss Ornithological Institute; UK Research &amp; Innovation (UKRI); Natural Environment Research Council (NERC); NERC British Antarctic Survey; Deakin University; University of California System; University of California Davis</t>
  </si>
  <si>
    <t>Lisovski, S (corresponding author), Deakin Univ, Sch Life &amp; Environm Sci, Ctr Integrat Ecol, Geelong, Vic 3220, Australia.;Lisovski, S (corresponding author), Univ Calif Davis, Dept Neurobiol Physiol &amp; Behav, One Shields Ave, Davis, CA 95616 USA.</t>
  </si>
  <si>
    <t>simeon.lisovski@gmail.com</t>
  </si>
  <si>
    <t>Lisovski, Simeon/AAD-4201-2019</t>
  </si>
  <si>
    <t>Krietsch, Johannes/0000-0002-8080-1734; Lisovski, Simeon/0000-0002-6399-0035</t>
  </si>
  <si>
    <t>Deutsche Forschungsgemeinschaft [PE 454/1 ff]; German Federal Environment Agency (FKZ) [3708 91 102, 3712 87 100]; Natural Environment Research Council [bas0100035] Funding Source: researchfish; NERC [bas0100035] Funding Source: UKRI</t>
  </si>
  <si>
    <t>Deutsche Forschungsgemeinschaft(German Research Foundation (DFG)); German Federal Environment Agency (FKZ); Natural Environment Research Council(UK Research &amp; Innovation (UKRI)Natural Environment Research Council (NERC)); NERC(UK Research &amp; Innovation (UKRI)Natural Environment Research Council (NERC))</t>
  </si>
  <si>
    <t>We thank the following former members of the Polar &amp; Bird Ecology Group for their instrumental help in the field and/or lab: Markus Ritz, Anja Ru beta, Anne Frohlich, Christina Braun, Tobias Gutter, Michel Stelter and Jan Esefeld, and 3 anonymous referees for helpful comments on the manuscript. The research was supported by the Deutsche Forschungsgemeinschaft (PE 454/1 ff.), and the German Federal Environment Agency (FKZ 3708 91 102, 3708 91 102 &amp; 3712 87 100), which also approved the field work (I 2.4-94003-3/151).</t>
  </si>
  <si>
    <t>AUG 31</t>
  </si>
  <si>
    <t>10.3354/meps11932</t>
  </si>
  <si>
    <t>FH6SY</t>
  </si>
  <si>
    <t>Green Submitted, Green Accepted, Bronze</t>
  </si>
  <si>
    <t>WOS:000411308800013</t>
  </si>
  <si>
    <t>Listowski, C; Lachlan-Cope, T</t>
  </si>
  <si>
    <t>Listowski, Constantino; Lachlan-Cope, Tom</t>
  </si>
  <si>
    <t>The microphysics of clouds over the Antarctic Peninsula - Part 2: modelling aspects within Polar WRF</t>
  </si>
  <si>
    <t>WEATHER RESEARCH; ICE NUCLEI; PARAMETERIZATION; PRECIPITATION; IMPACT; SCHEME; SURFACE; SIMULATIONS; PERFORMANCE; PARTICLES</t>
  </si>
  <si>
    <t>The first intercomparisons of cloud microphysics schemes implemented in the Weather Research and Forecasting (WRF) mesoscale atmospheric model (version 3.5.1) are performed on the Antarctic Peninsula using the polar version of WRF (Polar WRF) at 5 km resolution, along with comparisons to the British Antarctic Survey's aircraft measurements (presented in part 1 of this work; Lachlan-Cope et al., 2016). This study follows previous works suggesting the misrepresentation of the cloud thermodynamic phase in order to explain large radiative biases derived at the surface in Polar WRF continent-wide (at 15 km or coarser horizontal resolution) and in the Polar WRF-based operational forecast model Antarctic Mesoscale Prediction System (AMPS) over the Larsen C Ice Shelf at 5 km horizontal resolution. Five cloud microphysics schemes are investigated: the WRF single-moment five-class scheme (WSM5), the WRF double-moment six-class scheme (WDM6), the Morrison double-moment scheme, the Thompson scheme, and the Milbrandt-Yau double-moment seven-class scheme. WSM5 (used in AMPS) and WDM6 (an upgrade version of WSM5) lead to the largest biases in observed supercooled liquid phase and surface radiative biases. The schemes simulating clouds in closest agreement to the observations are the Morrison, Thompson, and Milbrandt schemes for their better average prediction of occurrences of clouds and cloud phase. Interestingly, those three schemes are also the ones allowing for significant reduction of the longwave surface radiative bias over the Larsen C Ice Shelf (eastern side of the peninsula). This is important for surface energy budget consideration with Polar WRF since the cloud radiative effect is more pronounced in the infrared over icy surfaces. Overall, the Morrison scheme compares better to the cloud observation and radiation measurements. The fact that WSM5 and WDM6 are single-moment parameterizations for the ice crystals is responsible for their lesser ability to model the supercooled liquid clouds compared to the other schemes. However, our investigation shows that all the schemes fail at simulating the supercooled liquid mass at some temperatures (altitudes) where observations show evidence of its persistence. An ice nuclei parameterization relying on both temperature and aerosol content like DeMott et al. (2010) (not currently used in WRF cloud schemes) is in best agreement with the observations, at temperatures and aerosol concentration characteristic of the Antarctic Peninsula where the primary ice production occurs (part 1), compared to parameterization only relying on the atmospheric temperature (used by the WRF cloud schemes). Overall, a realistic double-moment ice microphysics implementation is needed for the correct representation of the supercooled liquid phase in Antarctic clouds. Moreover, a more realistic ice-nucleating particle alone is not enough to improve the cloud modelling, and water vapour and temperature biases also need to be further investigated and reduced.</t>
  </si>
  <si>
    <t>[Listowski, Constantino; Lachlan-Cope, Tom] British Antarctic Survey, NERC, Madingley Rd, Cambridge CB3 0ET, England; [Listowski, Constantino] UPMC Univ Paris 06, CNRS, UVSQ Univ Paris Saclay, LATMOS IPSL, Guyancourt, France</t>
  </si>
  <si>
    <t>UK Research &amp; Innovation (UKRI); Natural Environment Research Council (NERC); NERC British Antarctic Survey; Sorbonne Universite; Universite Paris Saclay; Centre National de la Recherche Scientifique (CNRS)</t>
  </si>
  <si>
    <t>Listowski, C (corresponding author), British Antarctic Survey, NERC, Madingley Rd, Cambridge CB3 0ET, England.;Listowski, C (corresponding author), UPMC Univ Paris 06, CNRS, UVSQ Univ Paris Saclay, LATMOS IPSL, Guyancourt, France.</t>
  </si>
  <si>
    <t>constantino.listowski@latmos.ipsl.fr</t>
  </si>
  <si>
    <t>Listowski, Constantino/X-8595-2019</t>
  </si>
  <si>
    <t>Listowski, Constantino/0000-0001-8693-8689</t>
  </si>
  <si>
    <t>Natural Environment Research Council (NERC) [NE/K01305X/1]; CNES; NERC [bas0100032, NE/K01305X/1] Funding Source: UKRI; Natural Environment Research Council [bas0100032, NE/K01305X/1] Funding Source: researchfish</t>
  </si>
  <si>
    <t>Natural Environment Research Council (NERC)(UK Research &amp; Innovation (UKRI)Natural Environment Research Council (NERC)); CNES(Centre National D'etudes Spatiales); NERC(UK Research &amp; Innovation (UKRI)Natural Environment Research Council (NERC)); Natural Environment Research Council(UK Research &amp; Innovation (UKRI)Natural Environment Research Council (NERC))</t>
  </si>
  <si>
    <t>The authors thank the editor and two anonymous reviewers, who helped to improve the presentation and the content of the manuscript. The authors thank Tony Phillips and Pranab Deb for providing the Antarctic topography adapted to WRF and derived from Fretwell et al. (2013). The study was funded by the Natural Environment Research Council (NERC) under grant NE/K01305X/1. Constantino Listowski also thanks CNES for postdoctoral fellowship funding.</t>
  </si>
  <si>
    <t>10.5194/acp-17-10195-2017</t>
  </si>
  <si>
    <t>FF2JL</t>
  </si>
  <si>
    <t>gold, Green Submitted, Green Accepted</t>
  </si>
  <si>
    <t>WOS:000408723600001</t>
  </si>
  <si>
    <t>Trimborn, S; Brenneis, T; Hoppe, CJM; Laglera, LM; Norman, L; Santos-Echeandía, J; Völkner, C; Wolf-Gladrow, D; Hassler, CS</t>
  </si>
  <si>
    <t>Trimborn, Scarlett; Brenneis, Tina; Hoppe, Clara J. M.; Laglera, Luis M.; Norman, Louiza; Santos-Echeandia, Juan; Voelkner, Christian; Wolf-Gladrow, Dieter; Hassler, Christel S.</t>
  </si>
  <si>
    <t>Iron sources alter the response of Southern Ocean phytoplankton to ocean acidification</t>
  </si>
  <si>
    <t>Climate change; Ocean acidification; Phytoplankton; Iron; Dust; Southern Ocean; Community composition; Diatoms; Phaeocystis</t>
  </si>
  <si>
    <t>NUTRIENT CONSUMPTION RATIO; ANTARCTIC DIATOM; DISSOLVED IRON; CARBONIC-ACID; DRAKE PASSAGE; MINERAL DUST; SEAWATER; AVAILABILITY; GROWTH; FERTILIZATION</t>
  </si>
  <si>
    <t>The projected rise in anthropogenic CO2 and associated ocean acidification (OA) will change trace metal solubility and speciation, potentially altering Southern Ocean (SO) phyto-plankton productivity and species composition. As iron (Fe) sources are important determinants of Fe bioavailability, we assessed the effect of Fe-laden dust versus inorganic Fe (FeCl3) enrichment under ambient and high pCO(2) levels (390 and 900 mu atm) in a naturally Fe-limited SO phytoplankton community. Despite similar Fe chemical speciation and net particulate organic carbon (POC) production rates, CO2-dependent species shifts were controlled by Fe sources. Final phytoplankton communities of both control and dust treatments were dominated by the same species, with an OA-dependent shift from the diatom Pseudo-nitzschia prolongatoides towards the prymnesiophyte Phaeocystis antarctica. Addition of FeCl3 resulted in high abundances of Nitzschia lecointei and Chaetoceros neogracilis under ambient and high pCO(2), respectively. These findings reveal that both the characterization of the phytoplankton community at the species level and the use of natural Fe sources are essential for a realistic projection of the biological carbon pump in the Fe-limited pelagic SO under OA. As dust deposition represents a more realistic scenario for the Fe-limited pelagic SO under OA, unaffected net POC production and dominance of P. antarctica can potentially weaken the export of carbon and silica in the future.</t>
  </si>
  <si>
    <t>[Trimborn, Scarlett; Brenneis, Tina; Hoppe, Clara J. M.; Voelkner, Christian; Wolf-Gladrow, Dieter] Alfred Wegener Inst, Helmholtz Ctr Polar &amp; Marine Res, D-27570 Bremerhaven, Germany; [Trimborn, Scarlett] Univ Bremen, Leobener Str NW2, D-28359 Bremen, Germany; [Laglera, Luis M.] Univ Balearic Isl, FI TRACE, Palma De Mallorca 07122, Spain; [Norman, Louiza] Univ Cambridge, Cambridge CB2 3EA, England; [Santos-Echeandia, Juan] Spanish Inst Oceanog IEO, San Pedro Del Pinatar 30740, Spain; [Hassler, Christel S.] Univ Geneva, Dept FA Forel, CH-1211 Geneva, Switzerland</t>
  </si>
  <si>
    <t>Helmholtz Association; Alfred Wegener Institute, Helmholtz Centre for Polar &amp; Marine Research; University of Bremen; Universitat de les Illes Balears; University of Cambridge; University of Geneva</t>
  </si>
  <si>
    <t>Trimborn, S (corresponding author), Alfred Wegener Inst, Helmholtz Ctr Polar &amp; Marine Res, D-27570 Bremerhaven, Germany.;Trimborn, S (corresponding author), Univ Bremen, Leobener Str NW2, D-28359 Bremen, Germany.</t>
  </si>
  <si>
    <t>scarlett.trimborn@awi.de</t>
  </si>
  <si>
    <t>Hoppe, Clara Jule Marie/AFT-1558-2022; Laglera, Luis/B-7983-2010; Trimborn, Scarlett/AAM-1061-2021; Santos Echeandia, Juan/HMD-1503-2023</t>
  </si>
  <si>
    <t>Hoppe, Clara Jule Marie/0000-0002-2509-0546; Laglera, Luis/0000-0002-5941-5900; Trimborn, Scarlett/0000-0003-1434-9927; Hassler, Christel/0000-0002-8976-5469; SANTOS-ECHEANDIA, JUAN/0000-0001-9101-7307</t>
  </si>
  <si>
    <t>Deutsche Forschungsgemeinschaft (DFG) [TR 899/2]; Helmholtz Impulse Fond (HGF Young Investigators Group EcoTrace); Swiss National Science Foundation [PP00P2_138955]; UTS; Australian Research Council [DP1092892]; MINECO of Spain [CGL2010-11846-E]; European Research Council (ERC) under European Community's Seventh Framework Programme (ERC) [205150]; Swiss National Science Foundation (SNF) [PP00P2_138955] Funding Source: Swiss National Science Foundation (SNF); Australian Research Council [DP1092892] Funding Source: Australian Research Council</t>
  </si>
  <si>
    <t>Deutsche Forschungsgemeinschaft (DFG)(German Research Foundation (DFG)); Helmholtz Impulse Fond (HGF Young Investigators Group EcoTrace); Swiss National Science Foundation(Swiss National Science Foundation (SNSF)); UTS; Australian Research Council(Australian Research Council); MINECO of Spain(Spanish Government); European Research Council (ERC) under European Community's Seventh Framework Programme (ERC)(European Research Council (ERC)); Swiss National Science Foundation (SNF)(Swiss National Science Foundation (SNSF)); Australian Research Council(Australian Research Council)</t>
  </si>
  <si>
    <t>We thank S. Ossebar for macronutrient analysis and J. Holscher for BSi and DIC measurements. Thanks also to H. de Baar and M. Rijkenberg who supported us in setting up the voltammetry at the AWI. We also thank F. Hinz for scanning electron microscopy pictures for identification of the species and U. Schussler for having placed a trace metal clean container at our disposal. We gratefully thank M. Ellwood for providing the membrane pump for trace metal clean seawater sampling. Also, we thank the 3 reviewers for their detailed and helpful comments on the manuscript. Finally, we would like to thank the captain and crew of RV 'Polarstern' during ANTXXVIII/3. S.T. was funded by the Deutsche Forschungsgemeinschaft (DFG) in the framework of the priority programme 'Antarctic Research with comparative investigations in Arctic ice areas', project TR 899/2. S.T., T.B. and C.V. were funded by the Helmholtz Impulse Fond (HGF Young Investigators Group EcoTrace). C.S.H. was funded by a Swiss National Science Foundation Professor Fellowship (PP00P2_138955) and a UTS Chancellor Postdoctoral Fellowship. Furthermore, C.H. and L.N. were funded by the Australian Research Council (Discovery Project DP1092892). L.M.L. and J.S.E. participation was funded by MINECO of Spain (CGL2010-11846-E). This work was further supported by research grants from the European Research Council (ERC) under the European Community's Seventh Framework Programme (to C. J. M. H., FP7/2007-2013, ERC grant agreement no. 205150).</t>
  </si>
  <si>
    <t>10.3354/meps12250</t>
  </si>
  <si>
    <t>WOS:000411308800003</t>
  </si>
  <si>
    <t>Phillips, RA; Lewis, S; González-Solís, J; Daunt, F</t>
  </si>
  <si>
    <t>Phillips, Richard A.; Lewis, Sue; Gonzalez-Solis, Jacob; Daunt, Francis</t>
  </si>
  <si>
    <t>Causes and consequences of individual variability and specialization in foraging and migration strategies of seabirds</t>
  </si>
  <si>
    <t>Individual specialization; Consistency; Sexual segregation; Age effects; Central-place constraint; Intrinsic variation; State dependence; Life-history</t>
  </si>
  <si>
    <t>THICK-BILLED MURRES; WHITE-CHINNED PETRELS; PERSISTENT ORGANIC POLLUTANTS; ALBATROSSES DIOMEDEA-EXULANS; SEX-SPECIFIC DIFFERENCES; AGE-RELATED DIFFERENCES; GANNETS MORUS-BASSANUS; REPRODUCTIVE SUCCESS; STABLE-ISOTOPES; GIANT PETRELS</t>
  </si>
  <si>
    <t>Technological advances in recent years have seen an explosion of tracking and stable isotope studies of seabirds, often involving repeated measures from the same individuals. This wealth of new information has allowed the examination of the extensive variation among and within individuals in foraging and migration strategies (movements, habitat use, feeding behaviour, trophic status, etc.) in unprecedented detail. Variation is underpinned by key life-history or state variables such as sex, age, breeding stage and residual differences among individuals (termed 'individual specialization'). This variation has major implications for our understanding of seabird ecology, because it affects the use of resources, level of intra-specific competition and niche partitioning. In addition, it determines the responses of individuals and populations to the environment and the susceptibility to major anthropogenic threats. Here we review the effects of season (breeding vs. nonbreeding periods), breeding stage, breeding status, age, sex and individual specialization on foraging and migration strategies, as well as the consequences for population dynamics and conservation.</t>
  </si>
  <si>
    <t>[Phillips, Richard A.] British Antarctic Survey, Nat Environm Res Council, Madingley Rd, Cambridge CB3 0ET, England; [Lewis, Sue; Daunt, Francis] Ctr Ecol &amp; Hydrol, Bush Estate, Penicuik EH26 0QB, Midlothian, Scotland; [Gonzalez-Solis, Jacob] Univ Barcelona, Inst Recerca Biodiversitat IRBio, Av Diagonal 643, E-08028 Barcelona, Spain; [Gonzalez-Solis, Jacob] Univ Barcelona, Dept Biol Evolut Ecol &amp; Ciencies Ambientals BEECA, Av Diagonal 643, E-08028 Barcelona, Spain</t>
  </si>
  <si>
    <t>UK Research &amp; Innovation (UKRI); Natural Environment Research Council (NERC); NERC British Antarctic Survey; UK Centre for Ecology &amp; Hydrology (UKCEH); University of Barcelona; University of Barcelona</t>
  </si>
  <si>
    <t>Phillips, RA (corresponding author), British Antarctic Survey, Nat Environm Res Council, Madingley Rd, Cambridge CB3 0ET, England.</t>
  </si>
  <si>
    <t>raphil@bas.ac.uk</t>
  </si>
  <si>
    <t>Lewis, Sue/D-3380-2012; Daunt, Francis/K-6688-2012; Gonzalez-Solis, Jacob/C-3942-2008; González-Solís, Jacob/AAB-1161-2019</t>
  </si>
  <si>
    <t>Lewis, Sue/0000-0003-3511-2259; Gonzalez-Solis, Jacob/0000-0002-8691-9397;</t>
  </si>
  <si>
    <t>Natural Environment Research Council [ceh020002, NE/E012906/1, bas0100035] Funding Source: researchfish; NERC [bas0100035, NE/E012906/1, ceh020002] Funding Source: UKRI</t>
  </si>
  <si>
    <t>Natural Environment Research Council(UK Research &amp; Innovation (UKRI)Natural Environment Research Council (NERC)); NERC(UK Research &amp; Innovation (UKRI)Natural Environment Research Council (NERC))</t>
  </si>
  <si>
    <t>10.3354/meps12217</t>
  </si>
  <si>
    <t>Bronze, Green Published, Green Accepted, Green Submitted</t>
  </si>
  <si>
    <t>WOS:000411308800008</t>
  </si>
  <si>
    <t>Carneiro, APB; Bonnet-Lebrun, AS; Manica, A; Staniland, IJ; Phillips, RA</t>
  </si>
  <si>
    <t>Carneiro, Ana P. B.; Bonnet-Lebrun, Anne-Sophie; Manica, Andrea; Staniland, Iain J.; Phillips, Richard A.</t>
  </si>
  <si>
    <t>Methods for detecting and quantifying individual specialisation in movement and foraging strategies of marine predators</t>
  </si>
  <si>
    <t>Behavioural consistency; Foraging site fidelity; Foraging specialisation; Marine mammals; Niche variation; Repeatability; Seabirds; Site fidelity</t>
  </si>
  <si>
    <t>SHEARWATERS CALONECTRIS-DIOMEDEA; STABLE-ISOTOPE SIGNATURES; GANNETS MORUS-BASSANUS; WHITE-CHINNED PETRELS; ANTARCTIC FUR SEALS; SOUTH GEORGIA; DIET SPECIALIZATION; PELAGIC SEABIRD; SITE FIDELITY; WANDERING ALBATROSSES</t>
  </si>
  <si>
    <t>There is increasing realisation that individuals in many animal populations differ substantially in resource, space or habitat use. Differences that cannot be attributed to any a priori way of classifying individuals (i.e. age, sex and other group effects) are often termed 'individual specialisation'. The aim of this paper is to assess the most common approaches for detecting and quantifying individual specialisation and consistencies in foraging behaviour, movement patterns and diet of marine predators using 3 types of data: conventional diet data, stable isotope ratios and tracking data. Methods using conventional diet data rely on a comparison between the proportions of each dietary source in the total diet and in the diet of individuals, or analyses of the statistical distribution of a prey metric (e.g. size); the latter often involves comparing ratios of individual and population variance. Approaches frequently used to analyse stable isotope or tracking data reduced to 1 dimension (trip characteristics, e.g. maximum trip distance or latitude/longitude at certain landmarks) include correlation tests and repeatability analysis. Finally, various spatial analyses are applied to other types of tracking data (e.g. distances between centroids of distributions or migratory routes, or overlap between distributions), and methods exist to compare habitat use. We discuss the advantages and disadvantages of these approaches, issues arising from other effects unrelated to individual specialisation per se (in particular those related to temporal scale) and potential solutions.</t>
  </si>
  <si>
    <t>[Carneiro, Ana P. B.] BirdLife Int, David Attenborough Bldg,Pembroke St, Cambridge CB2 3QZ, England; [Bonnet-Lebrun, Anne-Sophie; Manica, Andrea] Univ Cambridge, Dept Zool, Downing St, Cambridge CB2 3EJ, England; [Bonnet-Lebrun, Anne-Sophie] Univ Montpellier, Univ Paul Valery Montpellier, CNRS, EPHE,CEFE UMR 5175, F-34293 Montpellier, France; [Staniland, Iain J.; Phillips, Richard A.] British Antarctic Survey, Nat Environm Res Council, Madingley Rd, Cambridge CB3 0ET, England</t>
  </si>
  <si>
    <t>BirdLife International; University of Cambridge; Universite PSL; Ecole Pratique des Hautes Etudes (EPHE); Centre National de la Recherche Scientifique (CNRS); CNRS - Institute of Ecology &amp; Environment (INEE); Universite Paul-Valery; Universite de Montpellier; UK Research &amp; Innovation (UKRI); Natural Environment Research Council (NERC); NERC British Antarctic Survey</t>
  </si>
  <si>
    <t>Carneiro, APB (corresponding author), BirdLife Int, David Attenborough Bldg,Pembroke St, Cambridge CB2 3QZ, England.</t>
  </si>
  <si>
    <t>ana.bertoldi.carneiro@gmail.com</t>
  </si>
  <si>
    <t>Bonnet-Lebrun, Anne-Sophie/GYU-2977-2022; Manica, Andrea/N-9013-2019; Staniland, Iain/I-4725-2012; Manica, Andrea/B-5497-2008; Carneiro, Ana Paula/IQT-6077-2023</t>
  </si>
  <si>
    <t>Bonnet-Lebrun, Anne-Sophie/0000-0002-7587-615X; Manica, Andrea/0000-0003-1895-450X; Staniland, Iain/0000-0003-2736-9134;</t>
  </si>
  <si>
    <t>Natural Environment Research Council; NERC [bas0100035] Funding Source: UKRI; Natural Environment Research Council [bas0100035] Funding Source: researchfish</t>
  </si>
  <si>
    <t>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</si>
  <si>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study represents a contribution to the Ecosystems component of the British Antarctic Survey's Polar Science for Planet Earth Programme, funded by The Natural Environment Research Council. We thank the anonymous referees for their many helpful suggestions for improvements to the paper.</t>
  </si>
  <si>
    <t>10.3354/meps12215</t>
  </si>
  <si>
    <t>Bronze, Green Submitted, Green Accepted</t>
  </si>
  <si>
    <t>WOS:000411308800009</t>
  </si>
  <si>
    <t>Bogdanova, MI; Butler, A; Wanless, S; Moe, B; Anker-Nilssen, T; Frederiksen, M; Boulinier, T; Chivers, LS; Christensen-Dalsgaard, S; Descamps, S; Harris, MP; Newell, M; Olsen, B; Phillips, RA; Shaw, D; Steen, H; Strom, H; Thórarinsson, TL; Daunt, F</t>
  </si>
  <si>
    <t>Bogdanova, Maria I.; Butler, Adam; Wanless, Sarah; Moe, Borge; Anker-Nilssen, Tycho; Frederiksen, Morten; Boulinier, Thierry; Chivers, Lorraine S.; Christensen-Dalsgaard, Signe; Descamps, Sebastien; Harris, Michael P.; Newell, Mark; Olsen, Bergur; Phillips, Richard A.; Shaw, Deryk; Steen, Harald; Strom, Hallvard; Thorarinsson, Thorkell L.; Daunt, Francis</t>
  </si>
  <si>
    <t>Multi-colony tracking reveals spatio-temporal variation in carry-over effects between breeding success and winter movements in a pelagic seabird</t>
  </si>
  <si>
    <t>Seasonal interactions; Migration; Reproduction; Life-history strategies; Geolocation; Black-legged kittiwake; Rissa tridactyla; North Atlantic</t>
  </si>
  <si>
    <t>RISSA-TRIDACTYLA; SEASONAL INTERACTIONS; MIGRATORY BIRD; ANNUAL CYCLE; HABITAT USE; KITTIWAKE; POPULATION; DIET; PERFORMANCE; PHENOLOGY</t>
  </si>
  <si>
    <t>Carry-over effects, whereby events in one season have consequences in subsequent seasons, have important demographic implications. Although most studies examine carry-over effects across 2 seasons in single populations, the effects may persist beyond the following season and vary across a species' range. To assess potential carry-over effects across the annual cycle and among populations, we deployed geolocation loggers on black-legged kittiwakes Rissa tridactyla at 10 colonies in the north-east Atlantic and examined relationships between the timing and destination of migratory movements and breeding success in the year of deployment and sub-sequent season. Both successful and unsuccessful breeders wintered primarily in the north-west Atlantic. Breeding success affected the timing of migration, whereby unsuccessful breeders departed the colony earlier, arrived at the post-breeding and main wintering areas sooner, and departed later the following spring. However, these patterns were only apparent in colonies in the south-west of the study region. Furthermore, the effect of breeding success was stronger on migration timing in the first part of the winter than later. Timing of migratory movements was weakly linked to subsequent breeding success, and there was no detectable association between breeding success in the 2 seasons. Our results indicate temporal structure and spatial heterogeneity in the strength of seasonal interactions among kittiwakes breeding in the north-east Atlantic. Variable fitness consequences for individuals from different colonies could have important implications for population processes across the species' range and suggest that the spatiotemporal dynamics of carry-over effects warrant further study.</t>
  </si>
  <si>
    <t>[Bogdanova, Maria I.; Wanless, Sarah; Harris, Michael P.; Newell, Mark; Daunt, Francis] Ctr Ecol &amp; Hydrol, Bush Estate, Penicuik EH26 0QB, Midlothian, Scotland; [Butler, Adam] Biomath &amp; Stat Scotland, Kings Bldg, Edinburgh EH9 3FD, Midlothian, Scotland; [Moe, Borge; Anker-Nilssen, Tycho; Christensen-Dalsgaard, Signe] Norwegian Inst Nat Res, N-7485 Trondheim, Norway; [Frederiksen, Morten] Aarhus Univ, Dept Biosci, DK-4000 Roskilde, Denmark; [Boulinier, Thierry] Univ Montpellier, Ctr Ecol Fonct &amp; Evolut, UMR 5175, CNRS, F-34293 Montpellier, France; [Descamps, Sebastien; Steen, Harald; Strom, Hallvard] Norwegian Polar Res Inst, Fram Ctr, N-9296 Tromso, Norway; [Olsen, Bergur] Faroe Marine Res Inst, FR-100 Noatun, Torshavn, Denmark; [Phillips, Richard A.] British Antarctic Survey, Nat Environm Res Council, Cambridge CB3 0ET, England; [Thorarinsson, Thorkell L.] Northeast Iceland Nat Res Ctr, IS-640 Husavik, Iceland</t>
  </si>
  <si>
    <t>UK Centre for Ecology &amp; Hydrology (UKCEH); James Hutton Institute; University of Edinburgh; Norwegian Institute Nature Research; Aarhus University; Centre National de la Recherche Scientifique (CNRS); CNRS - Institute of Ecology &amp; Environment (INEE); Universite PSL; Ecole Pratique des Hautes Etudes (EPHE); Institut Agro; Montpellier SupAgro; CIRAD; Institut de Recherche pour le Developpement (IRD); Universite Paul-Valery; Universite de Montpellier; Norwegian Polar Institute; Faroe Marine Research Institute (FAMRI); UK Research &amp; Innovation (UKRI); Natural Environment Research Council (NERC); NERC British Antarctic Survey</t>
  </si>
  <si>
    <t>Bogdanova, MI (corresponding author), Ctr Ecol &amp; Hydrol, Bush Estate, Penicuik EH26 0QB, Midlothian, Scotland.</t>
  </si>
  <si>
    <t>marib@ceh.ac.uk</t>
  </si>
  <si>
    <t>Frederiksen, Morten/A-7542-2008; Butler, Adam/A-8002-2010; Anker-Nilssen, Tycho/AAB-7666-2022; Daunt, Francis/K-6688-2012; Bogdanova, Maria/AAS-2483-2020; Moe, Borge/P-2946-2015</t>
  </si>
  <si>
    <t>Frederiksen, Morten/0000-0001-5550-0537; Anker-Nilssen, Tycho/0000-0002-1030-5524; Moe, Borge/0000-0002-2306-1899; BOULINIER, Thierry/0000-0002-5898-7667; Thorarinsson, Thorkell Lindberg/0000-0002-1638-2555</t>
  </si>
  <si>
    <t>Natural Environment Research Council (UK); Northern Ireland Environment Agency; Shetland Oil Terminal Environmental Advisory Group; Fram Centre (Norway); Norwegian Environment Agency; Norwegian SEAPOP Programme; French Polar Institute (IPEV) [333]; NERC [ceh020002, bas0100035] Funding Source: UKRI; Natural Environment Research Council [bas0100035, ceh020002] Funding Source: researchfish</t>
  </si>
  <si>
    <t>Natural Environment Research Council (UK)(UK Research &amp; Innovation (UKRI)Natural Environment Research Council (NERC)); Northern Ireland Environment Agency; Shetland Oil Terminal Environmental Advisory Group; Fram Centre (Norway); Norwegian Environment Agency; Norwegian SEAPOP Programme; French Polar Institute (IPEV); NERC(UK Research &amp; Innovation (UKRI)Natural Environment Research Council (NERC)); Natural Environment Research Council(UK Research &amp; Innovation (UKRI)Natural Environment Research Council (NERC))</t>
  </si>
  <si>
    <t>We are very grateful to the numerous people involved in field data collection, in particular Jacob Gonzalez-Solis, David Gremillet, Aurore Ponchon, Jeremy Tornos and Rob Barrett. The work was funded by the Natural Environment Research Council (UK), Northern Ireland Environment Agency, Shetland Oil Terminal Environmental Advisory Group, Fram Centre (Norway), Norwegian Environment Agency (formerly Directorate for Nature Management), Norwegian SEAPOP Programme and French Polar Institute (IPEV programme no. 333). Procedures were conducted under licences and ethical guidelines relevant to all countries involved.</t>
  </si>
  <si>
    <t>10.3354/meps12096</t>
  </si>
  <si>
    <t>Green Submitted, Bronze, Green Accepted</t>
  </si>
  <si>
    <t>WOS:000411308800010</t>
  </si>
  <si>
    <t>Busch, AA; Kunert, G; Heckel, DG; Pauchet, Y</t>
  </si>
  <si>
    <t>Busch, Andre A.; Kunert, Grit; Heckel, David G.; Pauchet, Yannick</t>
  </si>
  <si>
    <t>Evolution and functional characterization of CAZymes belonging to subfamily 10 of glycoside hydrolase family 5 (GH5_10) in two species of phytophagous beetles</t>
  </si>
  <si>
    <t>MULBERRY LONGICORN BEETLE; WALL DEGRADING ENZYMES; MOLECULAR-CLONING; ANTARCTIC SPRINGTAIL; ENZYMATIC-ACTIVITY; PROVIDES INSIGHTS; BETA-MANNANASE; CDNA CLONING; BLUE MUSSEL; INSECT PEST</t>
  </si>
  <si>
    <t>Hemicelluloses, such as xyloglucan, xylan and mannans, consist of a heterogeneous array of plant-derived polysaccharides that form the plant cell wall. These polysaccharides differ from each other in their structure and physiochemical properties, but they share a beta-(1,4)linked sugar backbone. Hemicelluloses can be hydrolyzed by plant-cell-wall-degrading enzymes (PCWDEs), which are widely distributed in phytopathogenic microbes. Recently, it has become apparent that phytophagous beetles also produce their own PCWDEs. Our previous work identified genes encoding putative mannanases belonging to the subfamily 10 of glycoside hydrolase (GH) family 5 (GH5_10) in the genomes of the leaf beetle, Gastrophysa viridula (Chrysomelidae, Chrysomelinae; one gene), and of the bean beetle, Callosobruchus maculatus (Chrysomelidae, Bruchinae; four genes). In contrast to proteins from other GH5 subfamilies, GH5_10 proteins are patchily distributed within the tree of life and have so far hardly been investigated. We addressed the following questions: Are beetle-derived GH5_10s active PCWDEs? How did they evolve? What is their physiological function? Using heterologous protein expression and enzymatic assays, we show that the G. viridula GH5_10 protein is an endo-beta-1,4-mannanase. We also demonstrate that only one out of four C. maculatus GH5_10 proteins is an endo-beta-1,4-mannanase, which has additional activity on carboxymethyl cellulose. Unexpectedly, another C. maculatus GH5_10 protein has evolved to use xylan instead of mannans as a substrate. RNAi experiments in G. viridula indicate (i) that the sole GH5_10 protein is responsible for breaking down mannans in the gut and (ii) that this breakdown may rather be accessory and may facilitate access to plant cell content, which is rich in nitrogen and simple sugars. Phylogenetic analyses indicate that coleopteran-derived GH5_10 proteins cluster together with Chelicerata-derived ones. Interestingly, other insect-derived GH5_10 proteins cluster elsewhere, suggesting insects have several independent evolutionary origins.</t>
  </si>
  <si>
    <t>[Busch, Andre A.; Heckel, David G.; Pauchet, Yannick] Max Planck Inst Chem Ecol, Entomol, Jena, Germany; [Kunert, Grit] Max Planck Inst Chem Ecol, Biochem, Jena, Germany</t>
  </si>
  <si>
    <t>Max Planck Society; Max Planck Society</t>
  </si>
  <si>
    <t>Pauchet, Y (corresponding author), Max Planck Inst Chem Ecol, Entomol, Jena, Germany.</t>
  </si>
  <si>
    <t>ypauchet@ice.mpg.de</t>
  </si>
  <si>
    <t>Kunert, Grit/H-4271-2014; Pauchet, Yannick/AAU-9751-2021; Heckel, David G/K-2138-2013</t>
  </si>
  <si>
    <t>Kunert, Grit/0000-0002-9969-8044; Pauchet, Yannick/0000-0002-2918-8946; Heckel, David G/0000-0001-8991-2150</t>
  </si>
  <si>
    <t>Max-Planck-Gesellschaft</t>
  </si>
  <si>
    <t>Max-Planck-Gesellschaft(Max Planck Society)</t>
  </si>
  <si>
    <t>This work was supported by Max-Planck-Gesellschaft (YP, AB, GK, DGH). The funder had no role in study design, data collection and analysis, decision to publish, or preparation of the manuscript.</t>
  </si>
  <si>
    <t>AUG 30</t>
  </si>
  <si>
    <t>e0184305</t>
  </si>
  <si>
    <t>10.1371/journal.pone.0184305</t>
  </si>
  <si>
    <t>FF1XX</t>
  </si>
  <si>
    <t>WOS:000408693600090</t>
  </si>
  <si>
    <t>Laura, S; Marco, B; Barbara, C</t>
  </si>
  <si>
    <t>Laura, Schejter; Marco, Bertolino; Barbara, Calcinai</t>
  </si>
  <si>
    <t>Description of Antho (Plocamia) bremecae sp.nov and checklist of Microcionidae (Demospongiae: Poecilosclerida) from Burdwood Bank and neighboring areas, SW Atlantic Ocean</t>
  </si>
  <si>
    <t>Porifera; Southern Ocean; taxonomy; seamounts; Argentina</t>
  </si>
  <si>
    <t>SPONGE BIODIVERSITY; PORIFERA; ISLANDS</t>
  </si>
  <si>
    <t>In this contribution, we describe a new Demospongiae species, Antho (Plocamia) bremecae sp. nov., from the west slope of Burdwood bank, a poorly studied region in the SW Atlantic Ocean. We also recorded for the first time in the region two other microcionid species, Clathria (Axosuberites) nidificata and Clathria (Microciona) antarctica. In addition, a regional checklist of Microcionidae from Burdwood Bank and neighboring areas, including Malvinas (Falkland) Islands, Tierra del Fuego Province and the North of the Scotia Arc (South Georgia and Shag Rocks) is provided.</t>
  </si>
  <si>
    <t>[Laura, Schejter] Inst Nacl Invest &amp; Desarrollo Pesquero INIDEP, Paseo Victoria Ocampo 1, RA-7600 Mar Del Plata, Buenos Aires, Argentina; [Laura, Schejter] IIMyC, Paseo Victoria Ocampo 1, RA-7600 Mar Del Plata, Buenos Aires, Argentina; [Marco, Bertolino] Univ Genoa, Dipartimento Sci Terra Ambiente &amp; Vita DISTAV, Corso Europa 26, I-16132 Genoa, Italy; [Barbara, Calcinai] Univ Politecn Marche, Dipartimento Sci Vita &amp; Ambiente DiSVA, Via Brecce Bianche, I-60131 Ancona, Italy</t>
  </si>
  <si>
    <t>National Fisheries Research &amp; Development Institute (INIDEP); Consejo Nacional de Investigaciones Cientificas y Tecnicas (CONICET); University of Genoa; Marche Polytechnic University</t>
  </si>
  <si>
    <t>Laura, S (corresponding author), Inst Nacl Invest &amp; Desarrollo Pesquero INIDEP, Paseo Victoria Ocampo 1, RA-7600 Mar Del Plata, Buenos Aires, Argentina.;Laura, S (corresponding author), IIMyC, Paseo Victoria Ocampo 1, RA-7600 Mar Del Plata, Buenos Aires, Argentina.</t>
  </si>
  <si>
    <t>schejter@inidep.edu.ar</t>
  </si>
  <si>
    <t>Schejter, Laura/AAR-1106-2020; Bertolino, Marco/AAI-7707-2020</t>
  </si>
  <si>
    <t>Schejter, Laura/0000-0001-5443-4048; BERTOLINO, Marco/0000-0003-3233-303X</t>
  </si>
  <si>
    <t>CONICET; PICT [2013-0629]</t>
  </si>
  <si>
    <t>CONICET(Consejo Nacional de Investigaciones Cientificas y Tecnicas (CONICET)); PICT(ANPCyT)</t>
  </si>
  <si>
    <t>The authors wish to thank all the scientific staff and crew of the R/V Nathaniel B. Palmer during the 2008 US Antarctic Cruise, especially to Kate Hendry for the help and cooperative work during sponge sampling on board. We also thank the valuable suggestions of the reviewers and of Eduardo Hajdu to improve the content of this article. This study was partially supported by CONICET and PICT 2013-0629 to LS. This is INIDEP Contribution No 2050.</t>
  </si>
  <si>
    <t>10.11646/zootaxa.4312.3.11</t>
  </si>
  <si>
    <t>FF0CY</t>
  </si>
  <si>
    <t>WOS:000408571000011</t>
  </si>
  <si>
    <t>Fan, Y; Tian, LL; Xue, Y; Li, ZJ; Hou, H; Xue, CH</t>
  </si>
  <si>
    <t>Fan, Yan; Tian, Lili; Xue, Yong; Li, Zhaojie; Hou, Hu; Xue, Changhu</t>
  </si>
  <si>
    <t>Characterization of protease and effects of temperature and salinity on the biochemical changes during fermentation of Antarctic krill</t>
  </si>
  <si>
    <t>JOURNAL OF THE SCIENCE OF FOOD AND AGRICULTURE</t>
  </si>
  <si>
    <t>Antarctic krill (Euphausia superba); protease; fermentation; salinity; temperature</t>
  </si>
  <si>
    <t>EUPHAUSIA-SUPERBA; STARTER CULTURES; FISH SAUCE; PURIFICATION; TRYPSIN; SHRIMP; BACTERIA; QUALITY; ENZYMES; FRESH</t>
  </si>
  <si>
    <t>BACKGROUND: Despite their abundance, Antarctic krill are underutilized because of numerous difficulties in their commercial processing. Ideally, fermentation technology can be applied to transform them into a popular condiment. In addition to the exploration of protease properties, the present study aimed to evaluate proteinase activity, pH, amino nitrogen, and histamine formation during fermentation at different temperatures and salt treatments. RESULTS: Even though the activity of Antarctic krill protease reached a maximum at 40 degrees C and pH 7, it was stable at 30 degrees C and pH 7-9. Among the metal ions tested, Ca2+, Mg2+ and K+ increased protease activity, in contrast to Zn2+ and Cu2+. Within each treatment, the highest protease activity and amino nitrogen content, aswell as the lowest histamine level, were observed on day 12 of fermentation. Treatment at 35 degrees C with 180 g kg(-1) salt led to the production of maximum amino nitrogen (0.0352 g kg(-1)) and low histamine (&lt;= 0.0497 g kg(-1)). CONCLUSION: Krill paste fermented for 12 days at 35 degrees C with 180 g kg(-1) salt exhibited the optimal quality and properties, suggesting an efficientmethod for fermentation of Antarctic krill and other aquatic resources. (C) 2017 Society of Chemical Industry</t>
  </si>
  <si>
    <t>[Fan, Yan; Tian, Lili; Xue, Yong; Li, Zhaojie; Hou, Hu; Xue, Changhu] Ocean Univ China, Coll Food Sci &amp; Engn, 5 Yu Shan Rd, Qingdao 266003, Peoples R China</t>
  </si>
  <si>
    <t>Ocean University of China</t>
  </si>
  <si>
    <t>Hou, H; Xue, CH (corresponding author), Ocean Univ China, Coll Food Sci &amp; Engn, 5 Yu Shan Rd, Qingdao 266003, Peoples R China.</t>
  </si>
  <si>
    <t>houhu@ouc.edu.cn; xuech@ouc.edu.cn</t>
  </si>
  <si>
    <t>Tian, li/HQY-8623-2023</t>
  </si>
  <si>
    <t>State Key Program of National Natural Science of China [31330060]; National Natural Science Fund of China [31571865]; Shandong Province Science and Technology major special fund [2015ZDZX05003]</t>
  </si>
  <si>
    <t>State Key Program of National Natural Science of China(National Natural Science Foundation of China (NSFC)); National Natural Science Fund of China(National Natural Science Foundation of China (NSFC)); Shandong Province Science and Technology major special fund</t>
  </si>
  <si>
    <t>Support for the present study was provided by the State Key Program of National Natural Science of China (grant no. 31330060), the National Natural Science Fund of China (grant no. 31571865) and the Shandong Province Science and Technology major special fund (grant no. 2015ZDZX05003).</t>
  </si>
  <si>
    <t>0022-5142</t>
  </si>
  <si>
    <t>1097-0010</t>
  </si>
  <si>
    <t>J SCI FOOD AGR</t>
  </si>
  <si>
    <t>J. Sci. Food Agric.</t>
  </si>
  <si>
    <t>10.1002/jsfa.8209</t>
  </si>
  <si>
    <t>Agriculture, Multidisciplinary; Chemistry, Applied; Food Science &amp; Technology</t>
  </si>
  <si>
    <t>Agriculture; Chemistry; Food Science &amp; Technology</t>
  </si>
  <si>
    <t>FA4LU</t>
  </si>
  <si>
    <t>WOS:000405415600008</t>
  </si>
  <si>
    <t>Agüera, A; Ahn, IY; Guillaumot, C; Danis, B</t>
  </si>
  <si>
    <t>Aguera, Antonio; Ahn, In-Young; Guillaumot, Charlene; Danis, Bruno</t>
  </si>
  <si>
    <t>A Dynamic Energy Budget (DEB) model to describe Laternula elliptica (King, 1832) seasonal feeding and metabolism</t>
  </si>
  <si>
    <t>ANTARCTIC BIVALVE; GEORGE-ISLAND; POTTER COVE; SEA-ICE; COVARIATION METHOD; LARVAL DEVELOPMENT; CLIMATE-CHANGE; MARIAN COVE; BRODERIP; CLAM</t>
  </si>
  <si>
    <t>Antarctic marine organisms are adapted to an extreme environment, characterized by a very low but stable temperature and a strong seasonality in food availability arousing from variations in day length. Ocean organisms are particularly vulnerable to global climate change with some regions being impacted by temperature increase and changes in primary production. Climate change also affects the biotic components of marine ecosystems and has an impact on the distribution and seasonal physiology of Antarctic marine organisms. Knowledge on the impact of climate change in key species is highly important because their performance affects ecosystem functioning. To predict the effects of climate change on marine ecosystems, a holistic understanding of the life history and physiology of Antarctic key species is urgently needed. DEB (Dynamic Energy Budget) theory captures the metabolic processes of an organism through its entire life cycle as a function of temperature and food availability. The DEB model is a tool that can be used to model lifetime feeding, growth, reproduction, and their responses to changes in biotic and abiotic conditions. In this study, we estimate the DEB model parameters for the bivalve Laternula elliptica using literatureextracted and field data. The DEB model we present here aims at better understanding the biology of L. elliptica and its levels of adaptation to its habitat with a special focus on food seasonality. The model parameters describe a metabolism specifically adapted to low temperatures, with a low maintenance cost and a high capacity to uptake and mobilise energy, providing this organism with a level of energetic performance matching that of related species from temperate regions. It was also found that L. elliptica has a large energy reserve that allows enduring long periods of starvation. Additionally, we applied DEB parameters to time-series data on biological traits (organism condition, gonad growth) to describe the effect of a varying environment in food and temperature on the organism condition and energy use. The DEB model developed here for L. elliptica allowed us to improve benchmark knowledge on the ecophysiology of this key species, providing new insights in the role of food availability and temperature on its life cycle and reproduction strategy.</t>
  </si>
  <si>
    <t>[Aguera, Antonio; Guillaumot, Charlene; Danis, Bruno] Univ Libre Bruxelles, Lab Biol Marine CP160 15, Brussels, Belgium; [Ahn, In-Young] Korea Polar Res Inst KOPRI, Incheon, South Korea</t>
  </si>
  <si>
    <t>Universite Libre de Bruxelles; Korea Polar Research Institute (KOPRI)</t>
  </si>
  <si>
    <t>Agüera, A (corresponding author), Univ Libre Bruxelles, Lab Biol Marine CP160 15, Brussels, Belgium.</t>
  </si>
  <si>
    <t>antonio.aguera@gmail.com</t>
  </si>
  <si>
    <t>Agüera, Antonio/O-5498-2017; Danis, Bruno/AAS-8444-2021</t>
  </si>
  <si>
    <t>Agüera, Antonio/0000-0003-0076-1849; Danis, Bruno/0000-0002-9037-7623</t>
  </si>
  <si>
    <t>project vERSO from Belgian Office of Science, BELSPO [BR/132/A1/vERSO]; KOPRI [PE17070]; Belgian Science Policy Office (BELSPO [BR/132/A1/vERSO]; Korea Polar Research Institute [PE17070]</t>
  </si>
  <si>
    <t>project vERSO from Belgian Office of Science, BELSPO; KOPRI(Korea Polar Research Institute of Marine Research Placement (KOPRI)); Belgian Science Policy Office (BELSPO(Belgian Federal Science Policy Office); Korea Polar Research Institute(Korea Polar Research Institute of Marine Research Placement (KOPRI))</t>
  </si>
  <si>
    <t>This work is funded by the project vERSO (from the Belgian Office of Science, BELSPO contract no BR/132/A1/vERSO). This fund covered the time invested by the researchers at the University Libre de Bruxelles on this work. Marian Cove field data used was provided and previously published by author I-YA. Marian Cove data collection was funded by KOPRI (PE17070).; This is contribution no. 19 to the vERSO project (www.versoproject.be), funded by the Belgian Science Policy Office (BELSPO, contract no BR/132/A1/vERSO). Original data collection funded by the Korea Polar Research Institute (PE17070).</t>
  </si>
  <si>
    <t>AUG 29</t>
  </si>
  <si>
    <t>e0183848</t>
  </si>
  <si>
    <t>10.1371/journal.pone.0183848</t>
  </si>
  <si>
    <t>FE9SU</t>
  </si>
  <si>
    <t>WOS:000408544200032</t>
  </si>
  <si>
    <t>Zhang, XB; Church, JA; Monselesan, D; McInnes, KL</t>
  </si>
  <si>
    <t>Zhang, Xuebin; Church, John A.; Monselesan, Didier; McInnes, Kathleen L.</t>
  </si>
  <si>
    <t>Sea level projections for the Australian region in the 21st century</t>
  </si>
  <si>
    <t>sea level projection; dynamic downscaling; ocean gyre circulation; Australia</t>
  </si>
  <si>
    <t>VARIABILITY; SIMULATIONS; CIRCULATION; CMIP5; RISE</t>
  </si>
  <si>
    <t>Sea level rise exhibits significant regional differences. Based on Coupled Model Intercomparison Project Phase 5 (CMIP5) models, sea level projections have been produced for the Australian region by taking account of regional dynamic changes, ocean thermal expansion, mass loss of glaciers, changes in Greenland and Antarctic ice sheets and land water storage, and glacial isostatic adjustment. However, these regional projections have a coarse resolution (similar to 100km), while coastal adaptation planners demand finer scale information at the coast. To address this need, a 1/10 degrees near-global ocean model driven by ensemble average forcings from 17 CMIP5 models is used to downscale future climate. We produce high-resolution sea level projections by combining downscaled dynamic sea level with other contributions. Off the southeast coast, dynamic downscaling provides better representation of high sea level projections associated with gyre circulation and boundary current changes. The high-resolution sea level projection should be a valuable product for detailed coastal adaptation planning.</t>
  </si>
  <si>
    <t>[Zhang, Xuebin] CSIRO Oceans &amp; Atmosphere, Ctr Southern Hemisphere Oceans Res CSHOR, Hobart, Tas, Australia; [Church, John A.] Univ New South Wales, Climate Change Res Ctr, Sydney, NSW, Australia; [Monselesan, Didier] CSIRO Oceans &amp; Atmosphere, Hobart, Tas, Australia; [McInnes, Kathleen L.] CSIRO Oceans &amp; Atmosphere, Aspendale, Vic, Australia</t>
  </si>
  <si>
    <t>Commonwealth Scientific &amp; Industrial Research Organisation (CSIRO); University of New South Wales Sydney; Commonwealth Scientific &amp; Industrial Research Organisation (CSIRO); Commonwealth Scientific &amp; Industrial Research Organisation (CSIRO)</t>
  </si>
  <si>
    <t>Zhang, XB (corresponding author), CSIRO Oceans &amp; Atmosphere, Ctr Southern Hemisphere Oceans Res CSHOR, Hobart, Tas, Australia.</t>
  </si>
  <si>
    <t>xuebin.zhang@csiro.au</t>
  </si>
  <si>
    <t>Zhang, Xuebin/A-3405-2012; Church, John A/A-1541-2012; McInnes, Kathleen/A-7787-2012; Monselesan, Didier/A-2327-2012</t>
  </si>
  <si>
    <t>Zhang, Xuebin/0000-0003-1731-3524; Church, John A/0000-0002-7037-8194; McInnes, Kathleen/0000-0002-1810-7215; Monselesan, Didier/0000-0002-0310-8995</t>
  </si>
  <si>
    <t>Earth System and Climate Change Hub of Australian Government's National Environmental Science Programme; New South Wales Government through its Environmental Trust [2014/RD/0038]</t>
  </si>
  <si>
    <t>Earth System and Climate Change Hub of Australian Government's National Environmental Science Programme; New South Wales Government through its Environmental Trust</t>
  </si>
  <si>
    <t>CMIP5 model data are downloaded from the PCMDI (http://www-pcmdi.llnl.gov). The downscaling results are produced by the CSIRO Ocean Downscaling Strategic Project, in close collaboration with the Bluelink team (http://wp.csiro.au/bluelink/global/). Downscaling experiment was carried out at the Australian National Computing Infrastructure (NCI, http://nci.org.au/), and data presented in this paper are available upon request through the corresponding author. We also thank A. Slangen, R. Van de Wal, and two anonymous reviewers for their critical comments. This work is supported by the Earth System and Climate Change Hub of Australian Government's National Environmental Science Programme and the New South Wales Government through its Environmental Trust (2014/RD/0038).</t>
  </si>
  <si>
    <t>AUG 28</t>
  </si>
  <si>
    <t>10.1002/2017GL074176</t>
  </si>
  <si>
    <t>FG8DR</t>
  </si>
  <si>
    <t>WOS:000410658800046</t>
  </si>
  <si>
    <t>Yi, W; Reid, IM; Xue, XH; Younger, JP; Murphy, DJ; Chen, TD; Dou, XK</t>
  </si>
  <si>
    <t>Yi, Wen; Reid, Iain M.; Xue, Xianghui; Younger, Joel P.; Murphy, Damian J.; Chen, Tingdi; Dou, Xiankang</t>
  </si>
  <si>
    <t>Response of neutral mesospheric density to geomagnetic forcing</t>
  </si>
  <si>
    <t>neutral mesospheric density; meteor radar; recurrent geomagnetic activity; solar cycle 24; mesospheric ozone; energetic particle precipitation</t>
  </si>
  <si>
    <t>METEOR RADAR; DIFFUSION-COEFFICIENTS; MESOPAUSE REGION; VHF RADAR; TEMPERATURE; OH; OSCILLATIONS; PRESSURE; TRAINS</t>
  </si>
  <si>
    <t>We report an analysis of the neutral mesosphere density response to geomagnetic activity from January 2016 to February 2017 over Antarctica. Neutral mesospheric densities from 85 to 95km are derived using data from the Davis meteor radar (68.5 degrees S, 77.9 degrees E) and the Microwave Limb Sounder on the Aura satellite. Spectral and Morlet wavelet analyses indicate that a prominent oscillation with a periodicity of 13.5days is observed in the mesospheric density during the declining phase of solar cycle 24 and is associated with variations in solar wind high-speed streams and recurrent geomagnetic activity. The periodic oscillation in density shows a strong anticorrelation with periodic changes in the auroral electrojet index. These results indicate that a significant decrease in neutral mesospheric density as the geomagnetic activity enhances.</t>
  </si>
  <si>
    <t>[Yi, Wen; Xue, Xianghui; Chen, Tingdi; Dou, Xiankang] Univ Sci &amp; Technol China, Dept Geophys &amp; Planetary Sci, CAS Key Lab Geospace Environm, Hefei, Anhui, Peoples R China; [Yi, Wen; Xue, Xianghui; Chen, Tingdi] Univ Sci &amp; Technol China, Sch Earth &amp; Space Sci, Mengcheng Natl Geophys Observ, Hefei, Anhui, Peoples R China; [Yi, Wen; Reid, Iain M.; Younger, Joel P.] Univ Adelaide, Sch Phys Sci, Adelaide, SA, Australia; [Reid, Iain M.; Younger, Joel P.] ATRAD Pty Ltd, Thebarton, SA, Australia; [Xue, Xianghui] Univ Sci &amp; Technol China, Synerget Innovat Ctr Quantum Informat &amp; Quantum P, Hefei, Anhui, Peoples R China; [Murphy, Damian J.] Australian Antarctic Div, Kingston, Tas, Australia</t>
  </si>
  <si>
    <t>Chinese Academy of Sciences; University of Science &amp; Technology of China, CAS; Chinese Academy of Sciences; University of Science &amp; Technology of China, CAS; University of Adelaide; ATRAD Pty Ltd.; Chinese Academy of Sciences; University of Science &amp; Technology of China, CAS; CAS Center for Excellence in Quantum Information &amp; Quantum Physics; Australian Antarctic Division</t>
  </si>
  <si>
    <t>Xue, XH (corresponding author), Univ Sci &amp; Technol China, Dept Geophys &amp; Planetary Sci, CAS Key Lab Geospace Environm, Hefei, Anhui, Peoples R China.;Xue, XH (corresponding author), Univ Sci &amp; Technol China, Sch Earth &amp; Space Sci, Mengcheng Natl Geophys Observ, Hefei, Anhui, Peoples R China.;Reid, IM (corresponding author), Univ Adelaide, Sch Phys Sci, Adelaide, SA, Australia.;Reid, IM (corresponding author), ATRAD Pty Ltd, Thebarton, SA, Australia.;Xue, XH (corresponding author), Univ Sci &amp; Technol China, Synerget Innovat Ctr Quantum Informat &amp; Quantum P, Hefei, Anhui, Peoples R China.</t>
  </si>
  <si>
    <t>iain.reid@adelaide.edu.au; xuexh@ustc.edu.cn</t>
  </si>
  <si>
    <t>Reid, Iain/B-5681-2012; Yi, Wen/M-4896-2019; Xue, Xianghui/S-5789-2019; Younger, Joel/I-4601-2012</t>
  </si>
  <si>
    <t>Reid, Iain/0000-0003-2340-9047; Yi, Wen/0000-0003-3717-6811; Xue, Xianghui/0000-0002-4541-9900; Younger, Joel/0000-0003-2918-1709; Murphy, Damian/0000-0003-1738-5560</t>
  </si>
  <si>
    <t>National Natural Science Foundation of China [41774158, 41474129, 41421063]; Chinese Academy of Sciences [KJCX2-EW-J01]; Youth Innovation Promotion Association of the Chinese Academy of Sciences [2011324]; Fundamental Research Fund for the Central Universities; China Scholarship Council; University of Adelaide; ATRAD Pty Ltd; Australian Antarctic Science project [4025]</t>
  </si>
  <si>
    <t>National Natural Science Foundation of China(National Natural Science Foundation of China (NSFC)); Chinese Academy of Sciences(Chinese Academy of Sciences); Youth Innovation Promotion Association of the Chinese Academy of Sciences; Fundamental Research Fund for the Central Universities; China Scholarship Council(China Scholarship Council); University of Adelaide; ATRAD Pty Ltd; Australian Antarctic Science project</t>
  </si>
  <si>
    <t>This work is supported by the National Natural Science Foundation of China (41774158, 41474129 and 41421063), the Chinese Academy of Sciences (KJCX2-EW-J01), the Youth Innovation Promotion Association of the Chinese Academy of Sciences (2011324), the Fundamental Research Fund for the Central Universities, and the China Scholarship Council. We also acknowledge support provided by the University of Adelaide and ATRAD Pty Ltd, and the provision of Davis meteor radar data by the Australian Antarctic Division. Operation of the Davis meteor radar was supported under Australian Antarctic Science project 4025. We thank the NASA EOS Aura MLS team for providing free access to their data. The MATLAB wavelet analysis software was provided by C. Torrence and G. Compo and is available at URL http://paos.colorado.edu/research/wavelets/software.html, and a rectified wavelet analysis software was provided by Liu et al. [2007] and is available at URL http://ocgweb.marine.usf.edu/similar to liu/wavelet.html. Aura/MLS data are available from http://disc.sci.gsfc.nasa.gov/Aura/data-holdings/MLS. The solar wind speed, Kp, AE, and F10.7 data were obtained from the Goddard Space Flight Centre/Space Physics Data Facility (GSFC/SPDF) OMNIWeb interface (https://omniweb.gsfc.nasa.gov/ow.html). Meteor radar data are available from the University of Adelaide and the Australian Antarctic Division upon request. The involvement of IMR and JPY was supported by ATRAD Pty Ltd.</t>
  </si>
  <si>
    <t>10.1002/2017GL074813</t>
  </si>
  <si>
    <t>WOS:000410658800064</t>
  </si>
  <si>
    <t>Gran-Scheuch, A; Fuentes, E; Bravo, DM; Jiménez, JC; Pérez-Donoso, JM</t>
  </si>
  <si>
    <t>Gran-Scheuch, Alejandro; Fuentes, Edwar; Bravo, Denisse M.; Cristobal Jimenez, Juan; Perez-Donoso, Jose M.</t>
  </si>
  <si>
    <t>Isolation and Characterization of Phenanthrene Degrading Bacteria from Diesel Fuel-Contaminated Antarctic Soils</t>
  </si>
  <si>
    <t>Antarctica; bioremediation; phenanthrene</t>
  </si>
  <si>
    <t>POLYCYCLIC AROMATIC-HYDROCARBONS; HEAVY-METALS; EDIBLE OILS; BIOREMEDIATION; DEGRADATION; SPHINGOMONAS; GENES; NAPHTHALENE; DIVERSITY; SEDIMENTS</t>
  </si>
  <si>
    <t>Antarctica is an attractive target for human exploration and scientific investigation, however the negative effects of human activity on this continent are long lasting and can have serious consequences on the native ecosystem. Various areas of Antarctica have been contaminated with diesel fuel, which contains harmful compounds such as heavy metals and polycyclic aromatic hydrocarbons (PAH). Bioremediation of PAHs by the activity of microorganisms is an ecological, economical, and safe decontamination approach. Since the introduction of foreign organisms into the Antarctica is prohibited, it is key to discover native bacteria that can be used for diesel bioremediation. By following the degradation of the PAH phenanthrene, we isolated 53 PAH metabolizing bacteria from diesel contaminated Antarctic soil samples, with three of these isolates exhibiting a high phenanthrene degrading capacity. In particular, the Sphingobium xenophagum D43FB isolate showed the highest phenanthrene degradation ability, generating up to 95% degradation of initial phenanthrene. D43FB can also degrade phenanthrene in the presence of its usual co-pollutant, the heavy metal cadmium, and showed the ability to grow using diesel-fuel as a sole carbon source. Microtiter plate assays and SEM analysis revealed that S. xenophagum D43FB exhibits the ability to form biofilms and can directly adhere to phenanthrene crystals. Genome sequencing analysis also revealed the presence of several genes involved in PAH degradation and heavy metal resistance in the D43FB genome. Altogether, these results demonstrate that S. xenophagum D43FB shows promising potential for its application in the bioremediation of diesel fuel contaminated-Antarctic ecosy stems.</t>
  </si>
  <si>
    <t>[Gran-Scheuch, Alejandro; Cristobal Jimenez, Juan; Perez-Donoso, Jose M.] Univ Andres Bello, Fac Ciencias Biol, Ctr Bioinformat &amp; Integrat Biol, Bionanotechnol &amp; Microbiol Lab, Santiago, Chile; [Gran-Scheuch, Alejandro; Fuentes, Edwar] Univ Chile, Fac Ciencias Quim &amp; Farmaceut, Dept Quim Inorgan &amp; Analit, Santiago, Chile; [Bravo, Denisse M.] Univ Chile, Fac Odontol, Lab Microbiol Oral, Santiago, Chile; [Bravo, Denisse M.; Cristobal Jimenez, Juan; Perez-Donoso, Jose M.] uBiome, Res &amp; Dev Lab, Santiago, Chile</t>
  </si>
  <si>
    <t>Universidad Andres Bello; Universidad de Chile; Universidad de Chile</t>
  </si>
  <si>
    <t>Jiménez, JC; Pérez-Donoso, JM (corresponding author), Univ Andres Bello, Fac Ciencias Biol, Ctr Bioinformat &amp; Integrat Biol, Bionanotechnol &amp; Microbiol Lab, Santiago, Chile.;Jiménez, JC; Pérez-Donoso, JM (corresponding author), uBiome, Res &amp; Dev Lab, Santiago, Chile.</t>
  </si>
  <si>
    <t>jcjimenez@gmx.com; jose.perez@unab.cl</t>
  </si>
  <si>
    <t>Pérez-Donoso, José M./G-3668-2013</t>
  </si>
  <si>
    <t>Pérez-Donoso, José M./0000-0002-9506-1716; Gran Scheuch, Alejandro/0000-0001-9979-0927</t>
  </si>
  <si>
    <t>Erika Elcira Donoso Lopez [Fondecyt 1151255, INACH MT-05_13, INACH RT-25_16, UNAB DI 488-14/R, AFOSR FA9550-15-1-0140]; CONICYT (Comision Nacional de Investigacion Cientifica y Tecnologica)</t>
  </si>
  <si>
    <t>Erika Elcira Donoso Lopez; CONICYT (Comision Nacional de Investigacion Cientifica y Tecnologica)(Comision Nacional de Investigacion Cientifica y Tecnologica (CONICYT))</t>
  </si>
  <si>
    <t>This work was supported by Erika Elcira Donoso Lopez, Fondecyt 1151255 (JP and DB), INACH MT-05_13 (AG), INACH RT-25_16 (JP and DB), UNAB DI 488-14/R (JP) and AFOSR FA9550-15-1-0140 (JP). A M. Sc. fellowship from CONICYT (Comision Nacional de Investigacion Cientifica y Tecnologica) to AG is also acknowledged. Many thanks to Juan Ugalde, Felipe Melis, and Paulo Covarrubias for their help with genome processing and assembly.</t>
  </si>
  <si>
    <t>10.3389/fmicb.2017.01634</t>
  </si>
  <si>
    <t>FE9DL</t>
  </si>
  <si>
    <t>WOS:000408504300001</t>
  </si>
  <si>
    <t>Lavigne, T; Liu, CT; Deierling, W; Mach, D</t>
  </si>
  <si>
    <t>Lavigne, Thomas; Liu, Chuntao; Deierling, Wiebke; Mach, Douglas</t>
  </si>
  <si>
    <t>Relationship between the global electric circuit and electrified cloud parameters at diurnal, seasonal, and interannual timescales</t>
  </si>
  <si>
    <t>NINO SOUTHERN-OSCILLATION; EL-NINO; LIGHTNING ACTIVITY; RIMING ELECTRIFICATION; CHARGE SEPARATION; GEOELECTRIC FIELD; SOLAR-WIND; THUNDERSTORMS; VARIABILITY; TRMM</t>
  </si>
  <si>
    <t>In the early 1900s, J. W. Whipple began to validate C. T. R. Wilson's global electric circuit (GEC) hypothesis by correlating the diurnal variation of global thunder days with the diurnal variation of the fair weather electric field measured by the Carnegie Cruise. This study applies 16+ years of precipitation feature (PF) data from the Tropical Rainfall Measuring Mission, including lightning data from the Lightning Imaging Sensor, alongside 12 years of electric field measurements from Vostok, Antarctica, to further examine this relationship. Joint diurnal-seasonal variations of the electric field are introduced and compared with a variety of PF parameters that are potentially related to the GEC. All tested PF parameters showed significant correlations to the electric field on the joint seasonal-diurnal timescale, with the flash rate and volume of 30 dBZ between the -5 degrees C and -35 degrees C isotherms showing the best linear correlations with R-2 values of 0.67 and 0.62, respectively. Furthermore, these relationships are analyzed during the two different phases of the El Nino-Southern Oscillation. Results show different seasonal-diurnal variations of the electric field during El Nino and La Nina periods, with enhancements in the electric field between the months of January through April at 16-24 UTC in La Nina years. A similar trend is shown in global PF parameters, indicating relationships between the variations seen in the fair weather electric field and the variations of global PFs at diurnal, seasonal, and interannual timescales. This provides further evidence that PFs around the globe have a direct connection to the GEC.</t>
  </si>
  <si>
    <t>[Lavigne, Thomas; Liu, Chuntao] Texas A&amp;M Univ, Dept Phys &amp; Environm Sci, Corpus Christi, TX 78412 USA; [Deierling, Wiebke] Univ Colorado, Dept Aerosp Engn Sci, Boulder, CO 80309 USA; [Mach, Douglas] Univ Space Res Assoc, Sci &amp; Technol Inst, Huntsville, AL USA</t>
  </si>
  <si>
    <t>Texas A&amp;M University System; University of Colorado System; University of Colorado Boulder; Universities Space Research Association (USRA)</t>
  </si>
  <si>
    <t>Lavigne, T (corresponding author), Texas A&amp;M Univ, Dept Phys &amp; Environm Sci, Corpus Christi, TX 78412 USA.</t>
  </si>
  <si>
    <t>tlavigne@islander.tamucc.edu</t>
  </si>
  <si>
    <t>liu, chuntao/CAF-5778-2022; liu, chuntao/CAI-2189-2022</t>
  </si>
  <si>
    <t>Mach, Douglas/0000-0002-4541-6590; liu, chuntao/0000-0002-6914-0920</t>
  </si>
  <si>
    <t>National Science Foundation [1519006]; NASA PMM science [NNXAD76G]; Directorate For Geosciences; Div Atmospheric &amp; Geospace Sciences [1519006] Funding Source: National Science Foundation; Directorate For Geosciences; Div Atmospheric &amp; Geospace Sciences [1135446] Funding Source: National Science Foundation</t>
  </si>
  <si>
    <t>National Science Foundation(National Science Foundation (NSF)); NASA PMM science; Directorate For Geosciences; Div Atmospheric &amp; Geospace Sciences(National Science Foundation (NSF)NSF - Directorate for Geosciences (GEO)); Directorate For Geosciences; Div Atmospheric &amp; Geospace Sciences(National Science Foundation (NSF)NSF - Directorate for Geosciences (GEO))</t>
  </si>
  <si>
    <t>We would like to thank the generous contributions and ideas from Earle Williams and two other anonymous reviewers that greatly improved the quality of this work. This study was supported by National Science Foundation-1519006 and NASA PMM science NNXAD76G. Thanks to Erich Stocker and the Precipitation Processing System (PPS) team at NASA Goddard Space Flight Center, Greenbelt, MD, for TRMM data processing assistance. This TRMM data can be downloaded from http://atmos.tamucc.edu/trmm/data/. The Vostok electric field data were collected by specialists of the Russian Antarctic program under a collaborative Russian-Australian program and downloaded from the Australian Antarctic Data Center (http://data.aad.gov/au). We thank Greg Lucas for processing the raw data and converting the signals into electric field values. The Burns et al., 2012 data were downloaded at http://data.aad.gov.au/metadata/records/AAS_974_Vostok_2006to2011_20min. The ENSO index is downloaded from http://www.cpc.noaa.gov/products/analysis_monitoring/ensostuff/ensoyears.shtml.</t>
  </si>
  <si>
    <t>AUG 27</t>
  </si>
  <si>
    <t>10.1002/2016JD026442</t>
  </si>
  <si>
    <t>FN9SR</t>
  </si>
  <si>
    <t>WOS:000416382800010</t>
  </si>
  <si>
    <t>Feltz, ML; Knuteson, RO; Revercomb, HE</t>
  </si>
  <si>
    <t>Feltz, M. L.; Knuteson, R. O.; Revercomb, H. E.</t>
  </si>
  <si>
    <t>Assessment of COSMIC radio occultation and AIRS hyperspectral IR sounder temperature products in the stratosphere using observed radiances</t>
  </si>
  <si>
    <t>ATMOSPHERIC INFRARED SOUNDER; RADIOMETRIC CALIBRATION; RADIATIVE-TRANSFER; CLIMATE RECORDS; VALIDATION; INTERFEROMETER; TRENDS; RETRIEVAL; MICROWAVE; ABSOLUTE</t>
  </si>
  <si>
    <t>Upper air temperature is defined as an essential climate variable by the World Meteorological Organization. Two remote sensing technologies being promoted for monitoring stratospheric temperatures are GPS radio occultation (RO) and spectrally resolved IR radiances. This study assesses RO and hyperspectral IR sounder derived temperature products within the stratosphere by comparing IR spectra calculated from GPS RO and IR sounder products to coincident IR observed radiances, which are used as a reference standard. RO dry temperatures from the University Corporation for Atmospheric Research (UCAR) Constellation Observing System for Meteorology, Ionosphere, and Climate (COSMIC) mission are compared to NASA Atmospheric Infrared Sounder (AIRS) retrievals using a previously developed profile-to-profile collocation method and vertical temperature averaging kernels. Brightness temperatures (BTs) are calculated for both COSMIC and AIRS temperature products and are then compared to coincident AIRS measurements. The COSMIC calculated minus AIRS measured BTs exceed the estimated 0.5 K measurement uncertainty for the winter time extratropics around 35 hPa. These differences are attributed to seasonal UCAR COSMIC biases. Unphysical vertical oscillations are seen in the AIRS L2 temperature product in austral winter Antarctic regions, and results imply a small AIRS tropical warm bias around similar to 35 hPa in the middle stratosphere.</t>
  </si>
  <si>
    <t>[Feltz, M. L.; Knuteson, R. O.; Revercomb, H. E.] Univ Wisconsin, Space Sci &amp; Engn Ctr, Madison, WI 53706 USA</t>
  </si>
  <si>
    <t>University of Wisconsin System; University of Wisconsin Madison</t>
  </si>
  <si>
    <t>Feltz, ML (corresponding author), Univ Wisconsin, Space Sci &amp; Engn Ctr, Madison, WI 53706 USA.</t>
  </si>
  <si>
    <t>michelle.feltz@ssec.wisc.edu</t>
  </si>
  <si>
    <t>Richards, Amber/K-8203-2015</t>
  </si>
  <si>
    <t>Loveless, Michelle/0000-0001-5871-0353</t>
  </si>
  <si>
    <t>NOAA [NA10NES4400013]; NASA [NNX15AC26G]; NASA's Science Mission Directorate; Office of Biological and Environmental Research; NASA [809434, NNX15AC26G] Funding Source: Federal RePORTER</t>
  </si>
  <si>
    <t>NOAA(National Oceanic Atmospheric Admin (NOAA) - USA); NASA(National Aeronautics &amp; Space Administration (NASA)); NASA's Science Mission Directorate; Office of Biological and Environmental Research(UK Research &amp; Innovation (UKRI)Biotechnology and Biological Sciences Research Council (BBSRC)); NASA(National Aeronautics &amp; Space Administration (NASA))</t>
  </si>
  <si>
    <t>Thanks are given to Matthew Hitchmann, Tristan Le'cyer, and Steven Ackerman of the University of Wisconsin-Madison Atmospheric and Oceanic Sciences Department for reviewing this work when it was first presented as part of a Master's thesis. Likewise, acknowledgments are given to the reviewers of this paper, who added a lot of insight and gave many helpful comments. This work was funded under NOAA grant NA10NES4400013 and NASA grant NNX15AC26G. NASA AIRS products were obtained from the Goddard Earth Sciences Data and Information Services Center (GES DISC) funded by NASA's Science Mission Directorate. Acknowledgment is given to the NPSO (Taiwan's National Space Organization) and UCAR (University Corporation for Atmospheric Research) for access to the COSMIC data. ARM data were obtained from the Atmospheric Radiation Measurement (ARM) Climate Research Facility, a U.S. Department of Energy Office of Science user facility sponsored by the Office of Biological and Environmental Research. The data used in this study were supported by the Office of Biological and Environmental Research of the U.S. Department of Energy as part of the Atmospheric Radiation Measurement (ARM) Climate Research Facility, an Office of Science user facility. Data sources are referenced in section 3.</t>
  </si>
  <si>
    <t>10.1002/2017JD026704</t>
  </si>
  <si>
    <t>WOS:000416382800013</t>
  </si>
  <si>
    <t>Koffman, BG; Dowd, EG; Osterberg, EC; Ferris, DG; Hartman, LH; Wheatley, SD; Kurbatov, AV; Wong, GJ; Markle, BR; Dunbar, NW; Kreutz, KJ; Yates, M</t>
  </si>
  <si>
    <t>Koffman, Bess G.; Dowd, Eleanor G.; Osterberg, Erich C.; Ferris, David G.; Hartman, Laura H.; Wheatley, Sarah D.; Kurbatov, Andrei V.; Wong, Gifford J.; Markle, Bradley R.; Dunbar, Nelia W.; Kreutz, Karl J.; Yates, Martin</t>
  </si>
  <si>
    <t>Rapid transport of ash and sulfate from the 2011 Puyehue-Cordon Caulle (Chile) eruption to West Antarctica</t>
  </si>
  <si>
    <t>POLAR ICE CORES; EXPLOSIVE VOLCANISM; SIPLE DOME; RECORD; TEPHROCHRONOLOGY; VARIABILITY; GREENLAND; GEOCHEMISTRY; HEMISPHERE; EVENTS</t>
  </si>
  <si>
    <t>The Volcanic Explosivity Index 5 eruption of the Puyehue-Cordon Caulle volcanic complex (PCC) in central Chile, which began 4 June 2011, provides a rare opportunity to assess the rapid transport and deposition of sulfate and ash from a midlatitude volcano to the Antarctic ice sheet. We present sulfate, microparticle concentrations of fine-grained (similar to 5 mu m diameter) tephra, and major oxide geochemistry, which document the depositional sequence of volcanic products from the PCC eruption in West Antarctic snow and shallow firn. From the depositional phasing and duration of ash and sulfate peaks, we infer that transport occurred primarily through the troposphere but that ash and sulfate transport were decoupled. We use Hybrid Single-Particle Lagrangian Integrated Trajectory back trajectory modeling to assess atmospheric circulation conditions in the weeks following the eruption and find that conditions favored southward air parcel transport during 6-14 June and 4-18 July 2011. We suggest that two discrete pulses of cryptotephra deposition relate to these intervals, and as such, constrain the sulfate transport and deposition lifespan to the similar to 2-3 weeks following the eruption. Finally, we compare PCC depositional patterns to those of prominent low-and high-latitude eruptions in order to improve multiparameter-based efforts to identify unknown source eruptions in the ice core record. Our observations suggest that midlatitude eruptions such as PCC can be distinguished from explosive tropical eruptions by differences in ash/sulfate phasing and in the duration of sulfate deposition, and from high-latitude eruptions by differences in particle size distribution and in cryptotephra geochemical composition. Plain Language Summary This paper describes volcanic ash and sulfate deposition in West Antarctica from the June 2011 Puyehue-Cordon Caulle eruption in Chile. This volcanic eruption was the largest of the 21st century to date and had major impacts on air travel throughout the Southern Hemisphere. Although several publications have described satellite observations of ash in the atmosphere following the eruption, our results provide the first evidence of deposition of ash and sulfate in the high latitudes. We show that transport and deposition occurred rapidly, within similar to 2-3 weeks following the eruption, suggesting that transport of both phases occurred primarily through the troposphere. Here for the first time, we assess a highly resolved record of deposition from a midlatitude eruption in Antarctic snow and make comparisons to several well-documented low-and high-latitude eruptions. We show that ash/sulfate phasing, ash particle size distributions, and geochemistry distinguish this midlatitude eruption from low-and high-latitude eruptions. These detailed characterizations of volcanic products in ice cores can aid in identifying the probable volcanic origins of presently unidentified eruptions in the ice core record, ultimately helping to pinpoint specific volcanoes and to elucidate their effects on past climate.</t>
  </si>
  <si>
    <t>[Koffman, Bess G.; Dowd, Eleanor G.; Osterberg, Erich C.; Ferris, David G.; Wong, Gifford J.] Dartmouth Coll, Dept Earth Sci, Hanover, NH 03755 USA; [Koffman, Bess G.] Colby Coll, Dept Geol, Waterville, ME 04901 USA; [Hartman, Laura H.; Wheatley, Sarah D.; Kurbatov, Andrei V.; Kreutz, Karl J.] Univ Maine, Climate Change Inst, Orono, ME USA; [Kurbatov, Andrei V.; Kreutz, Karl J.; Yates, Martin] Univ Maine, Sch Earth &amp; Climate Sci, Orono, ME USA; [Markle, Bradley R.] Univ Washington, Dept Earth &amp; Space Sci, Seattle, WA 98195 USA; [Dunbar, Nelia W.] New Mexico Bur Geol &amp; Mineral Resources, Socorro, NM USA</t>
  </si>
  <si>
    <t>Dartmouth College; Colby College; University of Maine System; University of Maine Orono; University of Maine System; University of Maine Orono; University of Washington; University of Washington Seattle</t>
  </si>
  <si>
    <t>Koffman, BG (corresponding author), Dartmouth Coll, Dept Earth Sci, Hanover, NH 03755 USA.;Koffman, BG (corresponding author), Colby Coll, Dept Geol, Waterville, ME 04901 USA.</t>
  </si>
  <si>
    <t>bess.koffman@colby.edu</t>
  </si>
  <si>
    <t>Markle, Bradley R/I-6132-2019; Dunbar, Nelia W./HZL-8693-2023</t>
  </si>
  <si>
    <t>Dunbar, Nelia W./0000-0002-5181-937X; Koffman, Bess/0000-0002-9451-4138; Osterberg, Erich/0000-0002-0675-1230; Ferris, David/0000-0003-2336-6163; Wheatley, Sarah/0000-0002-9936-268X; Kurbatov, Andrei/0000-0002-9819-9251; Markle, Bradley/0000-0002-2282-6546</t>
  </si>
  <si>
    <t>NSF [PLR-0636740, 1142007, 1142069]; Dartmouth first-year Women in Science Program Scholarship; Carol Folt Research Scholarship; Dartmouth Society of Fellows postdoctoral fellowship; Office of Polar Programs (OPP); Directorate For Geosciences [1142069, 1543361, 1142115, 1543454] Funding Source: National Science Foundation; Office of Polar Programs (OPP); Directorate For Geosciences [1142007] Funding Source: National Science Foundation</t>
  </si>
  <si>
    <t>NSF(National Science Foundation (NSF)); Dartmouth first-year Women in Science Program Scholarship; Carol Folt Research Scholarship; Dartmouth Society of Fellows postdoctoral fellowship; Office of Polar Programs (OPP); Directorate For Geosciences(National Science Foundation (NSF)NSF - Directorate for Geosciences (GEO)); Office of Polar Programs (OPP); Directorate For Geosciences(National Science Foundation (NSF)NSF - Directorate for Geosciences (GEO))</t>
  </si>
  <si>
    <t>We appreciate help with field sampling from August Allen, John Fegyveresi, and Logan Mitchell. We thank Julie Palais, former Antarctic Glaciology Program Manager at NSF, and Kendrick Taylor, Chief Scientist of the WAIS Divide ice core project, for supporting this project, as well as Mark Twickler and Joseph Souney of the WAIS Divide Science Coordination Office. This work was supported financially by NSF PLR-0636740, 1142007, and 1142069, and by a Dartmouth first-year Women in Science Program Scholarship and a Carol Folt Research Scholarship to E.G.D. and a Dartmouth Society of Fellows postdoctoral fellowship to B.G.K. Data from this study are publicly available through the United States Antarctic Program Data Center, doi:10.15784/601036. We appreciate the feedback of Anders Svensson and two anonymous reviewers, which helped to clarify the manuscript.</t>
  </si>
  <si>
    <t>10.1002/2017JD026893</t>
  </si>
  <si>
    <t>WOS:000416382800029</t>
  </si>
  <si>
    <t>Solomon, S; Ivy, D; Gupta, M; Bandoro, J; Santer, B; Fu, Q; Lin, P; Garcia, RR; Kinnison, D; Mills, M</t>
  </si>
  <si>
    <t>Solomon, Susan; Ivy, Diane; Gupta, Mukund; Bandoro, Justin; Santer, Benjamin; Fu, Qiang; Lin, Pu; Garcia, Rolando R.; Kinnison, Doug; Mills, Michael</t>
  </si>
  <si>
    <t>Mirrored changes in Antarctic ozone and stratospheric temperature in the late 20th versus early 21st centuries</t>
  </si>
  <si>
    <t>BREWER-DOBSON CIRCULATION; CHEMISTRY-CLIMATE MODEL; DEPLETION; TRENDS; CCSM4</t>
  </si>
  <si>
    <t>Observed and modeled patterns of lower stratospheric seasonal trends in Antarctic ozone and temperature in the late 20th (1979-2000) and the early 21st (2000-2014) centuries are compared. Patterns of pre-2000 observed Antarctic ozone decreases and stratospheric cooling as a function of month and pressure are followed by opposite-signed (i.e., mirrored) patterns of ozone increases and warming post-2000. An interactive chemistry-climate model forced by changes in anthropogenic ozone depleting substances produces broadly similar mirrored features. Statistical analysis of unforced model simulations (from long-term model control simulations of a few centuries up to 1000 years) suggests that internal and solar natural variability alone is unable to account for the pattern of observed ozone trend mirroring, implying that forcing is the dominant driver of this behavior. Radiative calculations indicate that ozone increases have contributed to Antarctic warming of the lower stratosphere over 2000-2014, but dynamical changes that are likely due to internal variability over this relatively short period also appear to be important. Overall, the results support the recent finding that the healing of the Antarctic ozone hole is underway and that coupling between dynamics, chemistry, and radiation is important for a full understanding of the causes of observed stratospheric temperature and ozone changes.</t>
  </si>
  <si>
    <t>[Solomon, Susan; Ivy, Diane; Gupta, Mukund; Bandoro, Justin] MIT, Dept Earth Atmospher &amp; Planetary Sci, Cambridge, MA 02139 USA; [Santer, Benjamin] Lawrence Livermore Natl Lab, Program Climate Model Diag &amp; Intercomparison, Livermore, CA USA; [Fu, Qiang] Univ Washington, Dept Atmospher Sci, Seattle, WA 98195 USA; [Lin, Pu] NOAA, Geophys Fluid Dynam Lab, Princeton Forrestal Campus, Princeton, NJ USA; [Garcia, Rolando R.; Kinnison, Doug; Mills, Michael] Natl Ctr Atmospher Res, Atmospher Chem Observat &amp; Modeling Lab, POB 3000, Boulder, CO 80307 USA</t>
  </si>
  <si>
    <t>Massachusetts Institute of Technology (MIT); United States Department of Energy (DOE); Lawrence Livermore National Laboratory; University of Washington; University of Washington Seattle; National Oceanic Atmospheric Admin (NOAA) - USA; Princeton University; National Center Atmospheric Research (NCAR) - USA</t>
  </si>
  <si>
    <t>Solomon, S (corresponding author), MIT, Dept Earth Atmospher &amp; Planetary Sci, Cambridge, MA 02139 USA.</t>
  </si>
  <si>
    <t>solos@mit.edu</t>
  </si>
  <si>
    <t>Garcia-Herrera, Ricardo/ABE-4731-2020; Santer, Ben/ABA-1099-2021; Santer, Benjamin D/F-9781-2011; Fu, Qiang/W-5836-2019; Mills, Michael/B-5068-2010; Lin, Pu/D-4393-2014</t>
  </si>
  <si>
    <t>Santer, Benjamin/0000-0002-9717-460X; Qiang, Fu/0000-0001-5371-8460; Mills, Michael/0000-0002-8054-1346; Kinnison, Douglas/0000-0002-3418-0834; Lin, Pu/0000-0003-2577-6094; /0000-0003-0181-9504</t>
  </si>
  <si>
    <t>NSF FESD grant [OCE-1338814]; NSF Atmospheric Chemistry Division [1539972]; NSF Climate and Large-Scale Dynamics Division [1419667]; U.S. National Science Foundation; National Science Foundation (NSF); Office of Science of the U.S. Department of Energy; NSF; Div Atmospheric &amp; Geospace Sciences; Directorate For Geosciences [1539972, 1419667] Funding Source: National Science Foundation</t>
  </si>
  <si>
    <t>NSF FESD grant; NSF Atmospheric Chemistry Division; NSF Climate and Large-Scale Dynamics Division; U.S. National Science Foundation(National Science Foundation (NSF)); National Science Foundation (NSF)(National Science Foundation (NSF)); Office of Science of the U.S. Department of Energy(United States Department of Energy (DOE)); NSF(National Science Foundation (NSF)); Div Atmospheric &amp; Geospace Sciences; Directorate For Geosciences(National Science Foundation (NSF)NSF - Directorate for Geosciences (GEO))</t>
  </si>
  <si>
    <t>D.E.K. and S.S. were partially supported by NSF FESD grant OCE-1338814, and D.I. was partially supported by NSF Atmospheric Chemistry Division grant 1539972. J.B. acknowledges support by NSF Climate and Large-Scale Dynamics Division grant 1419667. The National Center for Atmospheric Research (NCAR) is sponsored by the U.S. National Science Foundation. WACCM is a component of the Community Earth System Model (CESM), which is supported by the National Science Foundation (NSF) and the Office of Science of the U.S. Department of Energy. Computing resources were provided by NCAR's Climate Simulation Laboratory, sponsored by NSF and other agencies. This research was enabled by the computational and storage resources of NCAR's Computational and Information System Laboratory (CISL). We thank NASA Goddard Space Flight Center for the MERRA data (accessed freely online at http://disc.sci.gsfc.nasa.gov/). We also thank the South Pole and Syowa ozone teams for the data used in this paper, available at NOAA; esrl.noaa.gov/gmd/dv/spo_oz) and World Ozone and Ultraviolet Radiation Data Centre (WOUDC; woudc.org) archives, respectively. Model results shown in this paper are available on request to the WACCM liason, Michael Mills (mmills@ucar.edu).</t>
  </si>
  <si>
    <t>10.1002/2017JD026719</t>
  </si>
  <si>
    <t>WOS:000416382800031</t>
  </si>
  <si>
    <t>Bothale, RV; Anoop, S; Rao, VV; Dadhwal, VK; Krishnamurthy, YVN</t>
  </si>
  <si>
    <t>Bothale, Rajashree V.; Anoop, S.; Rao, V. V.; Dadhwal, V. K.; Krishnamurthy, Y. V. N.</t>
  </si>
  <si>
    <t>Understanding relationship between melt/freeze conditions derived from spaceborne scatterometer and field observations at Larsemann Hills, East Antarctica during austral summer 2015-16</t>
  </si>
  <si>
    <t>CURRENT SCIENCE</t>
  </si>
  <si>
    <t>Ground penetrating radar; ice firn; snow-fork; scatterometer; snowpack characteristics</t>
  </si>
  <si>
    <t>SNOW</t>
  </si>
  <si>
    <t>Snow fork and ground penetrating radar at 200 MHz were used for snow depth, wetness and density measurements towards understanding the relationship between melt/freeze conditions derived from spaceborne Advance Scatterometer (ASCAT) and Oceansat-2 Scatterometer (OSCAT), and field observations. The observations were acquired at Larsemann Hills, East Antarctica in austral summer of 2015-16 during the 35th Indian Scientific Expedition to Antarctica. The field observations of wetness correlated well with identified dry and percolation zones showcasing different behaviours of density and wetness. Ice firn was observed at 50-55 cm depth, even in dry zone. Melt onset and number of melt days based on ASCAT varied spatially and temporally over the years and correlated well with positive degree day (PDD) for automatic weather station data located at the Indian Antarctic station, Bharati. Backscatter measurements by OSCAT showed that winter backscatter reduced with accumulation for both dry and percolation zones, but increased in the later part of winter in the percolation zone. A positive but low correlation was observed between ASCAT backscatter to accumulation and the surface mass balance from regional atmospheric climate model (RACMO2.3). A high correlation of 0.78 was observed between reduction in backscatter due to liquid water content and PDD, which coincides with field observations of wetness. The observations serve as baseline to monitor melt conditions and stability of existing ice sheet.</t>
  </si>
  <si>
    <t>[Bothale, Rajashree V.; Anoop, S.; Rao, V. V.; Krishnamurthy, Y. V. N.] Natl Remote Sensing Ctr ISRO, Hyderabad 500037, Andhra Prades, India; [Dadhwal, V. K.] Indian Inst Space Sci &amp; Technol, Thiruvananthapuram 695547, Kerala, India</t>
  </si>
  <si>
    <t>Department of Space (DoS), Government of India; Indian Space Research Organisation (ISRO); National Remote Sensing Centre (NRSC); Department of Space (DoS), Government of India; Indian Institute of Space Science &amp; Technology</t>
  </si>
  <si>
    <t>Bothale, RV (corresponding author), Natl Remote Sensing Ctr ISRO, Hyderabad 500037, Andhra Prades, India.</t>
  </si>
  <si>
    <t>rbothale@gmail.com</t>
  </si>
  <si>
    <t>Dadhwal, Vinay K/F-9825-2010</t>
  </si>
  <si>
    <t>INDIAN ACAD SCIENCES</t>
  </si>
  <si>
    <t>BANGALORE</t>
  </si>
  <si>
    <t>C V RAMAN AVENUE, SADASHIVANAGAR, P B #8005, BANGALORE 560 080, INDIA</t>
  </si>
  <si>
    <t>0011-3891</t>
  </si>
  <si>
    <t>CURR SCI INDIA</t>
  </si>
  <si>
    <t>Curr. Sci.</t>
  </si>
  <si>
    <t>AUG 25</t>
  </si>
  <si>
    <t>10.18520/cs/v113/i04/733-742</t>
  </si>
  <si>
    <t>FE4SV</t>
  </si>
  <si>
    <t>WOS:000408204500057</t>
  </si>
  <si>
    <t>Beckstead, AA; Zhang, YY; Hilmer, JK; Smith, HJ; Bermel, E; Foreman, CM; Kohler, B</t>
  </si>
  <si>
    <t>Beckstead, Ashley A.; Zhang, Yuyuan; Hilmer, Jonathan K.; Smith, Heidi J.; Bermel, Emily; Foreman, Christine M.; Kohler, Bern</t>
  </si>
  <si>
    <t>Ultrafast Excited-State Deactivation of the Bacterial Pigment Violacein</t>
  </si>
  <si>
    <t>JOURNAL OF PHYSICAL CHEMISTRY B</t>
  </si>
  <si>
    <t>OXIDATIVE STRESS; MOLECULAR ROTORS; VISCOSITY; DYNAMICS; UV; SOLVENT; PHOTOCHEMISTRY; SPECTROSCOPY; RELAXATION; LIGHT</t>
  </si>
  <si>
    <t>The photophysical properties of the natural pigment violacein extracted from an Antarctic organism adapted to high exposure levels of UV radiation were measured in a combined steady-state and time-resolved spectroscopic study for the first time. In the low-viscosity solvents methanol and acetone, violacein exhibits low fluorescence quantum yields on the order of 1 x 10(-4), and femtosecond transient absorption measurements reveal excited-state lifetimes of 3.2 +/- 0.2 and 4.6 +/- 0.2 ps in methanol and acetone, respectively. As solvent viscosity is increased, both the fluorescence quantum yield and excited-state lifetime of this intensely colored pigment increase dramatically, and stimulated emission decays 30-fold more slowly in glycerol than in methanol at room temperature. Excited-state deactivation is suggested to occur via a molecular-rotor mechanism in which torsion interring bond leads to a conical intersection with the ground state.</t>
  </si>
  <si>
    <t>[Zhang, Yuyuan; Kohler, Bern] Ohio State Univ, Dept Chem &amp; Biochem, 100 West 18th Ave, Columbus, OH 43210 USA; [Beckstead, Ashley A.; Hilmer, Jonathan K.; Kohler, Bern] Montana State Univ, Dept Chem &amp; Biochem, Bozeman, MT 59717 USA; [Smith, Heidi J.; Bermel, Emily; Foreman, Christine M.] Montana State Univ, Ctr Biofilrn Engn, Bozeman, MT 59717 USA; [Foreman, Christine M.] Montana State Univ, Chem &amp; Biol Engn Dept, Bozeman, MT 59717 USA; [Hilmer, Jonathan K.] Montana State Univ, Univ Informat Technol, POB 173240, Bozeman, MT 59717 USA; [Bermel, Emily] Univ Minnesota, Dept Biomed Engn, Minneapolis, MN 55455 USA</t>
  </si>
  <si>
    <t>University System of Ohio; Ohio State University; Montana State University System; Montana State University Bozeman; Montana State University System; Montana State University Bozeman; Montana State University System; Montana State University Bozeman; Montana State University System; Montana State University Bozeman; University of Minnesota System; University of Minnesota Twin Cities</t>
  </si>
  <si>
    <t>Kohler, B (corresponding author), Ohio State Univ, Dept Chem &amp; Biochem, 100 West 18th Ave, Columbus, OH 43210 USA.;Kohler, B (corresponding author), Montana State Univ, Dept Chem &amp; Biochem, Bozeman, MT 59717 USA.;Foreman, CM (corresponding author), Montana State Univ, Ctr Biofilrn Engn, Bozeman, MT 59717 USA.;Foreman, CM (corresponding author), Montana State Univ, Chem &amp; Biol Engn Dept, Bozeman, MT 59717 USA.</t>
  </si>
  <si>
    <t>cforeman@montana.edu; kohler.40@osu.edu</t>
  </si>
  <si>
    <t>Zhang, Yuyuan/D-6376-2013; Kohler, Bern/A-1728-2011</t>
  </si>
  <si>
    <t>Kohler, Bern/0000-0001-5353-1655</t>
  </si>
  <si>
    <t>National Aeronautics and Space Administration [NNX12AG77G]; National Science Foundation [ANT-0839075, ANT-1141936]; Murdock Charitable Trust; NIGMS NIH of the IDEA program [P20GM103474]</t>
  </si>
  <si>
    <t>National Aeronautics and Space Administration(National Aeronautics &amp; Space Administration (NASA)); National Science Foundation(National Science Foundation (NSF)); Murdock Charitable Trust; NIGMS NIH of the IDEA program</t>
  </si>
  <si>
    <t>This work was partially supported by National Aeronautics and Space Administration Grant No. NNX12AG77G and National Science Foundation Grant Nos. ANT-0839075 and ANT-1141936. The mass spectrometry facility at MSU receives funding from the Murdock Charitable Trust and NIGMS NIH P20GM103474 of the IDEA program.</t>
  </si>
  <si>
    <t>AMER CHEMICAL SOC</t>
  </si>
  <si>
    <t>1155 16TH ST, NW, WASHINGTON, DC 20036 USA</t>
  </si>
  <si>
    <t>1520-6106</t>
  </si>
  <si>
    <t>J PHYS CHEM B</t>
  </si>
  <si>
    <t>J. Phys. Chem. B</t>
  </si>
  <si>
    <t>AUG 24</t>
  </si>
  <si>
    <t>10.1021/acs.jpcb.7b05769</t>
  </si>
  <si>
    <t>FF0NL</t>
  </si>
  <si>
    <t>WOS:000408598300013</t>
  </si>
  <si>
    <t>Petrenko, VV; Mith, AMS; Chaefer, HS; Riedel, K; Brook, E; Baggenstos, D; Harth, C; Hua, Q; Buizert, C; Schilt, A; Fain, X; Mitchell, L; Bauska, T; Orsi, A; Weiss, RF; Everinghaus, JPS</t>
  </si>
  <si>
    <t>Petrenko, Vasilii V.; Mith, Andrew M. S.; Chaefer, Hinrich S.; Riedel, Katja; Brook, Edward; Baggenstos, Daniel; Harth, Christina; Hua, Quan; Buizert, Christo; Schilt, Adrian; Fain, Xavier; Mitchell, Logan; Bauska, Thomas; Orsi, Anais; Weiss, Ray F.; Everinghaus, Jeffrey P. S.</t>
  </si>
  <si>
    <t>Minimal geological methane emissions during the Younger Dryas-Preboreal abrupt warming event</t>
  </si>
  <si>
    <t>SITU COSMOGENIC (CH4)-C-14; ATMOSPHERIC CH4; TAYLOR GLACIER; FOSSIL-FUEL; ICE; C-14; (CO)-C-14; CLIMATE; RECORD; LAKES</t>
  </si>
  <si>
    <t>Methane (CH4) is a powerful greenhouse gas and plays a key part in global atmospheric chemistry. Natural geological emissions (fossil methane vented naturally from marine and terrestrial seeps and mud volcanoes) are thought to contribute around 52 teragrams of methane per year to the global methane source, about 10 per cent of the total, but both bottom-up methods (measuring emissions)(1) and top-down approaches (measuring atmospheric mole fractions and isotopes)(2) for constraining these geological emissions have been associated with large uncertainties. Here we use ice core measurements to quantify the absolute amount of radiocarbon-containing methane ((CH4)-C-14) in the past atmosphere and show that geological methane emissions were no higher than 15.4 teragrams per year (95 per cent confidence), averaged over the abrupt warming event that occurred between the Younger Dryas and Preboreal intervals, approximately 11,600 years ago. Assuming that past geological methane emissions were no lower than today(3,4), our results indicate that current estimates of today's natural geological methane emissions (about 52 teragrams per year)(1,2) are too high and, by extension, that current estimates of anthropogenic fossil methane emissions(2) are too low. Our results also improve on and confirm earlier findings(5-7) that the rapid increase of about 50 per cent in mole fraction of atmospheric methane at the Younger Dryas-Preboreal event was driven by contemporaneous methane from sources such as wetlands; our findings constrain the contribution from old carbon reservoirs (marine methane hydrates(8), permafrost(9) and methane trapped under ice(10)) to 19 per cent or less (95 per cent confidence). To the extent that the characteristics of the most recent deglaciation and the Younger Dryas-Preboreal warming are comparable to those of the current anthropogenic warming, our measurements suggest that large future atmospheric releases of methane from old carbon sources are unlikely to occur.</t>
  </si>
  <si>
    <t>[Petrenko, Vasilii V.] Univ Rochester, Dept Earth &amp; Environm Sci, 601 Elmwood Ave, Rochester, NY 14627 USA; [Mith, Andrew M. S.; Hua, Quan] ANSTO, Locked Bag 2001, Kirrawee Dc, NSW 2232, Australia; [Chaefer, Hinrich S.; Riedel, Katja] Natl Inst Water &amp; Atmospher Res NIWA, POB 14901,301 Evans Bay Parade, Wellington, New Zealand; [Brook, Edward; Buizert, Christo; Schilt, Adrian; Mitchell, Logan; Bauska, Thomas] Oregon State Univ, Coll Earth Ocean &amp; Atmospher Sci, Corvallis, OR 97331 USA; [Baggenstos, Daniel; Harth, Christina; Orsi, Anais; Weiss, Ray F.; Everinghaus, Jeffrey P. S.] Univ Calif San Diego, Scripps Inst Oceanog, La Jolla, CA 92093 USA; [Baggenstos, Daniel] Univ Bern, Inst Phys, CH-3012 Bern, Switzerland; [Fain, Xavier] Univ Grenoble Alpes, CNRS, LGGE, UMR 5183, F-38041 Grenoble, France; [Mitchell, Logan] Univ Utah, Dept Atmospher Sci, Salt Lake City, UT 84112 USA; [Bauska, Thomas] Univ Cambridge, Dept Earth Sci, Cambridge CB2 3EQ, England; [Orsi, Anais] Univ Paris Saclay, Lab Sci Climat &amp; Environm, LSCE IPSL, CEA CNRS UVSQ, F-91198 Gif Sur Yvette, France</t>
  </si>
  <si>
    <t>University of Rochester; Australian Nuclear Science &amp; Technology Organisation; National Institute of Water &amp; Atmospheric Research (NIWA) - New Zealand; Oregon State University; University of California System; University of California San Diego; Scripps Institution of Oceanography; University of Bern; Centre National de la Recherche Scientifique (CNRS); Communaute Universite Grenoble Alpes; Universite Grenoble Alpes (UGA); Utah System of Higher Education; University of Utah; University of Cambridge; CEA; Centre National de la Recherche Scientifique (CNRS); Universite Paris Saclay; Universite Paris Cite</t>
  </si>
  <si>
    <t>Petrenko, VV (corresponding author), Univ Rochester, Dept Earth &amp; Environm Sci, 601 Elmwood Ave, Rochester, NY 14627 USA.</t>
  </si>
  <si>
    <t>vpetrenk@ur.rochester.edu</t>
  </si>
  <si>
    <t>Mitchell, Logan E/A-5481-2011; Baggenstos, Daniel/AAK-5751-2021; Hua, Quan/F-9593-2014; Brook, Edward/AAB-7807-2021; FAIN, Xavier/AAF-7985-2019</t>
  </si>
  <si>
    <t>Mitchell, Logan E/0000-0002-8749-954X; Baggenstos, Daniel/0000-0001-9756-6884; FAIN, Xavier/0000-0002-4119-6025; Petrenko, Vasilii/0000-0002-0263-8759; Bauska, Thomas/0000-0003-1901-0367; Schaefer, Hinrich/0000-0002-1163-2818; Smith, Andrew/0000-0002-9193-2617</t>
  </si>
  <si>
    <t>US National Science Foundation [0839031, 0838936, 1245659]; National Oceanic and Atmospheric Administration Climate and Global Change Postdoctoral Fellowship; Packard Fellowship for Science and Engineering; Marsden Fund Council from New Zealand Government; ANSTO Isotopes in Climate Change and Atmospheric Systems project; NIWA under Climate and Atmosphere Research Programme [CAAC1504 (2014/15 SCI)]; Australian Government for the Centre for Accelerator Science at ANSTO through the National Collaborative Research Infrastructure Strategy; Directorate For Geosciences; Office of Polar Programs (OPP) [1246148] Funding Source: National Science Foundation; Directorate For Geosciences; Office of Polar Programs (OPP) [1245821, 1245659] Funding Source: National Science Foundation</t>
  </si>
  <si>
    <t>US National Science Foundation(National Science Foundation (NSF)); National Oceanic and Atmospheric Administration Climate and Global Change Postdoctoral Fellowship(National Oceanic Atmospheric Admin (NOAA) - USA); Packard Fellowship for Science and Engineering; Marsden Fund Council from New Zealand Government(Royal Society of New ZealandMarsden Fund (NZ)); ANSTO Isotopes in Climate Change and Atmospheric Systems project; NIWA under Climate and Atmosphere Research Programme; Australian Government for the Centre for Accelerator Science at ANSTO through the National Collaborative Research Infrastructure Strategy; Directorate For Geosciences; Office of Polar Programs (OPP)(National Science Foundation (NSF)NSF - Directorate for Geosciences (GEO)); Directorate For Geosciences; Office of Polar Programs (OPP)(National Science Foundation (NSF)NSF - Directorate for Geosciences (GEO))</t>
  </si>
  <si>
    <t>This work was supported by US National Science Foundation Awards 0839031 (J.P.S.), 0838936 (E.B.) and 1245659 (V.V.P.), the National Oceanic and Atmospheric Administration Climate and Global Change Postdoctoral Fellowship (C.B.), the Packard Fellowship for Science and Engineering (V.V.P.), the Marsden Fund Council from New Zealand Government funding administered by the Royal Society of New Zealand (H.S.) and the ANSTO Isotopes in Climate Change and Atmospheric Systems project (A.M.S.). Further support came from NIWA under Climate and Atmosphere Research Programme CAAC1504 (2014/15 SCI). We acknowledge the financial support from the Australian Government for the Centre for Accelerator Science at ANSTO through the National Collaborative Research Infrastructure Strategy. We thank the US Antarctic Program for field support, US Ice Drilling and Development Office for ice drilling support, R. Beaudette for logistical assistance, the Institut Polaire Francais Paul-Emile Victor for supporting X.F.'s field participation, J. Shakun for providing deglacial ice volume and temperature data, and M. Dyonisius, H. Graven, J. Miller, E. Dlugokencky, L. Murray, T. Weber, B. Hmiel and S. Schwietzke for comments.</t>
  </si>
  <si>
    <t>10.1038/nature23316</t>
  </si>
  <si>
    <t>FE5VI</t>
  </si>
  <si>
    <t>WOS:000408279000036</t>
  </si>
  <si>
    <t>Hopcroft, P</t>
  </si>
  <si>
    <t>Hopcroft, Peter</t>
  </si>
  <si>
    <t>ATMOSPHERIC SCIENCE Ancient ice and the global methane cycle</t>
  </si>
  <si>
    <t>CH4; EMISSIONS; CLIMATE</t>
  </si>
  <si>
    <t>An analysis of 12,000-year-old Antarctic ice revises our understanding of natural methane emissions to the atmosphere, and constrains estimates of the sensitivity of natural methane sources to abrupt climate-warming events. SEE LETTER P.443</t>
  </si>
  <si>
    <t>[Hopcroft, Peter] Univ Bristol, Sch Geog Sci, Bristol BS8 1SS, Avon, England</t>
  </si>
  <si>
    <t>University of Bristol</t>
  </si>
  <si>
    <t>Hopcroft, P (corresponding author), Univ Bristol, Sch Geog Sci, Bristol BS8 1SS, Avon, England.</t>
  </si>
  <si>
    <t>peter.hopcroft@bristol.ac.uk</t>
  </si>
  <si>
    <t>Hopcroft, Peter/O-5535-2019; Hopcroft, Peter/H-4957-2016</t>
  </si>
  <si>
    <t>Hopcroft, Peter/0000-0003-3694-9181</t>
  </si>
  <si>
    <t>10.1038/548403a</t>
  </si>
  <si>
    <t>WOS:000408279000027</t>
  </si>
  <si>
    <t>Jiang, SJ; Wang, J; Liu, XL; Liu, YY; Guo, C; Zhang, LW; Han, JH; Wu, XL; Xue, D; Gomaa, AE; Feng, S; Zhang, H; Chen, Y; Ping, SZ; Chen, M; Zhang, W; Li, L; Zhou, ZF; Zuo, KJ; Li, XF; Yang, Y; Lin, M</t>
  </si>
  <si>
    <t>Jiang, Shijie; Wang, Jin; Liu, Xiaoli; Liu, Yingying; Guo, Cui; Zhang, Liwen; Han, Jiahui; Wu, Xiaoli; Xue, Dong; Gomaa, Ahmed E.; Feng, Shuai; Zhang, Heng; Chen, Yun; Ping, Shuzhen; Chen, Ming; Zhang, Wei; Li, Liang; Zhou, Zhengfu; Zuo, Kaijing; Li, Xufeng; Yang, Yi; Lin, Min</t>
  </si>
  <si>
    <t>DrwH, a novel WHy domain-containing hydrophobic LEA5C protein from Deinococcus radiodurans, protects enzymatic activity under oxidative stress</t>
  </si>
  <si>
    <t>EMBRYOGENESIS-ABUNDANT PROTEIN; IONIZING-RADIATION; GENOME SEQUENCE; SP-NOV.; DESICCATION; PLANTS; RADIORESISTANCE; RESISTANCE; REGULATOR; CATALASE</t>
  </si>
  <si>
    <t>Water stress and hypersensitive response (WHy) domain is typically found as a component of atypical late embryogenesis abundant (LEA) proteins closely associated with resistance to multiple stresses in numerous organisms. Several putative LEA proteins have been identified in Deinococcus bacteria; however their precise function remains unclear. This work reports the characterization of a Deinococcus-specific gene encoding a novel WHy domain-containing hydrophobic LEA5C protein (named DrwH) in D. radiodurans R1. The expression of the drwH gene was induced by oxidative and salinity stresses. Inactivation of this gene resulted in increased sensitivity to oxidative and salinity stresses as well as reduced activities of antioxidant enzymes. The WHy domain of the DrwH protein differs structurally from that of a previously studied bacterial LEA5C protein, dWHy1, identified as a gene product from an Antarctic desert soil metagenome library. Further analysis indicated that in E. coli, the function of DrwH is related to oxidative stress tolerance, whereas dWHy1 is associated with freezing-thawing stress tolerance. Under oxidative stress induced by H2O2, DrwH protected the enzymatic activities of malate dehydrogenase (MDH) and lactate dehydrogenase (LDH). These findings provide new insight into the evolutionary and survival strategies of Deinococcus bacteria under extreme environmental conditions.</t>
  </si>
  <si>
    <t>[Jiang, Shijie; Li, Xufeng; Yang, Yi] Sichuan Univ, Coll Life Sci, Key Lab Bioresources &amp; Ecoenvironm, Minist Educ, Chengdu, Sichuan, Peoples R China; [Jiang, Shijie; Wang, Jin; Liu, Xiaoli; Liu, Yingying; Guo, Cui; Zhang, Liwen; Han, Jiahui; Wu, Xiaoli; Xue, Dong; Gomaa, Ahmed E.; Feng, Shuai; Zhang, Heng; Chen, Yun; Ping, Shuzhen; Chen, Ming; Zhang, Wei; Li, Liang; Zhou, Zhengfu; Lin, Min] Chinese Acad Agr Sci, Biotechnol Res Inst, Beijing, Peoples R China; [Chen, Yun; Zuo, Kaijing] Shanghai Jiao Tong Univ, Sch Agr &amp; Biol, Plant Biotechnol Res Ctr, Shanghai, Peoples R China</t>
  </si>
  <si>
    <t>Sichuan University; Chinese Academy of Agricultural Sciences; Biotechnology Research Institute, CAAS; Shanghai Jiao Tong University</t>
  </si>
  <si>
    <t>Lin, M (corresponding author), Chinese Acad Agr Sci, Biotechnol Res Inst, Beijing, Peoples R China.</t>
  </si>
  <si>
    <t>linmin57@vip.163.com</t>
  </si>
  <si>
    <t>LIU, YING/GZL-7252-2022; min, lin/AAJ-7325-2020; liu, ying/GXF-4294-2022; liu, xiao/HKE-9880-2023; Liu, Xiaoli/HGE-7614-2022; Lang, Ming/HIK-0758-2022</t>
  </si>
  <si>
    <t>Zhang, Liwen/0000-0003-1593-2778; Yang, Yi/0000-0001-6051-4992</t>
  </si>
  <si>
    <t>National Basic Research Program of China [2013CB733903]; National Natural Science Foundation of China [31230004, 31570080, 31370126]; Ministry of Agriculture [2016ZX08009003-002]</t>
  </si>
  <si>
    <t>National Basic Research Program of China(National Basic Research Program of China); National Natural Science Foundation of China(National Natural Science Foundation of China (NSFC)); Ministry of Agriculture(Gida Tarim Ve Hayvancilik Bakanligi)</t>
  </si>
  <si>
    <t>This work was supported by the National Basic Research Program of China (No. 2013CB733903), National Natural Science Foundation of China (No. 31230004, 31570080, 31370126), and Ministry of Agriculture (Transgenic Program, No. 2016ZX08009003-002).</t>
  </si>
  <si>
    <t>10.1038/s41598-017-09541-2</t>
  </si>
  <si>
    <t>FE8FS</t>
  </si>
  <si>
    <t>WOS:000408441600005</t>
  </si>
  <si>
    <t>Kang, S; Ahn, DH; Lee, JH; Lee, SG; Shin, SC; Lee, J; Min, GS; Lee, H; Kim, HW; Kim, S; Park, H</t>
  </si>
  <si>
    <t>Kang, Seunghyun; Ahn, Do-Hwan; Lee, Jun Hyuck; Lee, Sung Gu; Shin, Seung Chul; Lee, Jungeun; Min, Gi-Sik; Lee, Hyoungseok; Kim, Hyun-Woo; Kim, Sanghee; Park, Hyun</t>
  </si>
  <si>
    <t>The genome of the Antarctic-endemic copepod, Tigriopus kingsejongensis (vol 6, pg 1, 2017)</t>
  </si>
  <si>
    <t>GIGASCIENCE</t>
  </si>
  <si>
    <t>2047-217X</t>
  </si>
  <si>
    <t>GigaScience</t>
  </si>
  <si>
    <t>AUG 23</t>
  </si>
  <si>
    <t>10.1093/gigascience/gix071</t>
  </si>
  <si>
    <t>Biology; Multidisciplinary Sciences</t>
  </si>
  <si>
    <t>Life Sciences &amp; Biomedicine - Other Topics; Science &amp; Technology - Other Topics</t>
  </si>
  <si>
    <t>FJ0KH</t>
  </si>
  <si>
    <t>WOS:000412397300004</t>
  </si>
  <si>
    <t>Doble, MJ; Wilkinson, JP; Valcic, L; Robst, J; Tait, A; Preston, M; Bidlot, JR; Hwang, B; Maksym, T; Wadhams, P</t>
  </si>
  <si>
    <t>Doble, Martin J.; Wilkinson, Jeremy P.; Valcic, Lovro; Robst, Jeremy; Tait, Andrew; Preston, Mark; Bidlot, Jean-Raymond; Hwang, Byongjun; Maksym, Ted; Wadhams, Peter</t>
  </si>
  <si>
    <t>Robust wavebuoys for the marginal ice zone: Experiences from a large persistent array in the Beaufort Sea</t>
  </si>
  <si>
    <t>BUOY</t>
  </si>
  <si>
    <t>An array of novel directional wavebuoys was designed and deployed into the Beaufort Sea ice cover in March 2014, as part of the Office of Naval Research Marginal Ice Zone experiment. The buoys were designed to drift with the ice throughout the year and monitor the expected breakup and retreat of the ice cover, forced by waves travelling into the ice from open water. Buoys were deployed from fast-and-light-air-supported ice camps, based out of Sachs Harbour on Canada's Banks Island, and drifted westwards with the sea ice over the course of spring, summer and autumn, as the ice melted, broke up and finally re-froze. The buoys transmitted heave, roll and pitch timeseries at 1 Hz sample frequency over the course of up to eight months, surviving both convergent ice dynamics and significant waves-in-ice events. Twelve of the 19 buoys survived until their batteries were finally exhausted during freeze-up in late October/November. Ice impact was found to have contaminated a significant proportion of the Kalman-filter-derived heave records, and these bad records were removed with reference to raw x/y/z accelerations. The quality of magnetometer-derived buoy headings at the very high magnetic field inclinations close to the magnetic pole was found to be generally acceptable, except in the case of four buoys which had probably suffered rough handling during transport to the ice. In general, these new buoys performed as expected, though vigilance as to the veracity of the output is required.</t>
  </si>
  <si>
    <t>[Doble, Martin J.] Polar Sci Ltd, Appin, Scotland; [Wilkinson, Jeremy P.; Robst, Jeremy; Tait, Andrew; Preston, Mark] British Antarctic Survey, Cambridge, England; [Valcic, Lovro] Bruncin Doo, Zagreb, Croatia; [Bidlot, Jean-Raymond] European Ctr Medium Range Weather Forecasting, Reading, Berks, England; [Hwang, Byongjun] Scottish Assoc Marine Sci, Oban, Argyll, Scotland; [Maksym, Ted] Woods Hole Oceanog Inst, Woods Hole, MA 02543 USA; [Wadhams, Peter] Univ Cambridge, Dept Appl Maths &amp; Theoret Phys, Cambridge, England</t>
  </si>
  <si>
    <t>UK Research &amp; Innovation (UKRI); Natural Environment Research Council (NERC); NERC British Antarctic Survey; European Centre for Medium-Range Weather Forecasts (ECMWF); UHI Millennium Institute; Woods Hole Oceanographic Institution; University of Cambridge</t>
  </si>
  <si>
    <t>Doble, MJ (corresponding author), Polar Sci Ltd, Appin, Scotland.</t>
  </si>
  <si>
    <t>martin@polarscientific.com</t>
  </si>
  <si>
    <t>Doble, Martin J/A-9915-2012</t>
  </si>
  <si>
    <t>[N000141210130]; [N000141210359]; NERC [NE/M00600X/1, NE/L012707/1, bas0100032] Funding Source: UKRI; Natural Environment Research Council [bas0100032, NE/M00600X/1, NE/L012707/1] Funding Source: researchfish</t>
  </si>
  <si>
    <t>; ; NERC(UK Research &amp; Innovation (UKRI)Natural Environment Research Council (NERC)); Natural Environment Research Council(UK Research &amp; Innovation (UKRI)Natural Environment Research Council (NERC))</t>
  </si>
  <si>
    <t>The work formed part of the Office of Naval Research Marginal Ice Zone Departmental Research Initiative. Authors were supported by Grant Numbers N000141210130 (Wadhams and Doble), N000141210359 (Wilkinson, Maksym and Hwang).</t>
  </si>
  <si>
    <t>AUG 21</t>
  </si>
  <si>
    <t>10.1525/elementa.233</t>
  </si>
  <si>
    <t>FE1UU</t>
  </si>
  <si>
    <t>Green Submitted, Green Published, Green Accepted, gold</t>
  </si>
  <si>
    <t>WOS:000408003900001</t>
  </si>
  <si>
    <t>Mueller, CO; Jokat, W</t>
  </si>
  <si>
    <t>Mueller, Christian Olaf; Jokat, Wilfried</t>
  </si>
  <si>
    <t>Geophysical evidence for the crustal variation and distribution of magmatism along the central coast of Mozambique</t>
  </si>
  <si>
    <t>Wide-angle seismic data; Mozambique Basin; Amplitude modelling; Magnetic modelling; Seaward-dipping reflectors; Karoo LIP</t>
  </si>
  <si>
    <t>MESOZOIC MAGNETIC-ANOMALIES; LARGE IGNEOUS PROVINCE; POTENTIAL-FIELD DATA; RIISER-LARSEN SEA; CONTINENTAL-MARGIN; SEISMIC VELOCITY; GONDWANA BREAKUP; SOUTHERN AFRICA; EAST GREENLAND; RIFTED MARGINS</t>
  </si>
  <si>
    <t>For our understanding of the timing and geometry of the initial Gondwana break-up, still a consistent image of the crustal composition of the conjugated margins of central Mozambique and Antarctica and the location of their continent-ocean boundaries is missing. In this regard, a main objective is the explanation for the source of the different magnetic signature of the conjugate margins. Based on a revised investigation of wide-angle seismic data along two profiles across the Mozambican margin by means of an amplitude modelling, this study presents the crustal composition across and along the continental margin of central Mozambique. Supported by 2D magnetic modelling, the results are compared to the conjugate margin in Antarctica and allow new conclusions about their joined tectonic evolution. An observed crustal diversity between the north-eastern and south-western parts of the central Mozambican margin, testifies to the complex break-up history of this area. Conspicuous is the equal spatial extent of the HVLCB along the margin of 190-215 km. The onset of oceanic crust at the central Mozambican margin is refined to chron M38n.2n (164.1 Ma). Magnetic modelling supports the presence of reversed polarized SDRs in the continent-ocean transition that were mainly emplaced between 168.5 and 166.8 Ma (M42-M40). Inferred SDRs in the Riiser-Larsen Sea might be emplaced sometime between 166.8 and 164.1 Ma (M39-M38), but got overprinted by normal polarized intrusions of a late stage of rift volcanism, causing the opposite magnetic signature of the conjugate margins. The distribution of the magmatic material along the central coast of Mozambique clearly indicates the eastern extension of the north-eastern branch of the Karoo triple rift along the entire margin. The main magmatic phase affecting this area lasted for at least 12 Myr between 169 and 157 Ma, followed by the cease of the magmatism, perhaps due to the relative southwards motion of the magmatic centre. (C) 2017 Elsevier B.V. All rights reserved.</t>
  </si>
  <si>
    <t>[Mueller, Christian Olaf; Jokat, Wilfried] Alfred Wegener Inst, Helmholtz Ctr Polar &amp; Marine Res, Handelshafen 12, D-27570 Bremerhaven, Germany; [Jokat, Wilfried] Univ Bremen, Dept Geosci, Klagenfurter Str 4, D-28359 Bremen, Germany</t>
  </si>
  <si>
    <t>Helmholtz Association; Alfred Wegener Institute, Helmholtz Centre for Polar &amp; Marine Research; University of Bremen</t>
  </si>
  <si>
    <t>Mueller, CO (corresponding author), Alfred Wegener Inst, Helmholtz Ctr Polar &amp; Marine Res, Handelshafen 12, D-27570 Bremerhaven, Germany.</t>
  </si>
  <si>
    <t>Christian.Olaf.Mueller@awi.de; Wilfried.Jokat@awi.de</t>
  </si>
  <si>
    <t>Jokat, Wilfried/0000-0002-7793-5854; Mueller, Christian Olaf/0000-0001-6060-6512</t>
  </si>
  <si>
    <t>German Federal Ministry of Education and Research (BMBF) [03G0230A]; AWI internal funding</t>
  </si>
  <si>
    <t>German Federal Ministry of Education and Research (BMBF)(Federal Ministry of Education &amp; Research (BMBF)); AWI internal funding</t>
  </si>
  <si>
    <t>We thank the Polar Marine Geosurvey Expedition for providing the multichannel seismic (MCS) data at the Antarctic Seismic Data Library System and making it available for public access. Furthermore, our thanks go to Schlumberger Multiclient for providing insights into some regional MCS and magnetic data at the Mozambican margin. For their support with the software SOFI2D we thank Thomas Bohlen and Tilman Metz. Additionally, we thank the two anonymous reviewers for their comments that improved this article. For improving the language and grammar we thank Graeme Eagles. This project is funded through a grant by the German Federal Ministry of Education and Research (BMBF, 03G0230A) and by AWI internal funding.</t>
  </si>
  <si>
    <t>10.1016/j.tecto.2017.06.007</t>
  </si>
  <si>
    <t>FF8RC</t>
  </si>
  <si>
    <t>WOS:000409284500049</t>
  </si>
  <si>
    <t>Venkatachalam, S; Ansorge, IJ; Mendes, A; Melato, LI; Matcher, GF; Dorrington, RA</t>
  </si>
  <si>
    <t>Venkatachalam, Siddarthan; Ansorge, Isabelle J.; Mendes, Adriano; Melato, Lebohang I.; Matcher, Gwynneth F.; Dorrington, Rosemary A.</t>
  </si>
  <si>
    <t>A pivotal role for ocean eddies in the distribution of microbial communities across the Antarctic Circumpolar Current</t>
  </si>
  <si>
    <t>RIBOSOMAL-RNA GENE; SOUTHERN-OCEAN; ATLANTIC SECTOR; POLAR FRONT; DATABASE; WATER; PHYTOPLANKTON; ISLAND</t>
  </si>
  <si>
    <t>Mesoscale variability and associated eddy fluxes play crucial roles in ocean circulation dynamics and the ecology of the upper ocean. In doing so, these features are biologically important, providing a mechanism for the mixing and exchange of nutrients and biota within the ocean. Transient mesoscale eddies in the Southern Ocean are known to relocate zooplankton communities across the Antarctic Circumpolar Current (ACC) and are important foraging grounds for marine top predators. In this study we investigated the role of cyclonic and anti-cyclonic eddies formed at the South-West Indian Ridge on the spatial variability and diversity of microbial communities. We focused on two contrasting adjacent eddies within the Antarctic Polar Frontal Zone to determine how these features may influence the microbial communities within this region. The water masses and microbiota of the two eddies, representative of a cyclonic cold core from the Antarctic zone and an anti-cyclonic warm-core from the Subantarctic zone, were compared. The data reveal that the two eddies entrain distinct microbial communities from their points of origin that are maintained for up to ten months. Our findings highlight the ecological impact that changes, brought by the translocation of eddies across the ACC, have on microbial diversity.</t>
  </si>
  <si>
    <t>[Venkatachalam, Siddarthan; Mendes, Adriano; Matcher, Gwynneth F.; Dorrington, Rosemary A.] Rhodes Univ, Dept Biochem &amp; Microbiol, Grahamstown, South Africa; [Ansorge, Isabelle J.; Melato, Lebohang I.] Univ Cape Town, Marine Res Inst, Dept Oceanog, Rondebosch, South Africa; [Mendes, Adriano] Purdue Univ, Dept Biol Sci, W Lafayette, IN 47907 USA; [Melato, Lebohang I.] South African Weather Serv, Climate Forecast Div, Pretoria, South Africa</t>
  </si>
  <si>
    <t>Rhodes University; University of Cape Town; Purdue University System; Purdue University; South African Weather Service (SAWS)</t>
  </si>
  <si>
    <t>Dorrington, RA (corresponding author), Rhodes Univ, Dept Biochem &amp; Microbiol, Grahamstown, South Africa.</t>
  </si>
  <si>
    <t>r.dorrington@ru.ac.za</t>
  </si>
  <si>
    <t>ANSORGE, ISABELLE/AAY-7396-2020</t>
  </si>
  <si>
    <t>Matcher, Gwynneth/0000-0001-6206-696X; Ansorge, Isabelle/0000-0001-7071-8147; Mendes, Adriano/0000-0003-0135-5535; Dorrington, Rosemary/0000-0002-8694-367X</t>
  </si>
  <si>
    <t>South African National Antarctic Programme (SANAP) through the South African National Research Fountain (NRF) [(GUN): 80260, GUN: 80270]; Rhodes University Sandisa Imbewu Programme; DST/NRF SARChI [GUN: 87583]</t>
  </si>
  <si>
    <t>South African National Antarctic Programme (SANAP) through the South African National Research Fountain (NRF); Rhodes University Sandisa Imbewu Programme; DST/NRF SARChI</t>
  </si>
  <si>
    <t>The research was funded by grants from the South African National Antarctic Programme (SANAP) through the South African National Research Fountain (NRF) to RAD (Grant Unique Number (GUN): 80260) and IJA (GUN: 80270) and by the Rhodes University Sandisa Imbewu Programme. VS was supported by a DST/NRF SARChI Post-Doctoral Fellowship (GUN: 87583). Opinions expressed and conclusions arrived at are those of the authors and are not necessarily to be attributed to any of the above-mentioned donors. The funders had no role in study design, data collection and analysis, decision to publish, or preparation of the manuscript.; This research was funded by grants from the South African National Antarctic Programme (SANAP) through the South African National Research Fountain (NRF) to RAD (GUN: 80260) and IJA (GUN: 80270) and the Rhodes University Sandisa Imbewu Programme. SV was supported by a DST/NRF SARChI Post-Doctoral Fellowship (GUN: 87583). Opinions expressed and conclusions arrived at are those of the authors and are not necessarily to be attributed to any of the above- mentioned donors. This research was logistically supported by the South African Department of Environmental Affairs (DEA) as well as by the University of Cape Town and Rhodes University. We acknowledge the DEA DCO Mr Adriaan Dreyer for the smooth planning of the cruise. Our thanks also go to the senior technical electronics officer Mr Xolani Methu from the South African Department of Agriculture, Forestry and Fisheries for his invaluable and methodical assistance throughout the entire voyage. Altimetry data were obtained from the AVISO and CCAR altimetry network. Finally, the authors thank Captain Gavin Syndercombe, the officers and crew of the RV SA Agulhas I for their unfailing and enthusiastic support of the science project during the 2012 Marion Island Takeover Cruise.</t>
  </si>
  <si>
    <t>e0183400</t>
  </si>
  <si>
    <t>10.1371/journal.pone.0183400</t>
  </si>
  <si>
    <t>FE2TT</t>
  </si>
  <si>
    <t>gold, Green Submitted, Green Published</t>
  </si>
  <si>
    <t>WOS:000408069300021</t>
  </si>
  <si>
    <t>Zheng, LH; Kang, DL; Zhang, FM; Linhardt, R</t>
  </si>
  <si>
    <t>Zheng, Lanhong; Kang, Daole; Zhang, Fuming; Linhardt, Robert</t>
  </si>
  <si>
    <t>Cytotoxicity β-glucanase NCBG purified from Bacillus sp screened from Antarctic Sea</t>
  </si>
  <si>
    <t>ABSTRACTS OF PAPERS OF THE AMERICAN CHEMICAL SOCIETY</t>
  </si>
  <si>
    <t>254th National Meeting and Exposition of the American-Chemical-Society (ACS) on Chemistry's Impact on the Global Economy</t>
  </si>
  <si>
    <t>AUG 20-24, 2017</t>
  </si>
  <si>
    <t>Washington, DC</t>
  </si>
  <si>
    <t>[Linhardt, Robert] Rensselaer Polytech Inst, Chem, Albany, NY USA; [Zheng, Lanhong; Zhang, Fuming] Rensselaer Polytech Inst, Dept Chem &amp; Biol Engn, Watervliet, NY USA; [Zheng, Lanhong; Kang, Daole] Chinese Acad Fishery Sci, Minist Agr, Yellow Sea Fisheries Res Inst, Key Lab Sustainable Dev Marine Fisheries, Qingdao, Peoples R China</t>
  </si>
  <si>
    <t>Rensselaer Polytechnic Institute; Ministry of Agriculture &amp; Rural Affairs; Chinese Academy of Fishery Sciences; Yellow Sea Fisheries Research Institute, CAFS</t>
  </si>
  <si>
    <t>zhenglh@ysfri.ac.cn</t>
  </si>
  <si>
    <t>0065-7727</t>
  </si>
  <si>
    <t>ABSTR PAP AM CHEM S</t>
  </si>
  <si>
    <t>Abstr. Pap. Am. Chem. Soc.</t>
  </si>
  <si>
    <t>AUG 20</t>
  </si>
  <si>
    <t>GC1FS</t>
  </si>
  <si>
    <t>WOS:000429525601480</t>
  </si>
  <si>
    <t>Chen, S; Yu, MC; Chu, X; Li, WH; Yin, XJ; Chen, LB</t>
  </si>
  <si>
    <t>Chen, Shue; Yu, Mengchao; Chu, Xu; Li, Wenhao; Yin, Xiujuan; Chen, Liangbiao</t>
  </si>
  <si>
    <t>Cold-induced retrotransposition of fish LINEs</t>
  </si>
  <si>
    <t>JOURNAL OF GENETICS AND GENOMICS</t>
  </si>
  <si>
    <t>Retrotransposon; ROS; p38; Cold adaptation; LINE amplification</t>
  </si>
  <si>
    <t>L1 RETROTRANSPOSITION; NEUROBLASTOMA-CELLS; TRANSPOSABLE ELEMENTS; SEQUENCE ALIGNMENT; LARGE GENOMES; MAP KINASE; ACTIVATION; ROS; QUANTIFICATION; AMPLIFICATION</t>
  </si>
  <si>
    <t>Classes of retrotransposons constitute a large portion of metazoan genome. There have been cases reported that genomic abundance of retrotransposons is correlated with the severity of low environmental temperatures. However, the molecular mechanisms underlying such correlation are unknown. We show here by cell transfection assays that retrotransposition (RTP) of a long interspersed nuclear element (LINE) from an Antarctic notothenioid fish Dissostichus mawsoni (dmL1) could be activated by low temperature exposure, causing increased dmL1 copies in the host cell genome. The cold-induced dmL1 propagation was demonstrated to be mediated by the mitogen-activated protein kinases (MAPK)/p38 signaling pathway, which is activated by accumulation of reactive oxygen species (ROS) in cold-stressed conditions. Surprisingly, dmL1 transfected cells showed an increase in the number of viable cells after prolonged cold exposures than non-transfected cells. Features of cold inducibility of dmL1 were recapitulated in LINEs of zebrafish origin both in cultured cell lines and tissues, suggesting existence of a common cold-induced LINE amplification in fishes. The findings reveal an important function of LINEs in temperature adaptation and provid insights into the MAPK/p38 stress responsive pathway that shapes LINE composition in fishes facing cold stresses. Copyright (C) 2017, Institute of Genetics and Developmental Biology, Chinese Academy of Sciences, and Genetics Society of China. Published by Elsevier Limited and Science Press. All rights reserved.</t>
  </si>
  <si>
    <t>[Chen, Shue; Yu, Mengchao; Chu, Xu; Li, Wenhao; Yin, Xiujuan; Chen, Liangbiao] Shanghai Ocean Univ, Coll Fisheries &amp; Life Sci, Key Lab Aquaculture Resources &amp; Utilizat, Minist Educ, Shanghai 201306, Peoples R China; [Chen, Shue] Chinese Acad Sci, Inst Genet &amp; Dev Biol, Beijing 100101, Peoples R China; [Chen, Liangbiao] Qingdao Natl Lab Marine Sci &amp; Technol, Qingdao 266237, Peoples R China</t>
  </si>
  <si>
    <t>Shanghai Ocean University; Chinese Academy of Sciences; Institute of Genetics &amp; Developmental Biology, CAS; Laoshan Laboratory</t>
  </si>
  <si>
    <t>Chen, LB (corresponding author), Shanghai Ocean Univ, Coll Fisheries &amp; Life Sci, Key Lab Aquaculture Resources &amp; Utilizat, Minist Educ, Shanghai 201306, Peoples R China.;Chen, LB (corresponding author), Qingdao Natl Lab Marine Sci &amp; Technol, Qingdao 266237, Peoples R China.</t>
  </si>
  <si>
    <t>lbchen@shou.edu.cn</t>
  </si>
  <si>
    <t>, liangbiao/0000-0002-0717-8536</t>
  </si>
  <si>
    <t>Natural Science Foundation of China [31130049, 31572611, 30910103906]; Polar Exploration Administration Office of China [IC201304]; Shanghai Municipal Project for First-Class Discipline of Fishery</t>
  </si>
  <si>
    <t>Natural Science Foundation of China(National Natural Science Foundation of China (NSFC)); Polar Exploration Administration Office of China; Shanghai Municipal Project for First-Class Discipline of Fishery</t>
  </si>
  <si>
    <t>We thank Yang Niu, Yu Shen and Lixue Cao of the Institute of Genetics and Developmental Biology for providing experimental assistances and helpful suggestions. We thank Noriyuki Okudaira for kindly providing the plasmid pEF06R. This work was supported in part by grants from the Natural Science Foundation of China (Nos. 31130049, 31572611, and 30910103906), the International Collaboration grant from the Polar Exploration Administration Office of China (IC201304), and the Shanghai Municipal Project for First-Class Discipline of Fishery.</t>
  </si>
  <si>
    <t>1673-8527</t>
  </si>
  <si>
    <t>1873-5533</t>
  </si>
  <si>
    <t>J GENET GENOMICS</t>
  </si>
  <si>
    <t>J. Genet. Genomics</t>
  </si>
  <si>
    <t>10.1016/j.jgg.2017.07.002</t>
  </si>
  <si>
    <t>Biochemistry &amp; Molecular Biology; Genetics &amp; Heredity</t>
  </si>
  <si>
    <t>FG2WY</t>
  </si>
  <si>
    <t>WOS:000409993500003</t>
  </si>
  <si>
    <t>Ratnarajah, L; Lannuzel, D; Townsend, AT; Meiners, KM; Nicol, S; Friedlaender, AS; Bowie, AR</t>
  </si>
  <si>
    <t>Ratnarajah, Lavenia; Lannuzel, Delphine; Townsend, Ashley T.; Meiners, Klaus M.; Nicol, Stephen; Friedlaender, Ari S.; Bowie, Andrew R.</t>
  </si>
  <si>
    <t>Physical speciation and solubility of iron from baleen whale faecal material</t>
  </si>
  <si>
    <t>Dissolved iron; Particulate iron; Southern Ocean; Biological recycling; Solubility</t>
  </si>
  <si>
    <t>DISSOLVED IRON; SOUTHERN-OCEAN; NORTH-ATLANTIC; NATURAL FERTILIZATION; ORGANIC COMPLEXATION; ANTARCTIC KRILL; COLLOIDAL IRON; TRACE-METALS; SEA; FE</t>
  </si>
  <si>
    <t>Primary productivity in large areas of the Southern Ocean is limited by the availability of a key micronutrient iron (Fe). Recently it has been suggested that marine animals could play an important role in recycling Fe through their diet and subsequent defecation, however there is no information on the relative bioavailability of faecal Fe for uptake. The bioavailability of Fe in seawater is controlled by a number of complex interactions. The physical separation between the dissolved ( &lt; 0.2 mu m) and particulate ( &gt; 0.2 mu m) fractions is one common measure used to determine element bioavailability. Here, the size fractionation of Fe from 3 whale faecal samples in 4 different size classes ( &lt; 0.2 mu m, 0.2-10 mu m, 10-60 mu m and &gt; 60 mu m) was investigated, along with the leaching of particulate Fe over time. Although the total particulate fraction (&gt; 0.2 mu m, 5026-22,526 nmol L-1) dominated the total Fe pool, the concentrations of dissolved Fe in whale faecal samples (186-754 nmol L-1) were three order of magnitude higher than published Southern Ocean surface seawater concentrations. Furthermore, results from the leaching experiment suggest that Fe is continually leached from faecal particles over an initial 12-hour period, thus increasing the concentration of bioavailable Fe in surface seawater. Although the concentrations measured here are some of the highest reported in the literature, the true supply of Fe back to surface seawater will be controlled by processes such as organic complexation, scavenging and sinking by particles, remineralisation, and vertical transport, not measured in this study.</t>
  </si>
  <si>
    <t>[Ratnarajah, Lavenia; Lannuzel, Delphine; Nicol, Stephen; Bowie, Andrew R.] Univ Tasmania, Inst Marine &amp; Antarctic Studies, Private Bag 129, Hobart, Tas 7001, Australia; [Ratnarajah, Lavenia; Lannuzel, Delphine; Meiners, Klaus M.; Nicol, Stephen; Bowie, Andrew R.] Univ Tasmania, Antarctic Climate &amp; Ecosyst Cooperat Res Ctr, Private Bag 80, Hobart, Tas 7001, Australia; [Townsend, Ashley T.] Univ Tasmania, Cent Sci Lab, Private Bag 74, Hobart, Tas 7001, Australia; [Meiners, Klaus M.] Australian Antarctic Div, 203 Channel Highway, Kingston, Tas 7050, Australia; [Friedlaender, Ari S.] Oregon State Univ, Dept Fisheries &amp; Wildlife, Marine Mammal Inst, Hatfield Marine Sci Ctr, Newport, OR 97365 USA</t>
  </si>
  <si>
    <t>University of Tasmania; Antarctic Climate &amp; Ecosystems Cooperative Research Centre (ACE CRC); University of Tasmania; University of Tasmania; Australian Antarctic Division; Oregon State University</t>
  </si>
  <si>
    <t>Ratnarajah, L (corresponding author), Univ Tasmania, Inst Marine &amp; Antarctic Studies, Private Bag 129, Hobart, Tas 7001, Australia.</t>
  </si>
  <si>
    <t>Lavenia.Ratnarajah@utas.edu.au</t>
  </si>
  <si>
    <t>Townsend, Ashley/J-7445-2014; Bowie, Andrew/C-8677-2013; lannuzel, delphine/J-7937-2014</t>
  </si>
  <si>
    <t>Townsend, Ashley/0000-0002-2972-2678; Bowie, Andrew/0000-0002-5144-7799; lannuzel, delphine/0000-0001-6154-1837; Ratnarajah, Lavenia/0000-0002-1021-1923</t>
  </si>
  <si>
    <t>Australian Government's Cooperative Research Centres Programme through the Antarctic Climate and Ecosystem Cooperative Research Centre; Institute for Marine and Antarctic Studies; Holsworth Wildlife Research Endowment; ARC LIEF [LE0989539]</t>
  </si>
  <si>
    <t>Australian Government's Cooperative Research Centres Programme through the Antarctic Climate and Ecosystem Cooperative Research Centre(Australian GovernmentDepartment of Industry, Innovation and ScienceCooperative Research Centres (CRC) Programme); Institute for Marine and Antarctic Studies; Holsworth Wildlife Research Endowment; ARC LIEF(Australian Research Council)</t>
  </si>
  <si>
    <t>We would like to thank Pier van der Merwe, Shaun Brooks, Tom Holmes, Prof. Tom Trull, and the two anonymous reviewers for their comments and suggestions during the development of this project and manuscript. Lastly, to Tino Bowie-Proemse for his support. This study was supported by the Australian Government's Cooperative Research Centres Programme through the Antarctic Climate and Ecosystem Cooperative Research Centre, the Institute for Marine and Antarctic Studies, and the Holsworth Wildlife Research Endowment. Access to SF-ICP-MS instrumentation was supported through ARC LIEF funds (LE0989539).</t>
  </si>
  <si>
    <t>10.1016/j.marchem.2017.05.004</t>
  </si>
  <si>
    <t>FJ3FI</t>
  </si>
  <si>
    <t>WOS:000412615500008</t>
  </si>
  <si>
    <t>Barr, C; Tibby, J; Moss, PT; Halverson, GP; Marshall, JC; McGregor, GB; Stirling, E</t>
  </si>
  <si>
    <t>Barr, Cameron; Tibby, John; Moss, Patrick T.; Halverson, Galen P.; Marshall, Jonathan C.; McGregor, Glenn B.; Stirling, Erinne</t>
  </si>
  <si>
    <t>A 25,000-year record of environmental change from Welsby Lagoon, North Stradbroke Island, in the Australian subtropics</t>
  </si>
  <si>
    <t>Palaeoclimates; Glacial maximum; Deglaciation; Subtropics; Australia</t>
  </si>
  <si>
    <t>LAST GLACIAL MAXIMUM; PERCHED LAKE-SEDIMENTS; LATE QUATERNARY; SOUTHEAST QUEENSLAND; CLIMATE VARIABILITY; EASTERN AUSTRALIA; TROPICAL PACIFIC; LATE PLEISTOCENE; FRASER ISLAND; COASTAL DUNES</t>
  </si>
  <si>
    <t>There are few continuous Australian palaeoclimate records that extend beyond the Last Glacial Maximum (LGM), meaning that knowledge of regional climates before, during and after this period is limited. Understanding late-Pleistocene climates of the subtropics is important because of the fundamental role the region plays in the large-scale, global transfer of energy from low latitudes. Palaeoclimate studies of subtropical regions can help define the extent of warming/cooling during the large global climatic events which characterise the late-Pleistocene. Here we report the results from a multi-proxy analysis of a sediment record from Welsby Lagoon on North Stradbroke Island, in the eastern Australian subtropics, spanning the past ca. 25,000 years. Stable C and N isotope analysis and high resolution contiguous records of macrocharcoal deposition and sediment organic content are interpreted in conjunction with a previously published pollen record. Sediment organic content displayed a very strong correlation with total organic carbon (TOC) content as determined through elemental analysis and, given the peaty nature of the sediment, is interpreted as indicative of moisture balance. The proxies reflect wet subtropical climates in the lead up to the LGM which led to an expansion of the wetland. This was followed by a cool, dry and windy LGM (ca. 22.3-19.7'000 years before present; kyr BP), which was punctuated by a brief wet phase ca. 21.7-20.4 kyr BP. A salient feature of the deglacial period is a rapid increase in TOC around 15 kyr BP, coincident with the Antarctic Cold Reversal and Bolling-Allerod warm phase. Increased fire frequency is evident in the Holocene, which is characterised by otherwise stable climate and vegetation. This study supports the notion of variable climates during the LGM and finds an onset of deglacial warming in the Australian subtropics that predates the Holocene. (C) 2017 Elsevier Ltd and INQUA. All rights reserved.</t>
  </si>
  <si>
    <t>[Barr, Cameron; Tibby, John] Univ Adelaide, Geog Environm &amp; Populat, North Terrace, Adelaide, SA 5005, Australia; [Barr, Cameron; Tibby, John] Univ Adelaide, Sprigg Geobiol Ctr, Adelaide, SA, Australia; [Moss, Patrick T.] Univ Queensland, Sch Earth &amp; Environm Sci, Brisbane, Qld 4072, Australia; [Halverson, Galen P.] McGill Univ, Earth &amp; Planetary Sci, 3450 Univ St, Montreal, PQ H3A 0E8, Canada; [Marshall, Jonathan C.; McGregor, Glenn B.] Queensland Dept Sci Informat Technol &amp; Innovat, GPO Box 5078, Brisbane, Qld 4001, Australia; [Stirling, Erinne] Univ Adelaide, Sch Agr Food &amp; Wine, North Terrace, Adelaide, SA 5005, Australia</t>
  </si>
  <si>
    <t>University of Adelaide; University of Adelaide; University of Queensland; McGill University; University of Adelaide</t>
  </si>
  <si>
    <t>Barr, C (corresponding author), Univ Adelaide, Dept Geog Environm &amp; Populat, North Terrace, Adelaide, SA 5005, Australia.</t>
  </si>
  <si>
    <t>cameron.barr@adelaide.edu.au; john.tibby@adelaide.edu.au; patrick.moss@uq.edu.au; galen.halverson@mcgill.ca; jonathan.marshall@dsiti.qld.gov.au; glenn.mcgregor@dsiti.qld.gov.au; erinne.stirling@adelaide.edu.au</t>
  </si>
  <si>
    <t>Moss, Patrick/AFM-9408-2022; Stirling, Erinne/K-1089-2019</t>
  </si>
  <si>
    <t>Stirling, Erinne/0000-0001-5386-2454; McGregor, Glenn/0000-0002-0084-4356; Tibby, John/0000-0002-5897-2932; Marshall, Jonathan/0000-0002-7177-4543; Moss, Patrick/0000-0003-1546-9242; Halverson, Galen/0000-0003-3061-7928; Barr, Cameron/0000-0003-0436-8702</t>
  </si>
  <si>
    <t>Australian Research Council [LP34106364]</t>
  </si>
  <si>
    <t>Australian Research Council(Australian Research Council)</t>
  </si>
  <si>
    <t>We acknowledge Minjerribah (North Stradbroke Island) and the surrounding waters as Quandamooka Country. The authors would like to thank Aunty Marg, Minjerribah Moorgumpin elders, for support in undertaking the project and Paul Smith, Steve Rodenburg and Craig Lockhart for assistance with access to the site. The authors would also like to thank Tim Page and Jamie Shulmeister for fieldwork assistance, Deborah Haynes for laboratory work, J.F. Helie and G. Couturier for assistance with stable isotope analyses and Christine Crothers (University of Adelaide) for assistance in drafting Fig. 1. This project was funded by Australian Research Council grants LP34106364 (with co-investment from The Queensland Government and Sibelco Australia) and DP150103875. We thank two anonymous reviewers for their time and constructive feedback which have improved the manuscript.</t>
  </si>
  <si>
    <t>10.1016/j.quaint.2017.04.011</t>
  </si>
  <si>
    <t>FF9QM</t>
  </si>
  <si>
    <t>WOS:000409351800009</t>
  </si>
  <si>
    <t>Lübcker, N; Reisinger, RR; Oosthuizen, WC; de Bruyn, PJN; van Tonder, A; Pistorius, PA; Bester, MN</t>
  </si>
  <si>
    <t>Lubcker, Nico; Reisinger, Ryan R.; Oosthuizen, W. Chris; de Bruyn, P. J. Nico; van Tonder, Andre; Pistorius, Pierre A.; Bester, Marthan N.</t>
  </si>
  <si>
    <t>Low trophic level diet of juvenile southern elephant seals Mirounga leonina from Marion Island: a stable isotope investigation using vibrissal regrowths</t>
  </si>
  <si>
    <t>Crustaceans; Diet; Marine mammals; Pinnipeds; Stable isotopes; Vibrissae; Whiskers</t>
  </si>
  <si>
    <t>PRINCE-EDWARD ISLANDS; CEPHALOPOD PREY; FORAGING AREAS; CLIMATE-CHANGE; PREDATORS; CARBON; OCEAN; FISH; ECOLOGY; SURVIVAL</t>
  </si>
  <si>
    <t>Insight into the trophic ecology of marine predators is vital for understanding their ecosystem role and predicting their responses to environmental change. Juvenile southern elephant seals (SES) Mirounga leonina are considered generalist predators within the Southern Ocean. Although mesopelagic fish and squid dominate their stomach lavage samples, the stable isotope profile captured along the length of sampled vibrissae of young SES at Macquarie Island, southwest Pacific Ocean (54.5 degrees S, 158.9 degrees E) recently emphasized the contribution of crustaceans to their diet (likely Euphausia superba). Herein, we used the stable isotope values of sampled vibrissal regrowths with known growth histories to assess the diet of juvenile SES at Marion Island, southern Indian Ocean (46.8 degrees S, 37.8 degrees E) on a temporally integrated basis. We specifically aimed to quantify the possible contribution of crustaceans to the diet of juvenile SES. Sequentially (chronologically) sampled vibrissal regrowths of 14 juvenile SES produced fine-scale dietary information spanning up to 9 mo. The depleted stable isotope signatures of nitrogen (delta N-15) (8.5 +/- 0.6 parts per thousand) and carbon (delta C-13) (-20.3 +/- 0.1 parts per thousand) measured during the period of independent foraging suggested the use of a lower trophic level diet within the Polar Frontal Zone. A mixing model predicted that up to 76% of juvenile SES diet comprised crustaceans, consisting of 2 crustacean groups, each contributing 26% (credible interval, CI: 13-39%) and 50% (CI: 35-64%) to their diets, presumably representing subantarctic krill species. This first utilisation of the isotopic signature captured along the length of vibrissal regrowths confirms the inclusion and importance of crustaceans in the diet of juvenile SES.</t>
  </si>
  <si>
    <t>[Lubcker, Nico; Reisinger, Ryan R.; Oosthuizen, W. Chris; de Bruyn, P. J. Nico; van Tonder, Andre; Bester, Marthan N.] Univ Pretoria, Mammal Res Inst, Dept Zool &amp; Entomol, ZA-0028 Pretoria, South Africa; [Pistorius, Pierre A.] Nelson Mandela Metropolitan Univ, Inst Coastal &amp; Marine Res, Marine Apex Predator Res Unit, South Campus, ZA-6031 Port Elizabeth, South Africa; [Pistorius, Pierre A.] Nelson Mandela Metropolitan Univ, Dept Zool, Percy FitzPatrick Inst, DST NRF Ctr Excellence, South Campus, ZA-6031 Port Elizabeth, South Africa; [Reisinger, Ryan R.] Univ La Rochelle, CNRS, UMR 7372, Ctr Etud Biol Chize, F-79360 Villiers En Bois, France</t>
  </si>
  <si>
    <t>University of Pretoria; Nelson Mandela University; Nelson Mandela University; National Research Foundation - South Africa; Centre National de la Recherche Scientifique (CNRS); CNRS - Institute of Ecology &amp; Environment (INEE); La Rochelle Universite</t>
  </si>
  <si>
    <t>Lübcker, N (corresponding author), Univ Pretoria, Mammal Res Inst, Dept Zool &amp; Entomol, ZA-0028 Pretoria, South Africa.</t>
  </si>
  <si>
    <t>nlubcker@zoology.up.ac.za</t>
  </si>
  <si>
    <t>Bester, Marthán N/E-5387-2010; de Bruyn, P. J. Nico/E-4176-2010; Oosthuizen, W. Chris/I-2947-2016; Lubcker, Nico/I-7622-2019; Reisinger, Ryan/D-6151-2014</t>
  </si>
  <si>
    <t>de Bruyn, P. J. Nico/0000-0002-9114-9569; Oosthuizen, W. Chris/0000-0003-2905-6297; Lubcker, Nico/0000-0001-7141-6669; Pistorius, Pierre/0000-0001-6561-7069; Reisinger, Ryan/0000-0002-8933-6875</t>
  </si>
  <si>
    <t>South African Department of Science and Technology (DST); National Research Foundation (NRF) [93071]; Society for Marine Mammalogy</t>
  </si>
  <si>
    <t>South African Department of Science and Technology (DST); National Research Foundation (NRF); Society for Marine Mammalogy</t>
  </si>
  <si>
    <t>The project has ethics clearance from the Animal Use and Care Committee (AUCC) of the Faculty of Veterinary Science, University of Pretoria, under AUCC 040827-022, AUCC 040827-023, AUCC 040827-024 and EC030602-016, and was carried out under permit from the Director-General: Department of Environmental Affairs, South Africa. Funding for the project was obtained from the South African Department of Science and Technology (DST) and National Research Foundation (NRF), grant number 93071. The conclusions drawn and discussed are attributed to the authors and not necessarily to the NRF. The Department of Environmental Affairs provided logistical support for ongoing fieldwork at Marion Island, under the South African National Antarctic Programme (SANAP). The 'Grant in Aid of Research' provided additional funding, obtained from the Society for Marine Mammalogy. We are also grateful to Prof. Yves Cherel for his comments on an earlier version of the manuscript, as well as to all the Marion Island personnel that faithfully performed their duties beyond expectation. Special thanks to William Haddad, Mia Wege and Nicolas Prinsloo, as well as to Dr. Grant Hall, Stable Isotope Laboratory, University of Pretoria.</t>
  </si>
  <si>
    <t>AUG 18</t>
  </si>
  <si>
    <t>10.3354/meps12240</t>
  </si>
  <si>
    <t>FH6SQ</t>
  </si>
  <si>
    <t>WOS:000411307400017</t>
  </si>
  <si>
    <t>Farhadi, A; Jeffs, AG; Farahmand, H; Rejiniemon, TS; Smith, G; Lavery, SD</t>
  </si>
  <si>
    <t>Farhadi, Ahmad; Jeffs, Andrew G.; Farahmand, Hamid; Rejiniemon, Thankappan Sarasam; Smith, Greg; Lavery, Shane D.</t>
  </si>
  <si>
    <t>Mechanisms of peripheral phylogeographic divergence in the indo-Pacific: lessons from the spiny lobster Panulirus homarus</t>
  </si>
  <si>
    <t>BMC EVOLUTIONARY BIOLOGY</t>
  </si>
  <si>
    <t>Indo-West Pacific; Larval dispersal; Marine biogeography; mtDNA; Microsatellites; Panulirus; Peripheral speciation; Phylogeography; West Indian Ocean</t>
  </si>
  <si>
    <t>CORAL-REEF FISHES; GENE FLOW; POPULATION-STRUCTURE; SPECIATION; DISPERSAL; SOFTWARE; ENDEMISM; PATTERNS; DIFFERENTIATION; BIOGEOGRAPHY</t>
  </si>
  <si>
    <t>Background: There is increasing recognition of the concordance between marine biogeographic and phylogeographic boundaries. However, it is still unclear how population-level divergence translates into species-level divergence, and what are the principal factors that first initiate that divergence, and then maintain reproductive isolation. This study examines the likely forces driving population and lineage divergences in the broadly-distributed Indo-Pacific spiny lobster Panulirus homarus, which has peripheral divergent lineages in the west and east. The study focuses particularly on the West Indian Ocean, which is emerging as a region of unexpected diversity. Mitochondrial control region (mtCR) and COI sequences as well as genotypes of 9 microsatellite loci were examined in 410 individuals from 17 locations grouped into 7 regions from South Africa in the west, and eastward across to Taiwan and the Marquesas Islands. Phylogenetic and population-level analyses were used to test the significance and timing of divergences and describe the genetic relationships among populations. Results: Analyses of the mtCR revealed high levels of divergence among the seven regions (Phi(ST) = 0.594, P &lt; 0.001). Microsatellite analyses also revealed significant divergence among regions, but at a much lower level (F-ST = 0.066, P &lt; 0.001). The results reveal different patterns of mtCR v. nDNA divergence between the two distinct peripheral lineages: a subspecies in South Africa and Madagascar, and a phylogeographically diverged population in the Marquesas. The results also expose a number of other more fine-scale population divergences, particularly in the Indian Ocean. Conclusions: The divergence of peripheral lineages in the west and east of the species' range appear to have been initiated and maintained by very different processes. The pattern of mitochondrial and nuclear divergence of the western lineage, implicates processes of parapatric isolation, secondary contact and introgression, and suggests possible maintenance through adaptation and behavioural reproductive isolation. In contrast, the eastern lineage appears to have diverged through a rare colonisation event, maintained through long-term isolation, and matches expectations of the core-periphery hypothesis. The process of active peripheral speciation may be a common force in the Indo-Pacific that helps drive some of the regions' recognized biogeographic boundaries.</t>
  </si>
  <si>
    <t>[Farhadi, Ahmad; Jeffs, Andrew G.; Lavery, Shane D.] Univ Auckland, Sch Biol Sci, Auckland, New Zealand; [Farhadi, Ahmad] Shiraz Univ, Sch Agr, Dept Nat Resources &amp; Environm, Shiraz, Iran; [Jeffs, Andrew G.; Lavery, Shane D.] Univ Auckland, Inst Marine Sci, Auckland, New Zealand; [Farahmand, Hamid] Univ Tehran, Fac Nat Resources, Dept Fisheries &amp; Environm, Tehran, Iran; [Rejiniemon, Thankappan Sarasam] AJ Coll Sci &amp; Technol, Dept Bot &amp; Biotechnol, Thonnakkal, Kerala, India; [Smith, Greg] Univ Tasmania, Inst Marine &amp; Antarctic Studies, Hobart, Tas, Australia</t>
  </si>
  <si>
    <t>University of Auckland; Shiraz University; University of Auckland; University of Tehran; University of Tasmania</t>
  </si>
  <si>
    <t>Farhadi, A (corresponding author), Univ Auckland, Sch Biol Sci, Auckland, New Zealand.;Farhadi, A (corresponding author), Shiraz Univ, Sch Agr, Dept Nat Resources &amp; Environm, Shiraz, Iran.</t>
  </si>
  <si>
    <t>farhadia63@yahoo.com</t>
  </si>
  <si>
    <t>Jeffs, Andrew G/D-9474-2012; Lavery, Shane/AFX-7929-2022; Smith, Gregory/C-9263-2013</t>
  </si>
  <si>
    <t>Lavery, Shane/0000-0003-3038-292X; Jeffs, Andrew/0000-0002-8504-1949; Smith, Gregory/0000-0002-8677-1230; Farhadi, Ahmad/0000-0002-8282-4825</t>
  </si>
  <si>
    <t>Nexus Aquasciences Sdn Bhd; Australian Research Council's Industrial Transformation Research Hub [IH 120100032]</t>
  </si>
  <si>
    <t>Nexus Aquasciences Sdn Bhd; Australian Research Council's Industrial Transformation Research Hub(Australian Research Council)</t>
  </si>
  <si>
    <t>The study was conducted with the financial support from Nexus Aquasciences Sdn Bhd and the Australian Research Council's Industrial Transformation Research Hub (Project number IH 120100032).</t>
  </si>
  <si>
    <t>1471-2148</t>
  </si>
  <si>
    <t>BMC EVOL BIOL</t>
  </si>
  <si>
    <t>BMC Evol. Biol.</t>
  </si>
  <si>
    <t>10.1186/s12862-017-1050-8</t>
  </si>
  <si>
    <t>Evolutionary Biology; Genetics &amp; Heredity</t>
  </si>
  <si>
    <t>FE1DS</t>
  </si>
  <si>
    <t>WOS:000407959200001</t>
  </si>
  <si>
    <t>Botic, T; Defant, A; Zanini, P; Zuzek, MC; Frangez, R; Janussen, D; Kersken, D; Knez, Z; Mancini, I; Sepcic, K</t>
  </si>
  <si>
    <t>Botic, Tanja; Defant, Andrea; Zanini, Pietro; Zuzek, Monika Cecilija; Frangez, Robert; Janussen, Dorte; Kersken, Daniel; Knez, Zeljko; Mancini, Ines; Sepcic, Kristina</t>
  </si>
  <si>
    <t>Discorhabdin alkaloids from Antarctic Latrunculia spp. sponges as a new class of cholinesterase inhibitors</t>
  </si>
  <si>
    <t>EUROPEAN JOURNAL OF MEDICINAL CHEMISTRY</t>
  </si>
  <si>
    <t>Acetylcholinesterase inhibitor; Alzheimer's disease; Antarctic sponges; Discorhabdins; Molecular docking; Sponge metabolites</t>
  </si>
  <si>
    <t>CYTOTOXIC ALKALOIDS; ALZHEIMERS-DISEASE; MARINE SPONGES; ACETYLCHOLINESTERASE; DIAPHRAGM; NERVE; BUTYRYLCHOLINESTERASE; MOUSE; DRUG; SEA</t>
  </si>
  <si>
    <t>The brominated pyrroloiminoquinone alkaloids discorhabdins B, L and G and 3-dihydro-7,8- dehydrodiscorhabdin C, isolated from methanol extracts of two specimens of Latrunculia sp. sponges collected near the Antarctic Peninsula, are here demonstrated for the first time to be reversible competitive inhibitors of cholinesterases. They showed K-i for electric eel acetylcholinesterase of 1.6-15.0 mu M, for recombinant human acetylcholinesterase of 22.8-98.0 mu M, and for horse serum butyrylcholinesterase of 5.0-76.0 mu M. These values are promising when compared to the current cholinesterase inhibitors used for treatment of patients with Alzheimer's disease, to counteract the acetylcholine deficiency in the brain. Good correlation was obtained between IC50 data and results by molecular docking calculation on the binding interactions within the acetylcholinesterase active site, which also indicated the moieties in discorhabdin structures involved. To avoid unwanted peripheral side effects that can appear in patients using some acetylcholinesterase inhibitors, electrophysiological experiments were carried out on one of the most active of these compounds, discorhabdin G, which confirmed that it had no detectable undesirable effects on neuromuscular transmission and skeletal muscle function. These findings are promising for development of cholinesterase inhibitors based on the scaffold of discorhabdins, as potential new agents for treatment of patients with Alzheimer's disease. (C) 2017 Elsevier Masson SAS. All rights reserved.</t>
  </si>
  <si>
    <t>[Botic, Tanja; Knez, Zeljko] Univ Maribor, Fac Chem &amp; Chem Engn, Lab Separat Proc &amp; Prod Design, Smetanova 17, SLO-2000 Maribor, Slovenia; [Defant, Andrea; Zanini, Pietro; Mancini, Ines] Univ Trento, Dept Phys, Bioorgan Chem Lab, Via Sommar 14, I-38123 Povo, Italy; [Zuzek, Monika Cecilija; Frangez, Robert] Univ Ljubljana, Inst Preclin Sci, Fac Vet, Gerbiceva 60, Ljubljana, Slovenia; [Janussen, Dorte; Kersken, Daniel] Senckenberg Res Inst &amp; Nat Museum, Marine Zool Dept, Senckenberganlage 25, D-60325 Frankfurt, Germany; [Sepcic, Kristina] Univ Ljubljana, Biotech Fac, Dept Biol, Vecna Pot 111, Ljubljana 1000, Slovenia</t>
  </si>
  <si>
    <t>University of Maribor; University of Trento; University of Ljubljana; Senckenberg Gesellschaft fur Naturforschung (SGN); University of Ljubljana</t>
  </si>
  <si>
    <t>Mancini, I (corresponding author), Univ Trento, Dept Phys, Bioorgan Chem Lab, Via Sommar 14, I-38123 Povo, Italy.;Sepcic, K (corresponding author), Univ Ljubljana, Biotech Fac, Dept Biol, Vecna Pot 111, Ljubljana 1000, Slovenia.</t>
  </si>
  <si>
    <t>ines.mancini@unitn.it; kristina.sepcic@bf.uni-lj.si</t>
  </si>
  <si>
    <t>Defant, Andrea/ABE-4471-2020; Mancini, Ines/H-8781-2019; Sepcic, Kristina/S-5533-2018</t>
  </si>
  <si>
    <t>Mancini, Ines/0000-0003-0297-3685; Sepcic, Kristina/0000-0002-4023-5379; Defant, Andrea/0009-0000-2460-3015; Knez, Zeljko/0000-0001-8760-607X</t>
  </si>
  <si>
    <t>Slovenian Research Agency [P2-0046, P1-0207, P4-0053]; Deutsche Forschungsgemeinschaft (DFG) [JA 1063/17-1]; [BI-FR-PROTEUS/17-18-001]</t>
  </si>
  <si>
    <t>Slovenian Research Agency(Slovenian Research Agency - Slovenia); Deutsche Forschungsgemeinschaft (DFG)(German Research Foundation (DFG));</t>
  </si>
  <si>
    <t>The authors gratefully acknowledge the Slovenian Research Agency (Research Programmes P2-0046, P1-0207, P4-0053), BI-FR-PROTEUS/17-18-001 project, and ERASMUS STT. T. Botie wishes to thank the members of the Laboratory of Bioorganic Chemistry, Department of Physics, of the University of Trento, for their help and support during her visit to their laboratory. Special thanks go to Adrian Sterni for the mass spectra acquisition and to Mario Rossi for technical guidance. Christopher Berrie is gratefully acknowledged for editing and appraisal of the manuscript. D. Janussen wishes to thank all of her colleagues who participated in and were working together during the Antarctic 2013 winter expedition, ANT XXIX/3. Our thanks also go to the Captain and crew of the RV Polarstern. Deutsche Forschungsgemeinschaft (DFG) is acknowledged for financial support of the Antarctic Porifera Research Project (JA 1063/17-1).</t>
  </si>
  <si>
    <t>ELSEVIER FRANCE-EDITIONS SCIENTIFIQUES MEDICALES ELSEVIER</t>
  </si>
  <si>
    <t>ISSY-LES-MOULINEAUX</t>
  </si>
  <si>
    <t>65 RUE CAMILLE DESMOULINS, CS50083, 92442 ISSY-LES-MOULINEAUX, FRANCE</t>
  </si>
  <si>
    <t>0223-5234</t>
  </si>
  <si>
    <t>1768-3254</t>
  </si>
  <si>
    <t>EUR J MED CHEM</t>
  </si>
  <si>
    <t>Eur. J. Med. Chem.</t>
  </si>
  <si>
    <t>10.1016/j.ejmech.2017.05.019</t>
  </si>
  <si>
    <t>Chemistry, Medicinal</t>
  </si>
  <si>
    <t>EY5BZ</t>
  </si>
  <si>
    <t>WOS:000403993500024</t>
  </si>
  <si>
    <t>Choi, N; Kim, JH; Kokubun, N; Park, S; Chung, H; Lee, WY</t>
  </si>
  <si>
    <t>Choi, Noori; Kim, Jeong-Hoon; Kokubun, Nobuo; Park, Seongseop; Chung, Hosung; Lee, Won Young</t>
  </si>
  <si>
    <t>Group association and vocal behaviour during foraging trips in Gentoo penguins</t>
  </si>
  <si>
    <t>DIVING BEHAVIOR; GROUP-SIZE; LOCAL ENHANCEMENT; ISLAND; ACCELEROMETERS; PREDATION; SYSTEM; CALLS</t>
  </si>
  <si>
    <t>In contrast to their terrestrial call, the offshore call of penguins during their foraging trips has been poorly studied due to the inaccessibility of the foraging site-the open ocean-to researchers. Here, we present the first description of the vocal behaviour of penguins in the open ocean and discuss the function of their vocal communication. We deployed an animal-borne camera on gentoo penguins (Pygoscelis papua) and recorded their foraging behaviour during chick guarding. From the video recordings, we collected 598 offshore calls from 10 individuals in two breeding seasons (2014-2015 and 2015-2016), and we analysed the acoustic characteristics and behavioural contexts of these calls, including diving patterns, group association events, and foraging behaviour. The offshore calls varied in their dominant frequency and length, and penguins produced calls of different lengths in succession. Group associations were observed within one minute following an offshore call in almost half of the instances (43.18%). Penguins undertook dives of shallower depths and shorter durations after producing an offshore call than those before producing an offshore call. Our findings show that penguins may use vocal communication in the ocean related with group association during foraging trips.</t>
  </si>
  <si>
    <t>[Choi, Noori; Kim, Jeong-Hoon; Park, Seongseop; Chung, Hosung; Lee, Won Young] Korea Polar Res Inst, Div Polar Life Sci, Incheon, South Korea; [Choi, Noori] Univ Nebraska, Sch Biol Sci, Lincoln, NE USA; [Kokubun, Nobuo] Natl Inst Polar Res, Tokyo, Japan; [Park, Seongseop] Incheon Natl Univ, Div Life Sci, Incheon, South Korea</t>
  </si>
  <si>
    <t>Korea Polar Research Institute (KOPRI); University of Nebraska System; University of Nebraska Lincoln; Research Organization of Information &amp; Systems (ROIS); National Institute of Polar Research (NIPR) - Japan; Incheon National University</t>
  </si>
  <si>
    <t>Lee, WY (corresponding author), Korea Polar Res Inst, Div Polar Life Sci, Incheon, South Korea.</t>
  </si>
  <si>
    <t>wonyounglee@kopri.re.kr</t>
  </si>
  <si>
    <t>Long-Term Ecological Researches on King George Island [PE16020]; Development of Environmental Monitoring Techniques of Antarctic Specially Protected Area (ASPA) - Korea Polar Research Institute [171, PG15040, PG16040]</t>
  </si>
  <si>
    <t>Long-Term Ecological Researches on King George Island; Development of Environmental Monitoring Techniques of Antarctic Specially Protected Area (ASPA) - Korea Polar Research Institute(Korea Polar Research Institute of Marine Research Placement (KOPRI))</t>
  </si>
  <si>
    <t>This research was supported by the Long-Term Ecological Researches on King George Island to Predict Ecosystem Responses to Climate Change (PE16020) and Development of Environmental Monitoring Techniques of Antarctic Specially Protected Area (ASPA No. 171) (PG15040 and PG16040) funded by Korea Polar Research Institute. We thank logistic help from overwintering members at King Sejong Station during the field seasons. We thank members of Hebet's lab for reviewing manuscripts.</t>
  </si>
  <si>
    <t>AUG 17</t>
  </si>
  <si>
    <t>10.1038/s41598-017-07900-7</t>
  </si>
  <si>
    <t>FD9SU</t>
  </si>
  <si>
    <t>WOS:000407863200001</t>
  </si>
  <si>
    <t>De Paoli-Iseppi, R; Deagle, BE; McMahon, CR; Hindell, MA; Dickinson, JL; Jarman, SN</t>
  </si>
  <si>
    <t>De Paoli-Iseppi, Ricardo; Deagle, Bruce E.; McMahon, Clive R.; Hindell, Mark A.; Dickinson, Joanne L.; Jarman, Simon N.</t>
  </si>
  <si>
    <t>Measuring Animal Age with DNA Methylation: From Humans to Wild Animals</t>
  </si>
  <si>
    <t>FRONTIERS IN GENETICS</t>
  </si>
  <si>
    <t>epigenetics; ageing; methylation; wild animals; conservation; ecology</t>
  </si>
  <si>
    <t>CYTOSINE METHYLATION; PROFILES REVEAL; GENOME; TISSUE; GENES; PATTERNS; BLOOD; CPG; MARKER; METHYLTRANSFERASES</t>
  </si>
  <si>
    <t>DNA methylation (DNAm) is a key mechanism for regulating gene expression in animals and levels are known to change with age. Recent studies have used DNAm changes as a biomarker to estimate chronological age in humans and these techniques are now also being applied to domestic and wild animals. Animal age is widely used to track ongoing changes in ecosystems, however chronological age information is often unavailable for wild animals. An ability to estimate age would lead to improved monitoring of (i) population trends and status and (ii) demographic properties such as age structure and reproductive performance. Recent studies have revealed new examples of DNAm age association in several new species increasing the potential for developing DNAm age biomarkers for a broad range of wild animals. Emerging technologies for measuring DNAm will also enhance our ability to study age-related DNAm changes and to develop new molecular age biomarkers.</t>
  </si>
  <si>
    <t>[De Paoli-Iseppi, Ricardo; Hindell, Mark A.] Univ Tasmania, Inst Marine &amp; Antarctic Studies, Hobart, Tas, Australia; [De Paoli-Iseppi, Ricardo; Deagle, Bruce E.] Australian Antarctic Div, Hobart, Tas, Australia; [McMahon, Clive R.] Sydney Inst Marine Sci, Sydney, NSW, Australia; [Dickinson, Joanne L.] Menzies Inst Med Res, Canc Genet &amp; Immunol Grp, Hobart, Tas, Australia; [Jarman, Simon N.] Curtin Univ, Trace &amp; Environm DNA Lab, Dept Environm &amp; Agr, Perth, WA, Australia; [Jarman, Simon N.] Univ Western Australia, CSIRO Indian Ocean Marine Res Ctr, Perth, WA, Australia</t>
  </si>
  <si>
    <t>University of Tasmania; Australian Antarctic Division; Sydney Institute of Marine Science; University of Tasmania; Menzies Institute for Medical Research; Curtin University; University of Western Australia</t>
  </si>
  <si>
    <t>De Paoli-Iseppi, R (corresponding author), Univ Tasmania, Inst Marine &amp; Antarctic Studies, Hobart, Tas, Australia.;De Paoli-Iseppi, R (corresponding author), Australian Antarctic Div, Hobart, Tas, Australia.</t>
  </si>
  <si>
    <t>ricardo.depaoliiseppi@utas.edu.au</t>
  </si>
  <si>
    <t>Dickinson, Joanne L/J-7728-2014; Deagle, Bruce E/R-2999-2019; Hindell, Mark A/K-1131-2013; McMahon, Clive R/D-5713-2013; Jarman, Simon/H-9265-2016</t>
  </si>
  <si>
    <t>Deagle, Bruce E/0000-0001-7651-3687; McMahon, Clive R/0000-0001-5241-8917; De Paoli-Iseppi, Ricardo/0000-0001-7724-9144; Dickinson, Joanne/0000-0003-4621-1703; Hindell, Mark/0000-0002-7823-7185; Jarman, Simon/0000-0002-0792-9686</t>
  </si>
  <si>
    <t>Australian Antarctic Science [4014]; Australian Government; Holsworth Wildlife Research Endowment - ANZ Trustees Foundation [H0024583]; Joyce W. Vickery Scientific Research Fund - The Linnean Society of New South Wales [H0024181]</t>
  </si>
  <si>
    <t>Australian Antarctic Science; Australian Government(Australian Government); Holsworth Wildlife Research Endowment - ANZ Trustees Foundation; Joyce W. Vickery Scientific Research Fund - The Linnean Society of New South Wales</t>
  </si>
  <si>
    <t>This work was funded by Australian Antarctic Science project number: 4014 (BD, SJ), the Australian Government Research Training Program (RD), the Holsworth Wildlife Research Endowment (H0024583) - ANZ Trustees Foundation (RD) (http://www.eqt.com.au/charities-and-not-for-profits/grants/animals-and-environmentgrants) and the Joyce W. Vickery Scientific Research Fund (H0024181) - The Linnean Society of New South Wales (RD) (http://linneansocietynsw.org.au/).</t>
  </si>
  <si>
    <t>1664-8021</t>
  </si>
  <si>
    <t>FRONT GENET</t>
  </si>
  <si>
    <t>Front. Genet.</t>
  </si>
  <si>
    <t>10.3389/fgene.2017.00106</t>
  </si>
  <si>
    <t>Genetics &amp; Heredity</t>
  </si>
  <si>
    <t>FE5JY</t>
  </si>
  <si>
    <t>WOS:000408249000001</t>
  </si>
  <si>
    <t>Siegfried, MR; Medley, B; Larson, KM; Fricker, HA; Tulaczyk, S</t>
  </si>
  <si>
    <t>Siegfried, M. R.; Medley, B.; Larson, K. M.; Fricker, H. A.; Tulaczyk, S.</t>
  </si>
  <si>
    <t>Snow accumulation variability on a West Antarctic ice stream observed with GPS reflectometry, 2007-2017</t>
  </si>
  <si>
    <t>SURFACE MASS-BALANCE; WHILLANS; RADAR; DENSIFICATION; FLUCTUATIONS; DENSITY; MODEL; SHELF</t>
  </si>
  <si>
    <t>Land ice loss from Antarctica is a significant and accelerating contribution to global sea level rise; however, Antarctic mass balance estimates are complicated by insufficient knowledge of surface mass balance processes such as snow accumulation. Snow accumulation is challenging to observe on a continental scale and in situ data are sparse, so we largely rely on estimates from atmospheric models. Here we employ a novel technique, GPS interferometric reflectometry (GPS-IR), to measure upper (&lt;2 m) firn column thickness changes across a 23-station GPS array in West Antarctica. We compare the results with antenna heights measured in situ to establish the method's daily uncertainty (0.06 m) and with output from two atmospheric reanalysis products to categorize spatial and temporal variability of net snow accumulation. GPS-IR is an effective technique for monitoring surface mass balance processes that can be applied to both historic GPS data sets and future experiments to provide critical in situ observations of processes driving surface height evolution.</t>
  </si>
  <si>
    <t>[Siegfried, M. R.; Fricker, H. A.] Univ Calif San Diego, Scripps Inst Oceanog, Inst Geophys &amp; Planetary Phys, La Jolla, CA 92093 USA; [Siegfried, M. R.] Stanford Univ, Dept Geophys, Stanford, CA 94305 USA; [Medley, B.] NASA Goddard Space Flight Ctr, Cryospher Sci Lab, Greenbelt, MD USA; [Larson, K. M.] Univ Colorado, Dept Aerosp Engn Sci, Boulder, CO 80309 USA; [Tulaczyk, S.] Univ Calif Santa Cruz, Earth &amp; Planetary Sci, Santa Cruz, CA 95064 USA</t>
  </si>
  <si>
    <t>University of California System; University of California San Diego; Scripps Institution of Oceanography; Stanford University; National Aeronautics &amp; Space Administration (NASA); NASA Goddard Space Flight Center; University of Colorado System; University of Colorado Boulder; University of California System; University of California Santa Cruz</t>
  </si>
  <si>
    <t>Siegfried, MR (corresponding author), Univ Calif San Diego, Scripps Inst Oceanog, Inst Geophys &amp; Planetary Phys, La Jolla, CA 92093 USA.;Siegfried, MR (corresponding author), Stanford Univ, Dept Geophys, Stanford, CA 94305 USA.</t>
  </si>
  <si>
    <t>siegfried@stanford.edu</t>
  </si>
  <si>
    <t>; Tulaczyk, Slawek/O-7375-2018; LARSON, KRISTINE/J-7623-2018</t>
  </si>
  <si>
    <t>Fricker, Helen Amanda/0000-0002-0921-1432; Tulaczyk, Slawek/0000-0002-9711-4332; LARSON, KRISTINE/0000-0003-4666-8885</t>
  </si>
  <si>
    <t>NSF as part of the WISSARD project [ANT-0838885, ANT-1543441, ANT-0636970, ANT-0838947, ANT-0839142]; NSF as part of the SALSA project [ANT-0838885, ANT-1543441, ANT-0636970, ANT-0838947, ANT-0839142]; NSF [AGS-1449554]; George Thompson Fellowship at Stanford University; Directorate For Geosciences; Div Atmospheric &amp; Geospace Sciences [1449554] Funding Source: National Science Foundation</t>
  </si>
  <si>
    <t>NSF as part of the WISSARD project; NSF as part of the SALSA project; NSF(National Science Foundation (NSF)); George Thompson Fellowship at Stanford University; Directorate For Geosciences; Div Atmospheric &amp; Geospace Sciences(National Science Foundation (NSF)NSF - Directorate for Geosciences (GEO))</t>
  </si>
  <si>
    <t>GPS data collection and analysis was supported by NSF grants to H.A.F. (ANT-0838885 and ANT-1543441) and S.T. (ANT-0636970, ANT-0838947, and ANT-0839142) as part of the interdisciplinary WISSARD and SALSA projects. Method development was supported by an NSF grant to K.M.L. (AGS-1449554). M.R.S. was supported in part by the George Thompson Fellowship at Stanford University. We thank the 2010-2017 WISSARD and SALSA field team members for data collection assistance and UNAVCO, Raytheon Polar Services, Antarctic Support Contract, Kenn Borek Air, and the New York Air National Guard for logistical support. Data used in this manuscript are available by contacting the corresponding author directly.</t>
  </si>
  <si>
    <t>AUG 16</t>
  </si>
  <si>
    <t>10.1002/2017GL074039</t>
  </si>
  <si>
    <t>FE7HU</t>
  </si>
  <si>
    <t>WOS:000408379000029</t>
  </si>
  <si>
    <t>Spector, P; Stone, J; Cowdery, SG; Hall, B; Conway, H; Bromley, G</t>
  </si>
  <si>
    <t>Spector, Perry; Stone, John; Cowdery, Seth G.; Hall, Brenda; Conway, Howard; Bromley, Gordon</t>
  </si>
  <si>
    <t>Rapid early-Holocene deglaciation in the Ross Sea, Antarctica</t>
  </si>
  <si>
    <t>LAST GLACIAL MAXIMUM; GROUNDING-LINE RETREAT; ICE-SHEET COLLAPSE; WEST ANTARCTICA; VICTORIA LAND; PINE ISLAND; LEVEL; EMBAYMENT; SURFACE; CHRONOLOGY</t>
  </si>
  <si>
    <t>Deglaciation of the Ross Sea following the last ice age provides an important opportunity to examine the stability of marine ice sheets and their susceptibility to changing environmental conditions. Insufficient chronology for Ross Sea deglaciation has helped sustain (i) the theory that this region contributed significantly to Meltwater Pulse 1A (MWP-1A) and (ii) the idea that Ross Sea grounding-line retreat occurred in a swinging gate pattern hinged north of Roosevelt Island. We present deglaciation records from southern Transantarctic Mountain glaciers, which delivered ice to the central Ross Sea. Abrupt thinning of these glaciers 9-8 kyr B.P. coincided with deglaciation of the Scott Coast, similar to 800 km to the north, and ended with the Ross Sea grounding line near Shackleton Glacier. This deglaciation removed grounded ice from most of the central and western Ross Sea in less than 2 kyr. The Ross Sea Sector neither contributed nor responded significantly to MWP-1A.</t>
  </si>
  <si>
    <t>[Spector, Perry; Stone, John; Cowdery, Seth G.; Conway, Howard] Univ Washington, Dept Earth &amp; Space Sci, Seattle, WA 98195 USA; [Hall, Brenda; Bromley, Gordon] Univ Maine, Sch Earth &amp; Climate Sci, Orono, ME USA; [Hall, Brenda; Bromley, Gordon] Univ Maine, Climate Change Inst, Orono, ME USA</t>
  </si>
  <si>
    <t>University of Washington; University of Washington Seattle; University of Maine System; University of Maine Orono; University of Maine System; University of Maine Orono</t>
  </si>
  <si>
    <t>Spector, P (corresponding author), Univ Washington, Dept Earth &amp; Space Sci, Seattle, WA 98195 USA.</t>
  </si>
  <si>
    <t>pspec@uw.edu</t>
  </si>
  <si>
    <t>Conway, Howard/0000-0003-4634-3474; Bromley, Gordon/0000-0002-5671-7065</t>
  </si>
  <si>
    <t>U.S. National Science Foundation (NSF) [0636818, 0838818]; United States Antarctic Program; NSF Graduate Research Fellowship Program; Directorate For Geosciences; Office of Polar Programs (OPP) [0636818] Funding Source: National Science Foundation; Office of Polar Programs (OPP); Directorate For Geosciences [0838818] Funding Source: National Science Foundation</t>
  </si>
  <si>
    <t>U.S. National Science Foundation (NSF)(National Science Foundation (NSF)); United States Antarctic Program; NSF Graduate Research Fellowship Program(National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</si>
  <si>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Support for this work was provided by U.S. National Science Foundation (NSF) grants 0636818 and 0838818 and the United States Antarctic Program. P.S. received funding from the NSF Graduate Research Fellowship Program. We thank Maurice Conway and Lesley Urasky for assistance in the field, Joy Laydbak and Marcus Gladden for assistance with sample preparation, and Robert Finkel, Dylan Rood, Susan Zimmerman, and Tom Brown for accelerator analyses. Additionally, we thank Andrew Hein, Joanne Johnson, and an anonymous reviewer for constructive feedback. The data described in this paper are included in the supporting information.</t>
  </si>
  <si>
    <t>10.1002/2017GL074216</t>
  </si>
  <si>
    <t>WOS:000408379000030</t>
  </si>
  <si>
    <t>Pfaffhuber, AA; Lieser, JL; Haas, C</t>
  </si>
  <si>
    <t>Pfaffhuber, Andreas A.; Lieser, Jan L.; Haas, Christian</t>
  </si>
  <si>
    <t>Snow thickness profiling on Antarctic sea ice with GPR-Rapid and accurate measurements with the potential to upscale needles to a haystack</t>
  </si>
  <si>
    <t>DEPTH; RADAR; BELLINGSHAUSEN</t>
  </si>
  <si>
    <t>Snow thickness on sea ice is a largely undersampled parameter yet of importance for the sea ice mass balance and for satellite-based sea ice thickness estimates and thus our general understanding of global ice volume change. Traditional direct thickness measurements with meter sticks can provide accurate but only spot information, referred to as needles due to their pinpoint focus and information, while airborne and satellite remote sensing snow products, referred to as the haystack, have large uncertainties due to their scale. We demonstrate the remarkable accuracy and applicability of ground-penetrating radar (GPR) snow thickness measurements by comparing them with in situ meter stick data from two field campaigns to Antarctica in late winter/early spring. The efficiency and millimeter-to-centimeter accuracy of GPR enables practitioners to acquire extensive, semiregional data with the potential to upscale needles to the haystack and to potentially calibrate satellite remote sensing products that we confirm to derive roughly 30% of the in situ thickness. We find the radar wave propagation velocity in snow to be rather constant (+/- 6%), encouraging regional snow thickness surveys. Snow thinner than 10 cm is under the detection limit with the off-the-shelf GPR setup utilized in our study. Plain Language Summary Snow on sea ice, especially on Antarctic sea ice, plays a significant role in climate analysis due to its contribution to the mass and volume balance of the cryosphere. The thickness of snow on sea ice is not known in full detail as it is hard to derive from satellite data. Based on an extensive data set from two Antarctic winter/spring expeditions, we show the efficiency and accuracy of ground-penetrating radar to map snow thickness on a semiregional scale. Such surveys could potentially be extended to larger scales and contribute to satellite snow thickness algorithm calibration schemes.</t>
  </si>
  <si>
    <t>[Pfaffhuber, Andreas A.] NGI, Perth, WA, Australia; [Lieser, Jan L.] Univ Tasmania, ACE CRC, Hobart, Tas, Australia; [Lieser, Jan L.] Univ Tasmania, IMAS, Hobart, Tas, Australia; [Haas, Christian] AWI, Bremerhaven, Germany</t>
  </si>
  <si>
    <t>University of Tasmania; Antarctic Climate &amp; Ecosystems Cooperative Research Centre (ACE CRC); University of Tasmania; Helmholtz Association; Alfred Wegener Institute, Helmholtz Centre for Polar &amp; Marine Research</t>
  </si>
  <si>
    <t>Pfaffhuber, AA (corresponding author), NGI, Perth, WA, Australia.</t>
  </si>
  <si>
    <t>aap@ngi.no</t>
  </si>
  <si>
    <t>Haas, Christian/L-5279-2016</t>
  </si>
  <si>
    <t>Haas, Christian/0000-0002-7674-3500; Lieser, Jan/0000-0001-6870-1311</t>
  </si>
  <si>
    <t>NGI; Australian Antarctic Science (AAS) [2298]; Antarctic Climate and Ecosystems Cooperative Research Centre (ACE CRC) under Australian Government's Business Cooperative Research Centres; Australian Research Council's Special Research Initiative for Antarctic Gateway [SR140300001]; AAS [4116]</t>
  </si>
  <si>
    <t>NGI; Australian Antarctic Science (AAS); Antarctic Climate and Ecosystems Cooperative Research Centre (ACE CRC) under Australian Government's Business Cooperative Research Centres(Australian GovernmentDepartment of Industry, Innovation and ScienceCooperative Research Centres (CRC) Programme); Australian Research Council's Special Research Initiative for Antarctic Gateway(Australian Research Council); AAS</t>
  </si>
  <si>
    <t>A.A.P. was an AWI employee in 2003 and a consultant to AWI in 2006. He is grateful to the NGI sabbatical fund that financed the data analysis period leading to the presented results. D. Otto, master student in 2003, has acquired and processed the 2003 GPR data. ARISE data collection was carried out as part of the Australian Antarctic Science (AAS) project 2298. The shipboard party on RSV Aurora Australis V1 2003 provided parts of the in situ data and the sea ice group onboard RV Polarstern WWOS 2006, especially Anica Jost (nee Friedrich) and Zijun Li.J.L.L. is supported by the Antarctic Climate and Ecosystems Cooperative Research Centre (ACE CRC) under the Australian Government's Business Cooperative Research Centres Program and the Australian Research Council's Special Research Initiative for Antarctic Gateway (Project ID SR140300001). This study also contributes to AAS project 4116. We are grateful for comments on a previous version of this manuscript provided by two anonymous reviewers.</t>
  </si>
  <si>
    <t>10.1002/2017GL074202</t>
  </si>
  <si>
    <t>WOS:000408379000032</t>
  </si>
  <si>
    <t>Gagné, ME; Kirchmeier-Young, MC; Gillett, NP; Fyfe, JC</t>
  </si>
  <si>
    <t>Gagne, M. -E.; Kirchmeier-Young, M. C.; Gillett, N. P.; Fyfe, J. C.</t>
  </si>
  <si>
    <t>Arctic sea ice response to the eruptions of Agung, El Chichon, and Pinatubo</t>
  </si>
  <si>
    <t>cryosphere; Arctic; sea ice; modeling; climate variability; volcanoes</t>
  </si>
  <si>
    <t>VOLCANIC-ERUPTIONS; MAGNITUDE; CLIMATE</t>
  </si>
  <si>
    <t>Using a large initial condition ensemble of climate model simulations, we examine the impact of volcanic activity on Arctic sea ice cover from 1960 to 2005, a period that includes three very large tropical eruptions. Ensemble averaging across simulations with natural (volcanic and solar) forcings alone reduces noise due to internal variability to show a decade of increased Arctic sea extent (of up to half a million square kilometers) following each of the Mount Agung (1963), Mount El Chichon (1982), and Mount Pinatubo (1991) eruptions. A similar impact is seen when averaging over a large ensemble of simulations with natural and all-known anthropogenic forcings. We show that the volcanic response in sea ice cover is sensitive to preeruption temperature, with warmer conditions before an eruption being associated with a larger than average response. Finally, a detection and attribution analysis using second-generation Canadian Earth System Model (CanESM2) did not identify a significant response in the observations, while finding no evidence of inconsistency between observations and CanESM2 since regression coefficients were consistent with unity. A similar detection and attribution analysis using the somewhat stronger volcanic response from the simulations in the average of the CMIP5 models did identify a detectable natural forcing response in four observational sea ice extent data sets.</t>
  </si>
  <si>
    <t>[Gagne, M. -E.; Kirchmeier-Young, M. C.; Gillett, N. P.; Fyfe, J. C.] Environm &amp; Climate Change Canada, Canadian Ctr Climate Modelling &amp; Anal, Victoria, BC, Canada</t>
  </si>
  <si>
    <t>Environment &amp; Climate Change Canada; Canadian Centre for Climate Modelling &amp; Analysis (CCCma)</t>
  </si>
  <si>
    <t>Gagné, ME (corresponding author), Environm &amp; Climate Change Canada, Canadian Ctr Climate Modelling &amp; Anal, Victoria, BC, Canada.</t>
  </si>
  <si>
    <t>megagne@atmosp.physics.utoronto.ca</t>
  </si>
  <si>
    <t>Kirchmeier-Young, Megan/0000-0003-3907-8510</t>
  </si>
  <si>
    <t>Natural Science and Engineering Research Council of Canada; University of Alaska Fairbanks [UAF 12-0081]</t>
  </si>
  <si>
    <t>Natural Science and Engineering Research Council of Canada(Natural Sciences and Engineering Research Council of Canada (NSERC)); University of Alaska Fairbanks</t>
  </si>
  <si>
    <t>M.-E.G. was supported by the Natural Science and Engineering Research Council of Canada Visiting Fellowship Programme. We acknowledge Environment and Climate Change Canada's Canadian Centre for Climate Modelling and Analysis for executing and making available the CanESM2 large ensemble simulations used in this study, and the Canadian Sea Ice and Snow Evolution Network for proposing the simulations. The CanESM2 large ensemble is made available at: http://collaboration.beta.cmc.ec.gc.ca/cmc/cccma/CanSISE/output/CCCma/CanESM2/. The blended sea ice total concentration data set referred here as AARI was developed by V. Smolyanitsky at the Arctic and Antarctic Research Institute under the Seasonal Ice Forecast project with the University of Alaska Fairbanks (grant UAF 12-0081). The AARI data set is available from: http://climate.iarc.uaf.edu/geonetwork/srv/en/main.home? uuid=91062428-29f5-4f45-8c0f-a742c6da4c04. The ESMR-SMMR-SSM/I-SSMIS-Merged Sea Ice Extent files of the Sea Ice Trends and Climatologies from SMMR and SSM/I-SSMIS, Version 1 data set were obtained from ftp://sidads.colorado.edu/pub/DATASETS/nsidc0192_seaice_trends_climo/total-ice-area-extent/esmr-smmr-ssmi-merged/. The NINO3.4 index was obtained from the Earth System Research Laboratory (https://www.esrl.noaa.gov/psd/data/correlation/nina34.data). The aerosol optical depth dataset is the Zonal Mean Stratospheric Optical Depths from https://data.giss.nasa.gov/modelforce/strataer/.</t>
  </si>
  <si>
    <t>10.1002/2017JD027038</t>
  </si>
  <si>
    <t>FE6WL</t>
  </si>
  <si>
    <t>WOS:000408349500023</t>
  </si>
  <si>
    <t>Kogure, M; Nakamura, T; Ejiri, MK; Nishiyama, T; Tomikawa, Y; Tsutsumi, M; Suzuki, H; Tsuda, TT; Kawahara, TD; Abo, M</t>
  </si>
  <si>
    <t>Kogure, Masaru; Nakamura, Takuji; Ejiri, Mitsumu K.; Nishiyama, Takanori; Tomikawa, Yoshihiro; Tsutsumi, Masaki; Suzuki, Hidehiko; Tsuda, Takuo T.; Kawahara, Takuya D.; Abo, Makoto</t>
  </si>
  <si>
    <t>Rayleigh/Raman lidar observations of gravity wave activity from 15 to 70km altitude over Syowa (69°S, 40°E), the Antarctic</t>
  </si>
  <si>
    <t>lidar; gravity wave; Antarctic; middle atmosphere</t>
  </si>
  <si>
    <t>MIDDLE ATMOSPHERE; AEROSOL EXTINCTION; CIRCULATION; 166.7-DEGREES-E; 77.8-DEGREES-S; STRATOSPHERE; PROFILES; DENSITY; PERIODS; MODELS</t>
  </si>
  <si>
    <t>The potential energy of gravity waves (GWs) per unit mass (E-p), at altitudes of 15-70km, has been examined from temperature profiles obtained by a Rayleigh/Raman lidar at Syowa Station (69 degrees S, 40 degrees E) from May 2011 to October 2013, with the exception of the summer months. The GWs with ground-based wave periods longer than 2h and vertical wavelengths between 1.8 and 16km were extracted from the temperature profiles. E-p was larger in winter than in spring and fall, although in 2012, at altitudes below 30km, E-p was larger in spring than in winter and fall. E-p increased with a mean scale height of 11.3km. E-p profiles showed a local maximum at an altitude of 20km and a minimum at 25km in almost every month, which has not been reported by previous studies observed by radiosondes. The values of E-p in October of 2012 were smaller at 35-60km and larger at 20-35km than those in October of 2011 and 2013. This difference in the E-p profile is most probably caused by different seasonal variations of zonal winds. The larger and smaller E-p values seem to be observed both below and above the altitude at which the zonal wind speed reached 0ms(-1). This result suggests that wind filtering of gravity waves with small phase speeds is significantly important in early spring.</t>
  </si>
  <si>
    <t>[Kogure, Masaru; Nakamura, Takuji; Ejiri, Mitsumu K.; Nishiyama, Takanori; Tomikawa, Yoshihiro; Tsutsumi, Masaki] SOKENDAI Grad Univ Adv Studies, Dept Polar Sci, Tachikawa, Tokyo, Japan; [Kogure, Masaru; Nakamura, Takuji; Ejiri, Mitsumu K.; Nishiyama, Takanori; Tomikawa, Yoshihiro; Tsutsumi, Masaki] Natl Inst Polar Res, Tachikawa, Tokyo, Japan; [Suzuki, Hidehiko] Meiji Univ Higashi Mita, Dept Phys, Kawasaki, Kanagawa, Japan; [Tsuda, Takuo T.] Univ Electrocommun, Dept Comp &amp; Network Engn, Chofu, Tokyo, Japan; [Kawahara, Takuya D.] Shinshu Univ, Dept Comp Sci &amp; Engn, Wakasato, Nagano, Japan; [Abo, Makoto] Tokyo Metropolitan Univ, Fac Syst Design, Hino, Tokyo, Japan</t>
  </si>
  <si>
    <t>Graduate University for Advanced Studies - Japan; Research Organization of Information &amp; Systems (ROIS); National Institute of Polar Research (NIPR) - Japan; University of Electro-Communications - Japan; Shinshu University; Tokyo Metropolitan University</t>
  </si>
  <si>
    <t>Kogure, M (corresponding author), SOKENDAI Grad Univ Adv Studies, Dept Polar Sci, Tachikawa, Tokyo, Japan.;Kogure, M (corresponding author), Natl Inst Polar Res, Tachikawa, Tokyo, Japan.</t>
  </si>
  <si>
    <t>kogure.masaru@nipr.ac.jp</t>
  </si>
  <si>
    <t>Tomikawa, Yoshihiro/D-5304-2012; Kogure, Masaru/IUP-8537-2023; Nishiyama, Takanori/ABA-2671-2020</t>
  </si>
  <si>
    <t>Tomikawa, Yoshihiro/0000-0002-5652-3017; Kogure, Masaru/0000-0003-0774-8647; Nishiyama, Takanori/0000-0002-3648-6589; Nakamura, Takuji/0000-0002-3876-2946</t>
  </si>
  <si>
    <t>JSPS KAKENHI [JP24340121, JP15H02137]; Grants-in-Aid for Scientific Research [16H01171, 16H06021, 15H02137] Funding Source: KAKEN</t>
  </si>
  <si>
    <t>This work was supported by JSPS KAKENHI grants JP24340121 and JP15H02137. The Syowa Rayleigh/Raman lidar were operated by Japanese Antarctic Research Expedition (JARE) under the prioritized project AJ1. The radiosonde data are provided by Japan Meteorological Agency. The lidar data can be accessed at http://id.nii.ac.jp/1291/00014174/.</t>
  </si>
  <si>
    <t>10.1002/2016JD026360</t>
  </si>
  <si>
    <t>WOS:000408349500011</t>
  </si>
  <si>
    <t>Santamans, AC; Boluda, R; Picazo, A; Gil, C; Ramos-Miras, J; Tejedo, P; Pertierra, LR; Benayas, J; Camacho, A</t>
  </si>
  <si>
    <t>Santamans, Anna C.; Boluda, Rafael; Picazo, Antonio; Gil, Carlos; Ramos-Miras, Joaquin; Tejedo, Pablo; Pertierra, Luis R.; Benayas, Javier; Camacho, Antonio</t>
  </si>
  <si>
    <t>Soil features in rookeries of Antarctic penguins reveal sea to land biotransport of chemical pollutants</t>
  </si>
  <si>
    <t>PENINSULA LIVINGSTON ISLAND; TRACE-ELEMENTS; DECEPTION-ISLAND; ENVIRONMENTAL COMPARTMENTS; MARINE ORGANISMS; FOOD-CHAIN; METALS; CONTAMINATION; ECOSYSTEMS; MERCURY</t>
  </si>
  <si>
    <t>The main soil physical-chemical features, the concentrations of a set of pollutants, and the soil microbiota linked to penguin rookeries have been studied in 10 selected sites located at the South Shetland Islands and the Antarctic Peninsula (Maritime Antarctica). This study aims to test the hypothesis that biotransport by penguins increases the concentration of pollutants, especially heavy metals, in Antarctic soils, and alters its microbiota. Our results show that penguins do transport certain chemical elements and thus cause accumulation in land areas through their excreta. Overall, a higher penguin activity is associated with higher organic carbon content and with higher concentrations of certain pollutants in soils, especially cadmium, cooper and arsenic, as well as zinc and selenium. In contrast, in soils that are less affected by penguins' faecal depositions, the concentrations of elements of geochemical origin, such as iron and cobalt, increase their relative weighted contribution, whereas the above-mentioned pollutants maintain very low levels. The concentrations of pollutants are far higher in those penguin rookeries that are more exposed to ship traffic. In addition, the soil microbiota of penguin-influenced soils was studied by molecular methods. Heavily penguin-affected soils have a massive presence of enteric bacteria, whose relative dominance can be taken as an indicator of penguin influence. Faecal bacteria are present in addition to typical soil taxa, the former becoming dominant in the microbiota of penguin-affected soils, whereas typical soil bacteria, such as Actinomycetales, co-dominate the microbiota of less affected soils. Results indicate that the continuous supply by penguin faeces, and not the selectivity by increased pollutant concentrations is the main factor shaping the soil bacterial community. Overall, massive penguin influence results in increased concentrations of certain pollutants and in a strong change in taxa dominance in the soil bacterial community.</t>
  </si>
  <si>
    <t>[Santamans, Anna C.; Picazo, Antonio; Camacho, Antonio] Univ Valencia, Inst Cavanilles Biodiversidad &amp; Biol Evolut, Paterna, Spain; [Santamans, Anna C.; Boluda, Rafael] Univ Valencia, Fac Farm, Dept Biol Vegetal, Valencia, Spain; [Gil, Carlos; Ramos-Miras, Joaquin] Univ Almeria, Dept Agron, Escuela Politecn Super, Almeria, Spain; [Tejedo, Pablo; Benayas, Javier] Univ Autonoma Madrid, Fac Ciencias, Dept Ecol, Madrid, Spain; [Pertierra, Luis R.] Museo Nacl Ciencias Nat, Dept Biogeog &amp; Cambio Global, Madrid, Spain</t>
  </si>
  <si>
    <t>University of Valencia; University of Valencia; Universidad de Almeria; Autonomous University of Madrid; Consejo Superior de Investigaciones Cientificas (CSIC); CSIC - Museo Nacional de Ciencias Naturales (MNCN)</t>
  </si>
  <si>
    <t>Camacho, A (corresponding author), Univ Valencia, Inst Cavanilles Biodiversidad &amp; Biol Evolut, Paterna, Spain.</t>
  </si>
  <si>
    <t>antonio.camacho@uv.es</t>
  </si>
  <si>
    <t>Mozo, Antonio Picazo/AAE-3707-2020; Pertierra, Luis R./K-3727-2017; Ramos mIras, José Joaquín/J-2678-2018; Ramos-Miras, J. J./AAO-7818-2021; Boluda, Rafael/AAB-8813-2020; Ramos-Miras, J. J./JCO-3276-2023; Santamans, Anna C./AAA-9932-2019; Tejedo, Pablo/A-7163-2010; Camacho, Antonio/I-3417-2015; Boluda, Rafael/F-2716-2016; Benayas Del Alamo, Fco. Javier/E-5663-2017</t>
  </si>
  <si>
    <t>Mozo, Antonio Picazo/0000-0002-7572-9686; Pertierra, Luis R./0000-0002-2232-428X; Ramos mIras, José Joaquín/0000-0001-6194-7191; Tejedo, Pablo/0000-0002-1865-0445; Camacho, Antonio/0000-0003-0841-2010; Gil de Carrasco, Carlos/0000-0002-9903-1303; Boluda, Rafael/0000-0001-7682-758X; C. Santamans, Anna/0000-0002-7147-4137; Benayas Del Alamo, Fco. Javier/0000-0002-5906-9569</t>
  </si>
  <si>
    <t>Spanish Ministry of Education and Science [CTM2010-11613-E, CGL2005-06549-C02-02/ANT, TRA2009-0194, AGL2011-29382]; European FEDER funds; Spanish Ministry of Science and Innovation [CGL2007-29841-E, CTM2008-05205-E]</t>
  </si>
  <si>
    <t>Spanish Ministry of Education and Science(Spanish Government); European FEDER funds(European Union (EU)); Spanish Ministry of Science and Innovation(Spanish Government)</t>
  </si>
  <si>
    <t>This research was financed by the Spanish Ministry of Education and Science through projects CTM2010-11613-E to JB, CGL2005-06549-C02-02/ANT to AC, and TRA2009-0194 and AGL2011-29382 to RB, the last two co-financed by European FEDER funds. Support for travel costs was also obtained from grants CGL2007-29841-E and CTM2008-05205-E given by the Spanish Ministry of Science and Innovation to AC.</t>
  </si>
  <si>
    <t>e0181901</t>
  </si>
  <si>
    <t>10.1371/journal.pone.0181901</t>
  </si>
  <si>
    <t>FD6XW</t>
  </si>
  <si>
    <t>WOS:000407672200019</t>
  </si>
  <si>
    <t>Leles, SG; Mitra, A; Flynn, KJ; Stoecker, DK; Hansen, PJ; Calbet, A; McManus, GB; Sanders, RW; Caron, DA; Not, F; Hallegraeff, GM; Pitta, P; Raven, JA; Johnson, MD; Glibert, PM; Våge, S</t>
  </si>
  <si>
    <t>Leles, S. G.; Mitra, A.; Flynn, K. J.; Stoecker, D. K.; Hansen, P. J.; Calbet, A.; McManus, G. B.; Sanders, R. W.; Caron, D. A.; Not, F.; Hallegraeff, G. M.; Pitta, P.; Raven, J. A.; Johnson, M. D.; Glibert, P. M.; Vage, S.</t>
  </si>
  <si>
    <t>Oceanic protists with different forms of acquired phototrophy display contrasting biogeographies and abundance</t>
  </si>
  <si>
    <t>PROCEEDINGS OF THE ROYAL SOCIETY B-BIOLOGICAL SCIENCES</t>
  </si>
  <si>
    <t>biogeography; mixotrophy; acquired phototrophy; kleptoplasty; photosymbiosis; marine protists</t>
  </si>
  <si>
    <t>DINOPHYSIS; MIXOTROPHY; PHYTOPLANKTON; ACQUISITION; MECHANISMS</t>
  </si>
  <si>
    <t>This first comprehensive analysis of the global biogeography of marine protistan plankton with acquired phototrophy shows these mixotrophic organisms to be ubiquitous and abundant; however, their biogeography differs markedly between different functional groups. These mixotrophs, lacking a constitutive capacity for photosynthesis (i.e. non-constitutive mixotrophs, NCMs), acquire their phototrophic potential through either integration of prey-plastids or through endosymbiotic associations with photosynthetic microbes. Analysis of field data reveals that 40-60% of plankton traditionally labelled as (non-phototrophic) microzooplankton are actually NCMs, employing acquired phototrophy in addition to phagotrophy. Specialist NCMs acquire chloroplasts or endosymbionts from specific prey, while generalist NCMs obtain chloroplasts from a variety of prey. These contrasting functional types of NCMs exhibit distinct seasonal and spatial global distribution patterns. Mixotrophs reliant on 'stolen' chloroplasts, controlled by prey diversity and abundance, dominate in high-biomass areas. Mixotrophs harbouring intact symbionts are present in all waters and dominate particularly in oligotrophic open ocean systems. The contrasting temporal and spatial patterns of distribution of different mixotroph functional types across the oceanic provinces, as revealed in this study, challenges traditional interpretations of marine food web structures. Mixotrophs with acquired phototrophy (NCMs) warrant greater recognition in marine research.</t>
  </si>
  <si>
    <t>[Leles, S. G.; Mitra, A.; Flynn, K. J.] Swansea Univ, Biosci, Singleton Pk, Swansea SA2 8PP, W Glam, Wales; [Stoecker, D. K.; Glibert, P. M.] Univ Maryland, Ctr Environm Sci, Horn Point Lab, Cambridge, MD 21613 USA; [Hansen, P. J.] Univ Copenhagen, Marine Biol Sect, DK-3000 Helsingor, Denmark; [Calbet, A.] CSIC, Inst Ciencias Mar, Pg Maritim Barceloneta 37-49, E-08003 Barcelona, Spain; [McManus, G. B.] Univ Connecticut, Dept Marine Sci, Groton, CT 06340 USA; [Sanders, R. W.] Temple Univ, Dept Biol, Philadelphia, PA 19122 USA; [Caron, D. A.] Univ Southern Calif, Dept Biol Sci, Los Angeles, CA 90089 USA; [Not, F.] UPMC Univ Paris 06, Lab Adaptat &amp; Diversite Milieu Marin UMR7144, Sorbonne Univ, Stn Biol Roscoff,CNRS, F-29688 Roscoff, France; [Hallegraeff, G. M.] Univ Tasmania, Inst Marine &amp; Antarctic Studies, Private Bag 129, Hobart, Tas 7001, Australia; [Pitta, P.] Hellen Ctr Marine Res, Inst Oceanog, Iraklion 71003, Crete, Greece; [Raven, J. A.] Univ Dundee, James Hutton Inst, Div Plant Sci, Dundee DD2 5DQ, Scotland; [Raven, J. A.] Univ Technol Sydney, Climate Change Cluster, Sydney, NSW 2007, Australia; [Johnson, M. D.] Woods Hole Oceanog Inst, Dept Biol, Woods Hole, MA 02543 USA; [Vage, S.] Univ Bergen, Dept Biol, N-5020 Bergen, Norway</t>
  </si>
  <si>
    <t>Swansea University; University System of Maryland; University of Maryland Center for Environmental Science; University of Copenhagen; Consejo Superior de Investigaciones Cientificas (CSIC); CSIC - Centro Mediterraneo de Investigaciones Marinas y Ambientales (CMIMA); CSIC - Instituto de Ciencias del Mar (ICM); University of Connecticut; Pennsylvania Commonwealth System of Higher Education (PCSHE); Temple University; University of Southern California; Sorbonne Universite; Centre National de la Recherche Scientifique (CNRS); University of Tasmania; Hellenic Centre for Marine Research; James Hutton Institute; University of Dundee; University of Technology Sydney; Woods Hole Oceanographic Institution; University of Bergen</t>
  </si>
  <si>
    <t>Mitra, A (corresponding author), Swansea Univ, Biosci, Singleton Pk, Swansea SA2 8PP, W Glam, Wales.</t>
  </si>
  <si>
    <t>a.mitra@swansea.ac.uk</t>
  </si>
  <si>
    <t>stoecker, diane k/F-9341-2013; Flynn, Kevin/AAA-3253-2021; Leles, Suzana Gonçalves/M-1236-2019; Glibert, Patricia/AAG-4016-2022; Calbet, Albert/A-7779-2008; Hansen, Per Juel/AAX-6193-2020; Sanders, Robert W./C-1116-2011; McManus, George/AAW-9055-2020; Glibert, Patricia/AFK-5528-2022; Flynn, KJ/AAA-3232-2021; Raven, John/JFS-3447-2023; glibert, patricia m/G-1026-2013; Våge, Selina/ABE-3106-2020; Johnson, Matthew/B-4344-2012; Hallegraeff, Gustaaf/C-8351-2013; Hansen, Per Juel/E-9969-2011</t>
  </si>
  <si>
    <t>Flynn, Kevin/0000-0001-6913-5884; Leles, Suzana Gonçalves/0000-0002-7819-5851; Glibert, Patricia/0000-0001-5690-1674; Calbet, Albert/0000-0003-1069-212X; Sanders, Robert W./0000-0001-7264-1059; Glibert, Patricia/0000-0001-5690-1674; Johnson, Matthew/0000-0003-4853-2674; Hallegraeff, Gustaaf/0000-0001-8464-7343; Mitra, Aditee/0000-0001-5572-9331; Hansen, Per Juel/0000-0003-0228-9621</t>
  </si>
  <si>
    <t>Leverhulme Trust (International Network grant) [F00391 V]; project FERMI from the Spanish Ministry of Economy and Competitiveness [CGL2014-59227-R]; FEDER funds from the EU; project IMPEKAB [ANR-15-CE02-0011-01]; Brazilian government programme Science Without Borders through CNPq; Directorate For Geosciences; Division Of Ocean Sciences [1435515] Funding Source: National Science Foundation</t>
  </si>
  <si>
    <t>Leverhulme Trust (International Network grant); project FERMI from the Spanish Ministry of Economy and Competitiveness; FEDER funds from the EU(European Union (EU)); project IMPEKAB; Brazilian government programme Science Without Borders through CNPq; Directorate For Geosciences; Division Of Ocean Sciences(National Science Foundation (NSF)NSF - Directorate for Geosciences (GEO))</t>
  </si>
  <si>
    <t>This work was supported by the Leverhulme Trust (International Network grant no. F00391 V) granted to K.J.F. and A.M.A.C. was funded by project FERMI (CGL2014-59227-R) from the Spanish Ministry of Economy and Competitiveness, co-funded with FEDER funds from the EU. This is contribution no. 5385 from the University of Maryland Center for Environmental Science. F.N. was funded by the ANR-15-CE02-0011-01 project IMPEKAB. S.G.L. was funded by the Brazilian government programme Science Without Borders through CNPq.</t>
  </si>
  <si>
    <t>0962-8452</t>
  </si>
  <si>
    <t>1471-2954</t>
  </si>
  <si>
    <t>P ROY SOC B-BIOL SCI</t>
  </si>
  <si>
    <t>Proc. R. Soc. B-Biol. Sci.</t>
  </si>
  <si>
    <t>10.1098/rspb.2017.0664</t>
  </si>
  <si>
    <t>FD8WO</t>
  </si>
  <si>
    <t>Green Accepted, Green Published, Bronze</t>
  </si>
  <si>
    <t>WOS:000407805000010</t>
  </si>
  <si>
    <t>Bigot, M; Hawker, DW; Cropp, R; Muir, DCG; Jensen, B; Bossi, R; Nash, SMB</t>
  </si>
  <si>
    <t>Bigot, Marie; Hawker, Darryl W.; Cropp, Roger; Muir, Derek C. G.; Jensen, Bjarne; Bossi, Rossana; Nash, Susan M. Bengtson</t>
  </si>
  <si>
    <t>Spring Melt and the Redistribution of Organochlorine Pesticides in the Sea-Ice Environment: A Comparative Study between Arctic and Antarctic Regions</t>
  </si>
  <si>
    <t>ENVIRONMENTAL SCIENCE &amp; TECHNOLOGY</t>
  </si>
  <si>
    <t>PERSISTENT ORGANIC POLLUTANTS; HEMISPHERE HUMPBACK WHALES; LONG-RANGE TRANSPORT; SOUTHERN-OCEAN; TEMPORAL TRENDS; ALPHA-HCH; WATER; HEXACHLOROCYCLOHEXANES; ATMOSPHERE; POPS</t>
  </si>
  <si>
    <t>Complementary sampling of air, snow, sea-ice, and seawater for a range of organochlorine pesticides (OCPs) was undertaken through the early stages of respective spring sea-ice melting at coastal sites in northeast Greenland and eastern Antarctica to investigate OCP concentrations and redistribution during this time. Mean concentrations in seawater, sea-ice and snow were generally greater at the Arctic site. For example, alpha-HCH was found to have the largest concentrations of all analytes in Arctic seawater and sea-ice meltwater samples (224-253 and 34.7-48.2 pg center dot L-1 respectively compared to 1.0-1.3 and &lt;0.63 pg center dot L-1 respectively for Antarctic samples). Differences in atmospheric samples were generally not as pronounced however. Findings suggest that sea-ice OCP burdens originate from both snow and seawater. The distribution profile between seawater and sea-ice showed a compound-dependency for Arctic samples not evident with those from the Antarctic, possibly due to full submersion of sea-ice at the former. Seasonal sea-ice melt processes may alter the exchange rates of selected OCPs between air and seawater, but are not expected to reverse their direction, which fugacity modeling indicates is volatilisation in the Arctic and net deposition in the Antarctic. These predictions are consistent with the limited current observations.</t>
  </si>
  <si>
    <t>[Bigot, Marie; Nash, Susan M. Bengtson] Griffith Univ, Environm Futures Res Inst, 170 Kessels Rd, Nathan, Qld 4111, Australia; [Hawker, Darryl W.; Cropp, Roger] Griffith Univ, Griffith Sch Environm, 170 Kessels Rd, Nathan, Qld 4111, Australia; [Muir, Derek C. G.] Environm &amp; Climate Change Canada, Aquat Contaminants Res Div, 867 Lakeshore Rd, Burlington, ON L7S 1A1, Canada; [Jensen, Bjarne; Bossi, Rossana] Aarhus Univ, Arctic Res Ctr, Dept Environm Sci, Frederiksborgvej 399, DK-4000 Roskilde, Denmark</t>
  </si>
  <si>
    <t>Griffith University; Griffith University; Environment &amp; Climate Change Canada; Aarhus University</t>
  </si>
  <si>
    <t>Bigot, M (corresponding author), Griffith Univ, Environm Futures Res Inst, 170 Kessels Rd, Nathan, Qld 4111, Australia.</t>
  </si>
  <si>
    <t>mbigot1@gmail.com</t>
  </si>
  <si>
    <t>Bengtson Nash, Susan/I-3942-2015; Liu, Yifan/S-6217-2017; Cropp, Roger/C-1019-2008; Muir, Derek/AAD-7526-2021; Bengtson Nash, Susan/GMX-4611-2022</t>
  </si>
  <si>
    <t>Bengtson Nash, Susan/0000-0001-5928-0850; Bengtson Nash, Susan/0000-0001-5928-0850; Bigot, Marie/0000-0002-9576-7954; Muir, Derek/0000-0001-6631-9776</t>
  </si>
  <si>
    <t>Australian Research Council (ARC) Discovery Grant [DP140100018]; Australian Antarctic Division (AAD) under project AAS [4332]; Griffith University</t>
  </si>
  <si>
    <t>Australian Research Council (ARC) Discovery Grant(Australian Research Council); Australian Antarctic Division (AAD) under project AAS; Griffith University(Griffith University - Gold Coast Campus)</t>
  </si>
  <si>
    <t>This project was funded through the Australian Research Council (ARC) Discovery Grant #DP140100018 and access to Antarctica (and associated logistical support) granted by the Australian Antarctic Division (AAD) under project AAS #4332. Access to Villum Research Station in North Greenland was facilitated by Aarhus University and logistical support by the Danish military personnel at Station Nord. Many scientists contributed additional technical support during field activities in Antarctica: Klaus Meiners, Petra Heil, Julie Janssens, Naoya Kanna, Florian Deman, Arnout Roukaerts. Personnel at ALS Global, Whitney Davis and Ron McLeod also provided advice and support. M.B. acknowledges a PhD scholarship from Griffith University.</t>
  </si>
  <si>
    <t>0013-936X</t>
  </si>
  <si>
    <t>1520-5851</t>
  </si>
  <si>
    <t>ENVIRON SCI TECHNOL</t>
  </si>
  <si>
    <t>Environ. Sci. Technol.</t>
  </si>
  <si>
    <t>AUG 15</t>
  </si>
  <si>
    <t>10.1021/acs.est.7b02481</t>
  </si>
  <si>
    <t>FE1OL</t>
  </si>
  <si>
    <t>WOS:000407987400008</t>
  </si>
  <si>
    <t>Koffman, TNB; Schaefer, JM; Putnam, AE; Denton, GH; Barrell, DJA; Rowan, AV; Finkel, RC; Rood, DH; Schwartz, R; Plummer, MA; Brocklehurst, SH</t>
  </si>
  <si>
    <t>Koffman, Tobias N. B.; Schaefer, Joerg M.; Putnam, Aaron E.; Denton, George H.; Barrell, David J. A.; Rowan, Ann V.; Finkel, Robert C.; Rood, Dylan H.; Schwartz, Roseanne; Plummer, Mitchell A.; Brocklehurst, Simon H.</t>
  </si>
  <si>
    <t>A beryllium-10 chronology of late-glacial moraines in the upper Rakaia valley, Southern Alps, New Zealand supports Southern-Hemisphere warming during the Younger Dryas</t>
  </si>
  <si>
    <t>Pleistocene; Holocene; Paleoclimatology; Glaciology; Southern Pacific; Cosmogenic isotopes; Glacial geomorphology; Glaciological modeling</t>
  </si>
  <si>
    <t>PRODUCTION-RATE CALIBRATION; NUCLIDE PRODUCTION-RATES; FRANZ-JOSEF GLACIER; RADIOCARBON CHRONOLOGY; CLIMATE SENSITIVITY; BIPOLAR SEESAW; FLUCTUATIONS; TEMPERATURE; MAXIMUM; ACCUMULATION</t>
  </si>
  <si>
    <t>Interhemispheric differences in the timing of pauses or reversals in the temperature rise at the end of the last ice age can help to clarify the mechanisms that influence glacial terminations. Our beryllium-10 (Be-10) surface-exposure chronology for the moraines of the upper Rakaia valley of New Zealand's Southern Alps, combined with glaciological modeling, show that late-glacial temperature change in the atmosphere over the Southern Alps exhibited an Antarctic-like pattern. During the Antarctic Cold Reversal, the upper Rakaia glacier built two well-defined, closely-spaced moraines on Reischek knob at 13,900 +/- 120 [1 sigma; +/- 310 yrs when including a 2.1% production-rate (PR) uncertainty] and 13,140 +/- 250 (370) yrs ago, in positions consistent with mean annual temperature approximately 2 degrees C cooler than modern values. The formation of distinct, widely-spaced moraines at 12,140 +/- 200 (320) and 11,620 +/- 160 (+/- 290) yrs ago on Meins Knob, 2 km up-valley from the Reischek knob moraines, indicates that the glacier thinned by similar to 250 m during Heinrich Stadial 0 (HS 0, coeval with the Younger Dryas 12,900 to 11,600 yrs ago). The glacier-inferred temperature rise in the upper Rakaia valley during HS 0 was about 1 degrees C. Because a similar pattern is documented by well-dated glacial geomorphologic records from the Andes of South America, the implication is that this late-glacial atmospheric climate signal extended from 79 degrees S north to at least 36 degrees S, and thus was a major feature of Southern Hemisphere paleoclimate during the last glacial termination. (C) 2017 Elsevier Ltd. All rights reserved.</t>
  </si>
  <si>
    <t>[Koffman, Tobias N. B.; Schaefer, Joerg M.; Putnam, Aaron E.; Denton, George H.; Schwartz, Roseanne] Columbia Univ, Lamont Doherty Earth Observ, 61 Rt 9W, Palisades, NY 10964 USA; [Schaefer, Joerg M.] Columbia Univ, Dept Earth &amp; Environm Sci, New York, NY 10027 USA; [Putnam, Aaron E.; Denton, George H.] Univ Maine, Sch Earth &amp; Climate Sci, Orono, ME 04469 USA; [Putnam, Aaron E.; Denton, George H.] Univ Maine, Climate Change Inst, Orono, ME 04469 USA; [Barrell, David J. A.] GNS Sci, Private Bag 1930, Dunedin 9054, New Zealand; [Rowan, Ann V.] Univ Sheffield, Dept Geog, Sheffield SI0 2TN, S Yorkshire, England; [Finkel, Robert C.] Univ Calif Berkeley, Dept Earth &amp; Planetary Sci, Berkeley, CA 95064 USA; [Rood, Dylan H.] Imperial Coll London, Dept Earth Sci &amp; Engn, South Kensington Campus, London SW7 2AZ, England; [Rood, Dylan H.] Lawrence Livermore Natl Lab, Ctr Accelerator Mass Spectrometry, Livermore, CA 94550 USA; [Plummer, Mitchell A.] Idaho Natl Lab, Idaho Falls, ID 83415 USA; [Brocklehurst, Simon H.] Univ Manchester, Sch Earth &amp; Environm Sci, Manchester M139PL, Lancs, England</t>
  </si>
  <si>
    <t>Columbia University; Columbia University; University of Maine System; University of Maine Orono; University of Maine System; University of Maine Orono; GNS Science - New Zealand; University of Sheffield; University of California System; University of California Berkeley; Imperial College London; United States Department of Energy (DOE); Lawrence Livermore National Laboratory; United States Department of Energy (DOE); Idaho National Laboratory; University of Manchester</t>
  </si>
  <si>
    <t>Putnam, AE (corresponding author), Columbia Univ, Lamont Doherty Earth Observ, 61 Rt 9W, Palisades, NY 10964 USA.</t>
  </si>
  <si>
    <t>aaron.putnam@maine.edu</t>
  </si>
  <si>
    <t>Rowan, Ann/AAF-1033-2019; Brocklehurst, Simon H/G-4127-2014</t>
  </si>
  <si>
    <t>Rowan, Ann/0000-0002-3715-5554; Putnam, Aaron/0000-0002-5358-1473; Brocklehurst, Simon/0000-0002-2466-056X</t>
  </si>
  <si>
    <t>Corner Science and Education Foundation; Quesada Family Foundation; National Science Foundation (NSF) [EAR-1102782]; U.S. National Science Foundation [DGE-1144205]; New Zealand Government though the GNS; Lenfest Foundation</t>
  </si>
  <si>
    <t>Corner Science and Education Foundation; Quesada Family Foundation; National Science Foundation (NSF)(National Science Foundation (NSF)); U.S. National Science Foundation(National Science Foundation (NSF)); New Zealand Government though the GNS; Lenfest Foundation</t>
  </si>
  <si>
    <t>This work was supported by the Corner Science and Education Foundation, the Quesada Family Foundation, and the National Science Foundation (NSF grant EAR-1102782). T.N.B. Koffman was supported by U.S. National Science Foundation Graduate Research Fellowship (grant number DGE-1144205) while conducting this research. D.J.A. Barrell was supported by funding from the New Zealand Government though the GNS Science research program Global change through time. A.E. Putnam was supported by funding from the Corner Science and Education Foundation and the Lenfest Foundation. We thank A. and T. Hutchinson of Double Hill Station for their hospitality and logistical support. We thank the Department of Conservation, Te Papa Atawhai and Te Runanga o Ngai Tahu for permission to access and to sample the moraines of the upper Rakaia valley. The authors thank two anonymous reviewers for thoughtful suggestions that improved the manuscript. This paper is LDEO contribution no. 8123.</t>
  </si>
  <si>
    <t>10.1016/j.quascirev.2017.06.012</t>
  </si>
  <si>
    <t>FD4TE</t>
  </si>
  <si>
    <t>Green Submitted, Green Accepted, hybrid</t>
  </si>
  <si>
    <t>WOS:000407524000002</t>
  </si>
  <si>
    <t>Marshall, N; Zeeden, C; Hilgen, F; Krijgsman, W</t>
  </si>
  <si>
    <t>Marshall, Nathan; Zeeden, Christian; Hilgen, Frederik; Krijgsman, Wout</t>
  </si>
  <si>
    <t>Milankovitch cycles in an equatorial delta from the Miocene of Borneo</t>
  </si>
  <si>
    <t>Milankovitch; Borneo; Indonesia; Indonesian throughflow; Miocene; cyclostratigraphy</t>
  </si>
  <si>
    <t>ANTARCTIC ICE-SHEET; EAST KALIMANTAN; OCEAN CIRCULATION; MAHAKAM DELTA; KUTAI BASIN; MID-MIOCENE; INDONESIA; CLIMATE; TIME; SEA</t>
  </si>
  <si>
    <t>The factors controlling sedimentary cyclicity in deltaic systems are a subject of intense debate, and more research, in different deltaic environments and time periods, is needed to better understand the possible mechanisms. Offshore and Pleistocene case studies are more common than proximal and more ancient, greenhouse-climate examples. Furthermore, many studies lack a (statistical) cyclostratigraphic element. The paleo-Mahakam delta of Eastern Kalimantan, Borneo developed during the globally warm middle Miocene, in an equatorial setting, making it of interest to comprehend cyclic sedimentation in a period of warmer yet rapidly changing climate. In this study, statistical analysis of lithological changes shows that regular sandstone/shale alternations occur in a distinct pattern of cycles with thicknesses of similar to 90, similar to 30, and similar to 17 m. Using independent dating, these thicknesses translate into periods of about 100, 40, and 20 kyr, matching the known periods of Earth's orbital eccentricity, obliquity and precession. The obliquity dominance in the middle interval is markedly similar to that observed in the global marine isotope (benthic delta O-18) and other cyclic proxy records for this time interval. Despite a mismatch in the number of 40 kyr cycles compared to the global record that can be plausibly linked to the major sea level drop at similar to 13.8 Ma and facies shifts, it appears that the proximal setting of the paleo-Mahakam's sedimentation was dominantly controlled by allogenic orbital forcing, probably as a consequence of glacioeustasy. In particular, the observed obliquity dominance at paleo-equatorial latitudes, as seen in other records, highlights the dominance of orbital forcing, and potentially glacioeustatic sea level change, during this crucial period of warmer climate. (C) 2017 Elsevier B.V. All rights reserved.</t>
  </si>
  <si>
    <t>[Marshall, Nathan; Zeeden, Christian; Hilgen, Frederik; Krijgsman, Wout] Univ Utrecht, Dept Earth Sci, Budapestlaan 17, NL-3584 CD Utrecht, Netherlands; [Zeeden, Christian] IMCCE, Observ Paris, F-75014 Paris, France</t>
  </si>
  <si>
    <t>Utrecht University; Sorbonne Universite; Universite PSL; Observatoire de Paris</t>
  </si>
  <si>
    <t>Marshall, N (corresponding author), Univ Utrecht, Dept Earth Sci, Budapestlaan 17, NL-3584 CD Utrecht, Netherlands.</t>
  </si>
  <si>
    <t>N.T.Marshall@uu.nl; Christian.Zeeden@obspm.fr; F.J.Hilgen@uu.nl; W.Krijgsman@uu.nl</t>
  </si>
  <si>
    <t>Zeeden, Christian/AFO-4070-2022</t>
  </si>
  <si>
    <t>Zeeden, Christian/0000-0002-8617-0443; Hilgen, Frits/0000-0002-5683-259X; Krijgsman, Wout/0000-0002-1472-1074</t>
  </si>
  <si>
    <t>Marie Curie Actions Plan, Seven Framework Programme [237922]</t>
  </si>
  <si>
    <t>Marie Curie Actions Plan, Seven Framework Programme</t>
  </si>
  <si>
    <t>We would like to thank the Marie Curie Actions Plan, Seven Framework Programme (Grant no. 237922) for the funding that made this project possible; and the Indonesian geological survey for their assistance with logistics and fieldwork. A special thanks to the late Irfan Cibaj for his vital guidance in the field and sedi-mentological discussion.</t>
  </si>
  <si>
    <t>10.1016/j.epsl.2017.04.015</t>
  </si>
  <si>
    <t>FA0VB</t>
  </si>
  <si>
    <t>WOS:000405153600021</t>
  </si>
  <si>
    <t>Schmuck, AM; Lavers, JL; Stuckenbrock, S; Sharp, PB; Bond, AL</t>
  </si>
  <si>
    <t>Schmuck, Alexandra M.; Lavers, Jennifer L.; Stuckenbrock, Silke; Sharp, Paul B.; Bond, Alexander L.</t>
  </si>
  <si>
    <t>Geophysical features influence the accumulation of beach debris on Caribbean islands</t>
  </si>
  <si>
    <t>Beach direction; Beach substrate; Caribbean Sea; Marine debris; Plastic pollution</t>
  </si>
  <si>
    <t>NORTHWESTERN HAWAIIAN-ISLANDS; MARINE DEBRIS; PLASTIC DEBRIS; BASE-LINE; CONTAMINATION; CIRCULATION; AMERICA; IMPACTS; TOURISM; OCEAN</t>
  </si>
  <si>
    <t>Anthropogenic beach debris was recorded during beach surveys of 24 Caribbean islands during April 2014-April 2016. Beach debris was classified according to material type (e.g., polystyrene) and item use (e.g., fishing). Geophysical features (substrate type, beach direction, and human accessibility) of sample sites were recorded in order to investigate their relationship with debris density. Results suggest the density of macro debris (items &gt; 5 mm) is highest on uninhabited, sandy beaches facing a leeward direction. Higher debris quantities on inaccessible beaches may be due to less frequent beach clean ups. Frequently accessed beaches exhibited lower macro, but higher micro debris (items 1-5 mm) densities, possibly due to removal of macro debris during frequent beach clean ups. This suggests that while geophysical features have some influence on anthropogenic debris densities, high debris densities are occurring on all islands within the Caribbean region regardless of substrate, beach direction, or human accessibility.</t>
  </si>
  <si>
    <t>[Schmuck, Alexandra M.] Univ Edinburgh, Sch GeoSci, Drummond St, Edinburgh EH8 9XP, Midlothian, Scotland; [Lavers, Jennifer L.] Univ Tasmania, Inst Marine &amp; Antarctic Studies, 20 Castray Esplanade, Battery Point, Tas 7004, Australia; [Stuckenbrock, Silke; Sharp, Paul B.] Two Hands Project, POB 4296, North Curl Curl, NSW 2101, Australia; [Bond, Alexander L.] Ardenna Res, Sandy SG19 2QA, Beds, England</t>
  </si>
  <si>
    <t>University of Edinburgh; University of Tasmania</t>
  </si>
  <si>
    <t>Lavers, JL (corresponding author), Univ Tasmania, Inst Marine &amp; Antarctic Studies, 20 Castray Esplanade, Battery Point, Tas 7004, Australia.</t>
  </si>
  <si>
    <t>Jennifer.Lavers@utas.edu.au</t>
  </si>
  <si>
    <t>Lavers, Jennifer/IWM-5417-2023; Bond, Alexander L/A-3786-2010; Lavers, Jennifer/O-4831-2017</t>
  </si>
  <si>
    <t>Lavers, Jennifer/0000-0001-7596-6588; Schmuck, Alexandra/0000-0003-0335-5563</t>
  </si>
  <si>
    <t>Trading Consultants Ltd.</t>
  </si>
  <si>
    <t>Special thanks to Trading Consultants Ltd. (V. Wellington) for generously providing funding for this project and captaining the research vessel, Viking. The authors would like to sincerely thank all of the volunteers, collaborating scientists, and project organisers who kindly gave their time to participate in beach clean-ups: K. Ashworth, A. Ferris, L. Holmes, G. Palanque, R. Platenberg, J. Roller, C. Rose-Smyth, B. Sango, A. Sleahtenea, J-S. Tremblay, the Little Cayman Beach Resort Team, Cayman Island National Conservation Council, Laid Lee and Sunrise Adult Training Center, Duke of Edinburgh students, K. Hart and the students of the Turks and Caicos High School and Community College, and finally, D. Sandrini and the Kido Foundation Youth Eco Club. Comments from M. Wilson, T. Dawson, and an anonymous reviewer improved earlier drafts.</t>
  </si>
  <si>
    <t>10.1016/j.marpolbul.2017.05.043</t>
  </si>
  <si>
    <t>FD4VB</t>
  </si>
  <si>
    <t>WOS:000407529200016</t>
  </si>
  <si>
    <t>Ling, SD; Sinclair, M; Levi, CJ; Reeves, SE; Edgar, GJ</t>
  </si>
  <si>
    <t>Ling, S. D.; Sinclair, M.; Levi, C. J.; Reeves, S. E.; Edgar, G. J.</t>
  </si>
  <si>
    <t>Ubiquity of microplastics in coastal seafloor sediments</t>
  </si>
  <si>
    <t>Marine plastic; Pollution; Heavy metals; Sewage; Estuary; Reef</t>
  </si>
  <si>
    <t>MARINE-ENVIRONMENT; BIODIVERSITY; DEBRIS; IDENTIFICATION; PREVALENCE; AUSTRALIA; TASMANIA; HOTSPOTS; WATERS; ROCKY</t>
  </si>
  <si>
    <t>Microplastic pollutants occur in marine environments globally, however estimates of seafloor concentrations are rare. Here we apply a novel method to quantify size-graded (0.038-4.0 mm diam.) concentrations of plastics in marine sediments from 42 coastal and estuarine sites spanning pollution gradients across south-eastern Australia. Acid digestion/density separation revealed 9552 individual microplastics from 2.841 of sediment across all samples; equating to a regional average of 3.4 microplastics.ml(-1) sediment. Microplastics occurred as filaments (84% of total) and particle forms (16% of total). Positive correlations between microplastic filaments and wave exposure, and microplastic particles with finer sediments, indicate hydrological/sediment-matrix properties are important for deposition/retention. Contrary to expectations, positive relationships were not evident between microplastics and other pollutants (heavy metals/sewage), nor were negative relationships with neighbouring reef biota detected. Rather, microplastics were ubiquitous across sampling sites. Positive associations with some faunal-elements (i.e. invertebrate species richness) nevertheless suggest high potential for microplastic ingestion.</t>
  </si>
  <si>
    <t>[Ling, S. D.; Sinclair, M.; Levi, C. J.; Reeves, S. E.; Edgar, G. J.] Univ Tasmania, Inst Marine &amp; Antarctic Studies, Hobart, Tas 7001, Australia</t>
  </si>
  <si>
    <t>Ling, SD (corresponding author), Univ Tasmania, Inst Marine &amp; Antarctic Studies, Hobart, Tas 7001, Australia.</t>
  </si>
  <si>
    <t>scott.ling@utas.edu.au</t>
  </si>
  <si>
    <t>Reeves, Simon E/AAJ-3379-2021; Edgar, Graham/AAY-3797-2020; Ling, Scott/J-7161-2014</t>
  </si>
  <si>
    <t>Edgar, Graham/0000-0003-0833-9001; Ling, Scott/0000-0002-5544-8174; Reeves, Simon/0000-0001-6715-466X</t>
  </si>
  <si>
    <t>Australian Government's National Environmental Science Program; Australian Research Council</t>
  </si>
  <si>
    <t>Australian Government's National Environmental Science Program(Australian Government); Australian Research Council(Australian Research Council)</t>
  </si>
  <si>
    <t>Adam Davey assisted with sample collection. We would also like to thank all contributors to the Reef Life Survey and Temperate Australian Marine Protected Areas monitoring programs. The manuscript was improved following helpful comments from Denise Hardesty. Field surveys and analyses were facilitated by the Marine Biodiversity Hub, a collaborative partnership supported through the Australian Government's National Environmental Science Program, and the Australian Research Council. This project was developed in response to a request from the 2013-2016 Australian Environment Minister Greg Hunt.</t>
  </si>
  <si>
    <t>10.1016/j.marpolbul.2017.05.038</t>
  </si>
  <si>
    <t>WOS:000407529200023</t>
  </si>
  <si>
    <t>Cabrita, MT; Padeiro, A; Amaro, E; dos Santos, MC; Leppe, M; Verkulich, S; Hughes, KA; Peter, HU; Canário, J</t>
  </si>
  <si>
    <t>Cabrita, Maria Teresa; Padeiro, Ana; Amaro, Eduardo; dos Santos, Margarida Correia; Leppe, Marcelo; Verkulich, Sergey; Hughes, Kevin A.; Peter, Hans-Ulrich; Canario, Joao</t>
  </si>
  <si>
    <t>Evaluating trace element bioavailability and potential transfer into marine food chains using immobilised diatom model species Phaeodactylum tricornutum, on King George Island, Antarctica</t>
  </si>
  <si>
    <t>Trace element bioavailability; Immobilised Phaeodactylum triconuttum; Biomonitoring tool; Marine trace element contamination; King George Island; Antarctica</t>
  </si>
  <si>
    <t>METAL CONTAMINATION; FILDES PENINSULA; SOUTHERN-OCEAN; HEAVY-METALS; PHYTOPLANKTON; CADMIUM; SOILS; SEALS; PB; MICROALGAE</t>
  </si>
  <si>
    <t>In order to evaluate trace element bioavailability and potential transfer into marine food chains in human impacted areas of the Fildes Peninsula (King George Island, South Shetland Islands Archipelago), element levels (Cr, Ni, Cu, Zn, Cd, and Pb) were determined in water, sediments, phytoplankton, and in diatom Phaeodactylum tricornutum Bohlin (Bacillariophyceae) cells immobilised in alginate and exposed to water and sediments, from the Bellingshausen Dome (reference site) and Ardley Cove (human impacted area), during January 2014. High element concentrations in exposed P. tricornutum indicated element mobilisation from sediments into the water. Levels in exposed cells reflected the sediment element content pattern, comparable to those found in phytoplankton, supporting phytoplankton as an important path of trace element entry into marine food chains. This study clearly shows immobilised P. tricornutum as good proxy of phytoplankton concerning element accumulation efficiency, and an effective tool to monitor trace element contamination in polar coastal ecosystems.</t>
  </si>
  <si>
    <t>[Cabrita, Maria Teresa] Portuguese Inst Sea &amp; Atmosphere IPMA, Av Brasilia, P-1449006 Lisbon, Portugal; [Padeiro, Ana; Amaro, Eduardo; dos Santos, Margarida Correia; Canario, Joao] Univ Lisbon, Inst Super Tecn, Ctr Quim Estrutural, Av Rovisco Pais 1, P-1049001 Lisbon, Portugal; [Leppe, Marcelo] Chilean Antarctic Inst, INACH, Punta Arenas, Chile; [Verkulich, Sergey] Arctic &amp; Antarctic Res Inst, St Petersburg, Russia; [Hughes, Kevin A.] British Antarctic Survey, Nat Environm Res Council, Madingley Rd, Cambridge CB3 0ET, England; [Peter, Hans-Ulrich] Jena Univ, Jena, Germany; [Cabrita, Maria Teresa] Univ Lisbon, CEG, IGOT, Rua Branca Edmee Marques, P-1600276 Lisbon, Portugal</t>
  </si>
  <si>
    <t>Instituto Portugues do Mar e da Atmosfera; Universidade de Lisboa; Arctic &amp; Antarctic Research Institute; UK Research &amp; Innovation (UKRI); Natural Environment Research Council (NERC); NERC British Antarctic Survey; Universidade de Lisboa</t>
  </si>
  <si>
    <t>Cabrita, MT (corresponding author), Univ Lisbon, CEG, IGOT, Rua Branca Edmee Marques, P-1600276 Lisbon, Portugal.</t>
  </si>
  <si>
    <t>tcabrita@campus.ul.pt</t>
  </si>
  <si>
    <t>Hughes, Kevin/JVZ-0793-2024; dos Santos, Margarida MPC/H-7897-2012; Canário, João/O-7189-2019; Leppe, Marcelo/L-5447-2014; Canário, João/B-1193-2008; Cabrita, Maria Teresa/B-5746-2014</t>
  </si>
  <si>
    <t>dos Santos, Margarida MPC/0000-0001-7531-757X; Canário, João/0000-0002-5190-446X; Leppe, Marcelo/0000-0002-1545-8167; Canário, João/0000-0002-5190-446X; Cabrita, Maria Teresa/0000-0002-4323-4945</t>
  </si>
  <si>
    <t>Fundacao para a Ciencia e Tecnologia (FCT); FCT [SFRH/BPD/50348/2009, UID/QUI/00100/2013]; Centro de Quimica Estrutural; Divisdo de Oceanografia Ambiental e Bioprospecao from Instituto Portugues do Mar e da Atmosfera (Portugal); NERC [bas010011] Funding Source: UKRI; Natural Environment Research Council [bas010011] Funding Source: researchfish</t>
  </si>
  <si>
    <t>Fundacao para a Ciencia e Tecnologia (FCT)(Fundacao para a Ciencia e a Tecnologia (FCT)); FCT(Fundacao para a Ciencia e a Tecnologia (FCT)); Centro de Quimica Estrutural; Divisdo de Oceanografia Ambiental e Bioprospecao from Instituto Portugues do Mar e da Atmosfera (Portugal); NERC(UK Research &amp; Innovation (UKRI)Natural Environment Research Council (NERC)); Natural Environment Research Council(UK Research &amp; Innovation (UKRI)Natural Environment Research Council (NERC))</t>
  </si>
  <si>
    <t>Authors would like to thank the Portuguese Polar Program and Chilean Antarctic Institute (INACH) for providing logistics and support. This work was part of the CONTANTARC 3 Project from the Programa Polar Portugues funded by Fundacao para a Ciencia e Tecnologia (FCT). Maria Teresa Cabrita appreciates the grant by FCT (Grant No.SFRH/BPD/50348/2009), and wishes to acknowledge both the project UID/QUI/00100/2013 which funds Centro de Quimica Estrutural, and the Divisdo de Oceanografia Ambiental e Bioprospecao from Instituto Portugues do Mar e da Atmosfera (Portugal), where work supporting this study was performed. This work is a contribution to the Scientific Committee on Antarctic Research (SCAR)'State of the Antarctic Ecosystem' (AntEco) programme. The authors would also like to thank the anonymous reviewers for their constructive comments, which helped to improve the manuscript.</t>
  </si>
  <si>
    <t>10.1016/j.marpolbul.2017.05.059</t>
  </si>
  <si>
    <t>WOS:000407529200033</t>
  </si>
  <si>
    <t>Lecomte, O; Goosse, H; Fichefet, T; de Lavergne, C; Barthélemy, A; Zunz, V</t>
  </si>
  <si>
    <t>Lecomte, Olivier; Goosse, Hugues; Fichefet, Thierry; de Lavergne, Casimir; Barthelemy, Antoine; Zunz, Violette</t>
  </si>
  <si>
    <t>Vertical ocean heat redistribution sustaining sea-ice concentration trends in the Ross Sea</t>
  </si>
  <si>
    <t>SOUTHERN-OCEAN; MIXED-LAYER; DRIVEN; IMPACT; EXTENT</t>
  </si>
  <si>
    <t>Several processes have been hypothesized to explain the slight overall expansion of Antarctic sea ice over the satellite observation era, including externally forced changes in local winds or in the Southern Ocean's hydrological cycle, as well as internal climate variability. Here, we show the critical influence of an ocean-sea-ice feedback. Once initiated by an external perturbation, it may be sufficient to sustain the observed sea-ice expansion in the Ross Sea, the region with the largest and most significant expansion. We quantify the heat trapped at the base of the ocean mixed layer and demonstrate that it is of the same order of magnitude as the latent heat storage due to the long-term changes in sea-ice volume. The evidence thus suggests that the recent ice coverage increase in the Ross Sea could have been achieved through a reorganization of energy within the near-surface ice-ocean system.</t>
  </si>
  <si>
    <t>[Lecomte, Olivier; Goosse, Hugues; Fichefet, Thierry; Barthelemy, Antoine] Catholic Univ Louvain, Earth &amp; Life Inst, Georges Lemaitre Ctr Earth &amp; Climate Res UCL ELI, Pl Louis Pasteur 3,Bte L4-03-08, B-1348 Louvain La Neuve, Belgium; [de Lavergne, Casimir] Univ Pierre &amp; Marie Curie Paris 6, CNRS, IRD, Sorbonne Univ,MNHN,LOCEAN Lab, F-75005 Paris, France; [Zunz, Violette] Vrije Univ Brussel, Earth Syst Sci &amp; Dept Geog, Pl Laan 2, B-1050 Brussels, Belgium</t>
  </si>
  <si>
    <t>Universite Catholique Louvain; Institut de Recherche pour le Developpement (IRD); Sorbonne Universite; Museum National d'Histoire Naturelle (MNHN); Centre National de la Recherche Scientifique (CNRS); Vrije Universiteit Brussel</t>
  </si>
  <si>
    <t>Lecomte, O (corresponding author), Catholic Univ Louvain, Earth &amp; Life Inst, Georges Lemaitre Ctr Earth &amp; Climate Res UCL ELI, Pl Louis Pasteur 3,Bte L4-03-08, B-1348 Louvain La Neuve, Belgium.</t>
  </si>
  <si>
    <t>olivier.lecomte@uclouvain.be</t>
  </si>
  <si>
    <t>de Lavergne, Casimir/0000-0001-9267-7390</t>
  </si>
  <si>
    <t>Fonds de la Recherche Scientifique de Belgique (FRS-FNRS); FNRS Research Project [T.0007.14]; Belgian Research Action through Interdisciplinary Networks-BRAIN-be-Belgian Science Policy Office [BR/165/A2/Mass2Ant]</t>
  </si>
  <si>
    <t>Fonds de la Recherche Scientifique de Belgique (FRS-FNRS)(Fonds de la Recherche Scientifique - FNRS); FNRS Research Project(Fonds de la Recherche Scientifique - FNRS); Belgian Research Action through Interdisciplinary Networks-BRAIN-be-Belgian Science Policy Office</t>
  </si>
  <si>
    <t>We thank J. Dunn and D. Monselesan for providing and documenting the BOA data. Computational resources for this simulation have been provided by the supercomputing facilities of the Universite catholique de Louvain (CISM/UCL) and the Consortium des Equipements de Calcul Intensif en Federation Wallonie Bruxelles (CECI) funded by the Fonds de la Recherche Scientifique de Belgique (FRS-FNRS). O.L. and H.G. are, respectively, Postdoctoral Researcher and Research Director within the Fonds National de la Recherche Scientifique (F.R.S.-FNRS-Belgium). This work was supported by FNRS Research Project Amelioration de la representation de la glace de mer antarctique dans les modeles climatiques grace a une meilleure comprehension des processus gouvernant son etat moyen et sa variabilite, under Grant Agreement no. T.0007.14 and by Belgian Research Action through Interdisciplinary Networks-BRAIN-be-Belgian Science Policy Office, Grant Agreement no. BR/165/A2/Mass2Ant: East Antarctic surface mass balance in the Anthropocene: observations and multiscale modeling (Mass2Ant).</t>
  </si>
  <si>
    <t>10.1038/s41467-017-00347-4</t>
  </si>
  <si>
    <t>FD5EN</t>
  </si>
  <si>
    <t>WOS:000407553800016</t>
  </si>
  <si>
    <t>Torres, MA; Moosdorf, N; Hartmann, J; Adkins, JF; West, AJ</t>
  </si>
  <si>
    <t>Torres, Mark A.; Moosdorf, Nils; Hartmann, Jens; Adkins, Jess F.; West, A. Joshua</t>
  </si>
  <si>
    <t>Glacial weathering, sulfide oxidation, and global carbon cycle feedbacks</t>
  </si>
  <si>
    <t>weathering; carbon cycle; glaciation; oxidation; sulfide</t>
  </si>
  <si>
    <t>EOCENE-OLIGOCENE TRANSITION; ATMOSPHERIC CO2 CONCENTRATIONS; ICE-CORE; ANTARCTIC GLACIATION; SOLUTE ACQUISITION; PYRITE OXIDATION; RIVER CHEMISTRY; EROSION; RATES; CLIMATE</t>
  </si>
  <si>
    <t>Connections between glaciation, chemical weathering, and the global carbon cycle could steer the evolution of global climate over geologic time, but even the directionality of feedbacks in this system remain to be resolved. Here, we assemble a compilation of hydrochemical data from glacierized catchments, use this data to evaluate the dominant chemical reactions associated with glacial weathering, and explore the implications for long-term geochemical cycles. Weathering yields from catchments in our compilation are higher than the global average, which results, in part, from higher runoff in glaciated catchments. Our analysis supports the theory that glacial weathering is characterized predominantly by weathering of trace sulfide and carbonate minerals. To evaluate the effects of glacial weathering on atmospheric pCO(2), we use a solute mixing model to predict the ratio of alkalinity to dissolved inorganic carbon (DIC) generated by weathering reactions. Compared with nonglacial weathering, glacial weathering is more likely to yield alkalinity/DIC ratios less than 1, suggesting that enhanced sulfide oxidation as a result of glaciation may act as a source of CO2 to the atmosphere. Back-of-the-envelope calculations indicate that oxidative fluxes could change ocean-atmosphere CO2 equilibrium by 25 ppm or more over 10 ky. Over longer timescales, CO2 release could act as a negative feedback, limiting progress of glaciation, dependent on lithology and the concentration of atmospheric O-2. Future work on glaciation- weathering-carbon cycle feedbacks should consider weathering of trace sulfide minerals in addition to silicate minerals.</t>
  </si>
  <si>
    <t>[Torres, Mark A.; Moosdorf, Nils; West, A. Joshua] Univ Southern Calif, Dept Earth Sci, Los Angeles, CA 90089 USA; [Torres, Mark A.; Adkins, Jess F.] CALTECH, Dept Geol &amp; Planetary Sci, Pasadena, CA 91125 USA; [Torres, Mark A.] Rice Univ, Dept Earth Environm &amp; Planetary Sci, Houston, TX 77005 USA; [Moosdorf, Nils; Hartmann, Jens] Univ Hamburg, Ctr Earth Syst Res &amp; Sustainabil CEN, Inst Geol, D-20146 Hamburg, Germany; [Moosdorf, Nils] Leibniz Ctr Trop Marine Res, D-28359 Bremen, Germany</t>
  </si>
  <si>
    <t>University of Southern California; California Institute of Technology; Rice University; University of Hamburg; Leibniz Zentrum fur Marine Tropenforschung (ZMT)</t>
  </si>
  <si>
    <t>West, AJ (corresponding author), Univ Southern Calif, Dept Earth Sci, Los Angeles, CA 90089 USA.</t>
  </si>
  <si>
    <t>geo@hattes.de; joshwest@usc.edu</t>
  </si>
  <si>
    <t>Moosdorf, Nils/B-3851-2009; Adkins, Jess/GYI-8778-2022; Hartmann, Jens/AAB-3313-2020</t>
  </si>
  <si>
    <t>Moosdorf, Nils/0000-0003-2822-8261; Hartmann, Jens/0000-0003-1878-9321; Torres, Mark/0000-0002-9599-2748</t>
  </si>
  <si>
    <t>University of Southern California College Merit Fellowship; Caltech Texaco Postdoctoral Fellowship; Deutscher Akademischer Austauschdienst exchange fellowship; German Science Foundation (DFG) [HA4472/6-1]; German Science Foundation (DFG) (Cluster of Excellence CliSAP, Universitat Hamburg) [EXC177]; Bundesministerium fur Bildung und Forschung Project PALMOD [01LP1506C]; National Science Foundation [EAR-1455352]; Division Of Earth Sciences; Directorate For Geosciences [1455352] Funding Source: National Science Foundation</t>
  </si>
  <si>
    <t>University of Southern California College Merit Fellowship; Caltech Texaco Postdoctoral Fellowship; Deutscher Akademischer Austauschdienst exchange fellowship(Deutscher Akademischer Austausch Dienst (DAAD)); German Science Foundation (DFG)(German Research Foundation (DFG)); German Science Foundation (DFG) (Cluster of Excellence CliSAP, Universitat Hamburg)(German Research Foundation (DFG)); Bundesministerium fur Bildung und Forschung Project PALMOD(Federal Ministry of Education &amp; Research (BMBF)); National Science Foundation(National Science Foundation (NSF)); Division Of Earth Sciences; Directorate For Geosciences(National Science Foundation (NSF)NSF - Directorate for Geosciences (GEO))</t>
  </si>
  <si>
    <t>We thank three reviewers for constructive comments. M.A.T. was supported by a University of Southern California College Merit Fellowship and a Caltech Texaco Postdoctoral Fellowship, N.M. by a Deutscher Akademischer Austauschdienst exchange fellowship, J.H. by the German Science Foundation (DFG-project HA4472/6-1 and the Cluster of Excellence CliSAP, EXC177, Universitat Hamburg) and Bundesministerium fur Bildung und Forschung Project PALMOD (Ref 01LP1506C), and A.J.W. by National Science Foundation Grant EAR-1455352. Requests for access to the GloRiCh database should be addressed to J. Hartmann at geo@hattes.de.</t>
  </si>
  <si>
    <t>10.1073/pnas.1702953114</t>
  </si>
  <si>
    <t>FD6AG</t>
  </si>
  <si>
    <t>Bronze, Green Published, Green Accepted</t>
  </si>
  <si>
    <t>WOS:000407610400051</t>
  </si>
  <si>
    <t>Abe, K; Fuke, H; Haino, S; Hams, T; Hasegawa, M; Kim, KC; Lee, MH; Makida, Y; Mitchell, JW; Nishimura, J; Nozaki, M; Orito, R; Ormes, JF; Picot-Clemente, N; Sakai, K; Sasaki, M; Seo, ES; Streitmatter, RE; Suzuki, J; Tanaka, K; Thakur, N; Yamamoto, A; Yoshida, T; Yoshimura, K</t>
  </si>
  <si>
    <t>Abe, K.; Fuke, H.; Haino, S.; Hams, T.; Hasegawa, M.; Kim, K. C.; Lee, M. H.; Makida, Y.; Mitchell, J. W.; Nishimura, J.; Nozaki, M.; Orito, R.; Ormes, J. F.; Picot-Clemente, N.; Sakai, K.; Sasaki, M.; Seo, E. S.; Streitmatter, R. E.; Suzuki, J.; Tanaka, K.; Thakur, N.; Yamamoto, A.; Yoshida, T.; Yoshimura, K.</t>
  </si>
  <si>
    <t>The results from BESS-Polar experiment</t>
  </si>
  <si>
    <t>ADVANCES IN SPACE RESEARCH</t>
  </si>
  <si>
    <t>Cosmic rays; Antiproton; Antimatter; Proton; Helium; Primordial black hole; Solar modulation</t>
  </si>
  <si>
    <t>COSMIC-RAY PROTON; ANTIPROTON SPECTRUM; HELIUM SPECTRA; BLACK-HOLES; UPPER LIMIT; ANTIHELIUM; SEARCH; FLUX; ANTIMATTER; UNIVERSE</t>
  </si>
  <si>
    <t>The balloon-borne experiment with a superconducting spectrometer (BESS) instrument was developed as a high-resolution, high-geometric-acceptance magnetic-rigidity spectrometer for sensitive measurements of cosmic-ray antiparticles, searches for antinuclei, and precise measurements of the absolute fluxes of light GCR elements and isotopes. The original BESS experiment flew 8 times over Lynn Lake, Canada and once from Fort Sumner, USA during the period of 1993 through 2002, with continuous improvement in the instrument. Based on the instrument concept inherited from the BESS spectrometer, a very low instrumental energy cutoff for antiprotons was achieved with a new thin-walled superconducting magnet and removal of the outer pressure vessel for BESS-Polar project. The first and second scientific flights called BESS-Polar I/II were successfully performed, over Antarctica in 2004 December and 2007 December respectively. We report the scientific results, focusing on the long-duration flights of BESS-Polar I (2004) and BESS-Polar II (2007-2008). (C) 2017 COSPAR. Published by Elsevier Ltd. All rights reserved.</t>
  </si>
  <si>
    <t>[Abe, K.; Orito, R.] Kobe Univ, Kobe, Hyogo 6578501, Japan; [Fuke, H.; Yoshida, T.] Japan Aerosp Explorat Agcy ISAS JAXA, Inst Space &amp; Astronaut Sci, Sagamihara, Kanagawa 2525210, Japan; [Haino, S.; Hasegawa, M.; Makida, Y.; Nozaki, M.; Suzuki, J.; Tanaka, K.; Yamamoto, A.] High Energy Accelerator Res Org, KEK, Tsukuba, Ibaraki 3050801, Japan; [Hams, T.; Mitchell, J. W.; Sakai, K.; Sasaki, M.; Streitmatter, R. E.; Thakur, N.] NASA, Goddard Space Flight Ctr, Greenbelt, MD 20771 USA; [Kim, K. C.; Lee, M. H.; Picot-Clemente, N.; Seo, E. S.] Univ Maryland, IPST, College Pk, MD 20742 USA; [Nishimura, J.] Univ Tokyo, Bunkyo Ku, Tokyo 1130033, Japan; [Ormes, J. F.] Univ Denver, Denver, CO 80208 USA; [Yoshimura, K.] Okayama Univ, Okayama, Okayama 7000082, Japan; [Abe, K.] Univ Tokyo, Kamioka Observ, ICRR, Hida, Gifu 5061205, Japan; [Haino, S.] Acad Sinica, Inst Phys, Taipei 11529, Taiwan; [Hams, T.] Univ Maryland, CRESST, Baltimore, MD 21250 USA; [Orito, R.] Tokushima Univ, Tokushima, Tokushima 7708502, Japan; [Sasaki, M.] Univ Maryland, CRESST, College Pk, MD 20742 USA</t>
  </si>
  <si>
    <t>Kobe University; Japan Aerospace Exploration Agency (JAXA); Institute of Space &amp; Astronautical Science (ISAS); High Energy Accelerator Research Organization (KEK); National Aeronautics &amp; Space Administration (NASA); NASA Goddard Space Flight Center; University System of Maryland; University of Maryland College Park; University of Tokyo; University of Denver; Okayama University; University of Tokyo; Academia Sinica - Taiwan; University System of Maryland; University of Maryland Baltimore; Tokushima University; University System of Maryland; University of Maryland College Park</t>
  </si>
  <si>
    <t>Sakai, K (corresponding author), Univ Maryland, NASA, GSFC, CRESST, Baltimore, MD 21250 USA.</t>
  </si>
  <si>
    <t>Kenichi.Sakai@nasa.gov</t>
  </si>
  <si>
    <t>Koji, Yoshimura/J-9154-2018; Haino, Sadakazu/AAP-8315-2021; , ES/AAN-2324-2020; Lee, Moo Hyun/AAK-4266-2020</t>
  </si>
  <si>
    <t>Lee, Moo Hyun/0000-0002-4082-1677; Picot-Clemente, Nicolas/0009-0006-3034-7832; Nozaki, Mitsuaki/0000-0001-7834-9614; Yoshida, Tetsuya/0000-0003-0553-0150; Seo, Eun-Suk/0000-0001-8682-805X; MAKIDA, Yasuhiro/0000-0003-3638-9970; HASEGAWA, MASAYA/0000-0003-1443-1082</t>
  </si>
  <si>
    <t>Ministry of Education, Culture, Sport, Science and Technology (MEXT), in Japan [12047206, 12047226, 13001004, 18194446]; NASA in USA [RTOP-188-05-10-01]; Ministry of Education, Culture, Sport, Science and Technology (MEXT), in Japan [12047206, 12047226, 13001004, 18194446]; NASA in USA [RTOP-188-05-10-01]; Grants-in-Aid for Scientific Research [13001004, 12047206, 12047226] Funding Source: KAKEN</t>
  </si>
  <si>
    <t>Ministry of Education, Culture, Sport, Science and Technology (MEXT), in Japan(Ministry of Education, Culture, Sports, Science and Technology, Japan (MEXT)); NASA in USA; Ministry of Education, Culture, Sport, Science and Technology (MEXT), in Japan(Ministry of Education, Culture, Sports, Science and Technology, Japan (MEXT)); NASA in USA; Grants-in-Aid for Scientific Research(Ministry of Education, Culture, Sports, Science and Technology, Japan (MEXT)Japan Society for the Promotion of ScienceGrants-in-Aid for Scientific Research (KAKENHI))</t>
  </si>
  <si>
    <t>The BESS-Polar program is a Japan-United States collaboration, supported by Grant-in-Aid for Scientific Research (12047206, 12047226, 13001004 and 18194446) from the Ministry of Education, Culture, Sport, Science and Technology (MEXT), in Japan, and was supported by a NASA Grant RTOP-188-05-10-01 in USA. Balloon flight operations were carried out by the NASA Columbia Scientific Balloon (CSBF) Facility and the National Science Foundation United States Antarctic Program (USAP). We express our sincere thanks for the financial support and encouragement of both national agencies and the continuous and professional support of the technical and administrative staffs of the collaborating institutions and of CSBF and NSF USAP. We also would like to express our deepest gratitude to A. Horikoshi, A. Itazaki, T. Kumazawa, A. Kusumoto, S. Matsuda, Y. Matsukawa, K. Matsumoto, Z. Myers, Y. Shikaze, R. Shinoda, Y. Takasugi, K. Takeuchi and T. Yamagami for their professional and skillful work in carrying out the BESS-Polar flights.</t>
  </si>
  <si>
    <t>0273-1177</t>
  </si>
  <si>
    <t>1879-1948</t>
  </si>
  <si>
    <t>ADV SPACE RES</t>
  </si>
  <si>
    <t>Adv. Space Res.</t>
  </si>
  <si>
    <t>10.1016/j.asr.2016.11.004</t>
  </si>
  <si>
    <t>Engineering, Aerospace; Astronomy &amp; Astrophysics; Geosciences, Multidisciplinary; Meteorology &amp; Atmospheric Sciences</t>
  </si>
  <si>
    <t>Engineering; Astronomy &amp; Astrophysics; Geology; Meteorology &amp; Atmospheric Sciences</t>
  </si>
  <si>
    <t>FB2LQ</t>
  </si>
  <si>
    <t>WOS:000405975700007</t>
  </si>
  <si>
    <t>O'Donnell, JP; Selway, K; Nyblade, AA; Brazier, RA; Wiens, DA; Anandakrishnan, S; Aster, RC; Huerta, AD; Wilson, T; Winberry, JP</t>
  </si>
  <si>
    <t>O'Donnell, J. P.; Selway, K.; Nyblade, A. A.; Brazier, R. A.; Wiens, D. A.; Anandakrishnan, S.; Aster, R. C.; Huerta, A. D.; Wilson, T.; Winberry, J. P.</t>
  </si>
  <si>
    <t>The uppermost mantle seismic velocity and viscosity structure of central West Antarctica</t>
  </si>
  <si>
    <t>West Antarctica; mantle viscosity; glacial isostatic adjustment; seismic low-velocity zone; seismology</t>
  </si>
  <si>
    <t>MARIE-BYRD-LAND; CONTINENTAL LITHOSPHERE; CRUSTAL; THICKNESS; BOUNDARY; ORIGIN; ANOMALIES; OLIVINE; BENEATH; MODEL</t>
  </si>
  <si>
    <t>Accurately monitoring and predicting the evolution of the West Antarctic Ice Sheet via secular changes in the Earth's gravity field requires knowledge of the underlying upper mantle viscosity structure. Published seismic models show the West Antarctic lithosphere to be similar to 70-100 km thick and underlain by a low velocity zone extending to at least 200 km. Mantle viscosity is dependent on factors including temperature, grain size, the hydrogen content of olivine, the presence of partial melt and applied stress. As seismic wave propagation is particularly sensitive to thermal variations, seismic velocity provides a means of gauging mantle temperature. In 2012, a magnitude 5.6 intraplate earthquake in Marie Byrd Land was recorded on an array of POLENET-ANET seismometers deployed across West Antarctica. We modelled the waveforms recorded by six of the seismic stations in order to determine realistic estimates of temperature and lithology for the lithospheric mantle beneath Marie Byrd Land and the central West Antarctic Rift System. Published mantle xenolith and magnetotelluric data provided constraints on grain size and hydrogen content, respectively, for viscosity modelling. Considering tectonically plausible stresses, we estimate that the viscosity of the lithospheric mantle beneath Marie Byrd Land and the central West Antarctic Rift System ranges from similar to 10(20)-10(22) Pa s. To extend our analysis to the sublithospheric seismic low velocity zone, we used a published shear wave model. We calculated that the velocity reduction observed between the base of the lithosphere (similar to 4.4-4.7 km/s) and the centre of the low velocity zone (similar to 4.2-4.3 km/s) beneath West Antarctica could be caused by a 0.1-0.3% melt fraction or a one order of magnitude reduction in grain size. However, the grain size reduction is inconsistent with our viscosity modelling constraints, suggesting that partial melt more feasibly explains the origin of the low velocity zone. Considering plausible asthenospheric stresses, we estimate the viscosity of the seismic low velocity zone beneath West Antarctica to be similar to 10(18)-10(19) Pas. It has been shown elsewhere that the inclusion of a low viscosity layer of order 10(19) Pa s in Fennoscandian models of glacial isostatic adjustment reduces disparities between predicted surface uplift rates and corresponding field observations. The incorporation of a low viscosity layer reflecting the seismic low velocity zone in Antarctic glacial isostatic adjustment models might similarly lessen the misfit with observed uplift rates. (C) 2017 Elsevier B.V. All rights reserved.</t>
  </si>
  <si>
    <t>[O'Donnell, J. P.; Nyblade, A. A.; Brazier, R. A.; Anandakrishnan, S.] Penn State Univ, Dept Geosci, University Pk, PA 16802 USA; [O'Donnell, J. P.] Univ Leeds, Sch Earth &amp; Environm, Leeds LS2 9JT, W Yorkshire, England; [Selway, K.] Univ Oslo, Ctr Earth Evolut &amp; Dynam, N-0316 Oslo, Norway; [Wiens, D. A.] Washington Univ, Dept Earth &amp; Planetary Sci, St Louis, MO 63160 USA; [Aster, R. C.] Colorado State Univ, Dept Geosci, Ft Collins, CO 80523 USA; [Huerta, A. D.; Winberry, J. P.] Cent Washington Univ, Dept Geol Sci, Ellensburg, WA 98926 USA; [Wilson, T.] Ohio State Univ, Sch Earth Sci, Columbus, OH 43210 USA; [Selway, K.] Macquarie Univ, Dept Earth &amp; Planetary Sci, Sydney, NSW 2109, Australia</t>
  </si>
  <si>
    <t>Pennsylvania Commonwealth System of Higher Education (PCSHE); Pennsylvania State University; Pennsylvania State University - University Park; University of Leeds; University of Oslo; Washington University (WUSTL); Colorado State University; Central Washington University; University System of Ohio; Ohio State University; Macquarie University</t>
  </si>
  <si>
    <t>O'Donnell, JP (corresponding author), Penn State Univ, Dept Geosci, University Pk, PA 16802 USA.;O'Donnell, JP (corresponding author), Univ Leeds, Sch Earth &amp; Environm, Leeds LS2 9JT, W Yorkshire, England.</t>
  </si>
  <si>
    <t>j.p.odonnell@leeds.ac.uk</t>
  </si>
  <si>
    <t>Huerta, Audrey D/A-8680-2009; Winberry, Paul/HLQ-2673-2023; Aster, Richard/E-5067-2013; Anandakrishnan, Sridhar/JCN-5026-2023; Wiens, Douglas/J-9259-2016</t>
  </si>
  <si>
    <t>Winberry, Paul/0000-0003-1205-0745; Aster, Richard/0000-0002-0821-4906; Selway, Kate/0000-0001-5752-7717; Huerta, Audrey/0000-0002-0252-8496; Brazier, Richard/0000-0003-4607-0023; Wiens, Douglas/0000-0002-5169-4386; O'Donnell, John Paul/0000-0003-1524-2312</t>
  </si>
  <si>
    <t>NSF Office of Polar Programs [0632230, 0632239, 0652322, 0632335, 0632136, 0632209, 0632185]; Incorporated Research Institutions for Seismology (IRIS) through the PASSCAL Instrument Center; NSF [EAR-1063471]; NSF Office of Polar Programs; DOE National Nuclear Security Administration; Directorate For Geosciences; Office of Polar Programs (OPP) [1419268, 1246776] Funding Source: National Science Foundation; Directorate For Geosciences; Office of Polar Programs (OPP) [1249631, 1246666] Funding Source: National Science Foundation</t>
  </si>
  <si>
    <t>NSF Office of Polar Programs(National Science Foundation (NSF)); Incorporated Research Institutions for Seismology (IRIS) through the PASSCAL Instrument Center; NSF(National Science Foundation (NSF)); NSF Office of Polar Programs(National Science Foundation (NSF)); DOE National Nuclear Security Administration(National Nuclear Security AdministrationUnited States Department of Energy (DOE)); Directorate For Geosciences; Office of Polar Programs (OPP)(National Science Foundation (NSF)NSF - Directorate for Geosciences (GEO)); Directorate For Geosciences; Office of Polar Programs (OPP)(National Science Foundation (NSF)NSF - Directorate for Geosciences (GEO))</t>
  </si>
  <si>
    <t>We would like to acknowledge the support of all the field teams associated with the POLENET-ANET project. We thank the pilots of Kenn Borek Air and the New York Air Guard for flight support and field camp staff for logistical support. POLENET-ANET is supported by NSF Office of Polar Programs grants 0632230, 0632239, 0652322, 0632335, 0632136, 0632209, and 0632185. Seismic instrumentation is provided and supported by the Incorporated Research Institutions for Seismology (IRIS) through the PASSCAL Instrument Center. The POLENET-ANET seismic data can be accessed through the IRIS Data Management Center (http://www.iris.edu/mda). The facilities of the IRIS Consortium are supported by the NSF under cooperative agreement EAR-1063471, the NSF Office of Polar Programs, and the DOE National Nuclear Security Administration. Anya M. Reading and another reviewer provided thoughtful reviews which improved the clarity of this paper.</t>
  </si>
  <si>
    <t>10.1016/j.epsl.2017.05.016</t>
  </si>
  <si>
    <t>Green Accepted, hybrid, Green Submitted</t>
  </si>
  <si>
    <t>WOS:000405153600004</t>
  </si>
  <si>
    <t>Kohfeld, KE; Chase, Z</t>
  </si>
  <si>
    <t>Kohfeld, Karen E.; Chase, Zanna</t>
  </si>
  <si>
    <t>Temporal evolution of mechanisms controlling ocean carbon uptake during the last glacial cycle</t>
  </si>
  <si>
    <t>carbon cycle; ice age; ocean circulation; paleoceanography; glacial-interglacial</t>
  </si>
  <si>
    <t>ANTARCTIC SEA-ICE; SOUTHERN-OCEAN; ATMOSPHERIC CO2; CIRCULATION; MARINE; RECONSTRUCTION; CLIMATE; SURFACE; STRATIFICATION; ATLANTIC</t>
  </si>
  <si>
    <t>Many mechanisms have been proposed to explain the similar to 85-90 ppm decrease in atmospheric carbon dioxide (CO2) during the last glacial cycle, between 127,000 and 18,000 yrs ago. When taken together, these mechanisms can, in some models, account for the full glacial-interglacial CO2 drawdown. Most proxy-based evaluations focus on the peak of the Last Glacial Maximum, 24,000-18,000 yrs ago, and little has been done to determine the sequential timing of processes affecting CO2 during the last glacial cycle. Here we use a new compilation of sea-surface temperature records together with time-sequenced records of carbon and Nd isotopes, and other proxies to determine when the most commonly proposed mechanisms could have been important for CO2 drawdown. We find that the initial major drawdown of 35 ppm 115,000 yrs ago was most likely a result of Antarctic sea ice expansion. Importantly, changes in deep ocean circulation and mixing did not play a major role until at least 30,000 yrs after the first CO2 drawdown. The second phase of CO2 drawdown occurred similar to 70,000 yrs ago and was also coincident with the first significant influences of enhanced ocean productivity due to dust. Finally, minimum concentrations of atmospheric CO2 during the Last Glacial Maximum resulted from the combination of physical and biological factors, including the barrier effect of expanded Southern Ocean sea ice, slower ventilation of the deep sea, and ocean biological feedbacks. (C) 2017 The Author(s). Published by Elsevier B.V.</t>
  </si>
  <si>
    <t>[Kohfeld, Karen E.] Simon Fraser Univ, Sch Resource &amp; Environm Management, 888 Univ Dr, Burnaby, BC V5A 1S6, Canada; [Chase, Zanna] Univ Tasmania, Inst Marine &amp; Antarctic Studies, Private Bag 129, Hobart, Tas 7001, Australia</t>
  </si>
  <si>
    <t>Simon Fraser University; University of Tasmania</t>
  </si>
  <si>
    <t>Kohfeld, KE (corresponding author), Simon Fraser Univ, Sch Resource &amp; Environm Management, 888 Univ Dr, Burnaby, BC V5A 1S6, Canada.</t>
  </si>
  <si>
    <t>kohfeld@sfu.ca; zanna.chase@utas.edu.au</t>
  </si>
  <si>
    <t>Chase, Zanna/E-9232-2013</t>
  </si>
  <si>
    <t>Chase, Zanna/0000-0001-5060-779X; Kohfeld, Karen/0000-0001-7241-1624</t>
  </si>
  <si>
    <t>National Sciences and Engineering Research Council of Canada (NSERC) Discovery Grants [RGPIN-2013-342251]; Canada Research Chairs programs [950-228166]; Australian Research Council Future Fellowship [FT120100759]; Australian Research Council [FT120100759] Funding Source: Australian Research Council</t>
  </si>
  <si>
    <t>National Sciences and Engineering Research Council of Canada (NSERC) Discovery Grants(Natural Sciences and Engineering Research Council of Canada (NSERC)); Canada Research Chairs programs(Canada Research Chairs); Australian Research Council Future Fellowship(Australian Research Council); Australian Research Council(Australian Research Council)</t>
  </si>
  <si>
    <t>We gratefully acknowledge the many researchers who published the original data used in this study as well as the people, institutions, and funding agencies that support the PANGAEA and NOAA NGDC Paleoclimatology data archives, which make access to these data possible. B. Shandro assisted with graphics. We thank A. De Boer, P. Buchanan, and M. Nikurashin for valuable discussions. We also thank A. Piotrowski and an anonymous reviewer for their comments which greatly enriched the manuscript. KEK is supported by the National Sciences and Engineering Research Council of Canada (NSERC) Discovery Grants (#RGPIN-2013-342251) and Canada Research Chairs (#950-228166) programs. Zanna Chase is supported by an Australian Research Council Future Fellowship (FT120100759).</t>
  </si>
  <si>
    <t>10.1016/j.epsl.2017.05.015</t>
  </si>
  <si>
    <t>WOS:000405153600019</t>
  </si>
  <si>
    <t>González-Guzmán, A; Oliva, M; Souza, VS; Pérez-Alberti, A; Ruiz-Fernández, J; Otero, XL</t>
  </si>
  <si>
    <t>Gonzalez-Guzman, A.; Oliva, M.; Souza-Junior, V. S.; Perez-Alberti, A.; Ruiz-Fernandez, J.; Otero, X. L.</t>
  </si>
  <si>
    <t>Biota and geomorphic processes as key environmental factors controlling soil formation at Elephant Point, Maritime Antarctica</t>
  </si>
  <si>
    <t>GEODERMA</t>
  </si>
  <si>
    <t>Maritime Antarctica; Phosphate minerals; Glacial abrasion; Mineralogy</t>
  </si>
  <si>
    <t>SOUTH SHETLAND ISLANDS; LIVINGSTON ISLAND; ORNITHOGENIC SEDIMENTS; BYERS PENINSULA; PHOSPHORUS; NUTRIENT; CRYOSOLS; IRON; BIOAVAILABILITY; PEDOGENESIS</t>
  </si>
  <si>
    <t>We examined the main soil forming factors affecting the soil composition, soil properties and the associated soil forming processes at Elephant Point, a small ice-free environment in the South Shetland Islands, Maritime Antarctica. For this purpose, we collected twenty soil samples from each of ten different sites distributed along a linear transect running from the coast to the front of the Rotch Dome glacier. The samples were obtained from surface layers (0-10 cm) and at depth (40-50 cm), although collection was limited in the moraine area by the permafrost table. We determined pH, electrical conductivity, size particle distribution, total organic carbon, total nitrogen and total concentrations of Al, Fe, Ca and P, for physical and chemical characterization of the samples. We also analysed the samples to determine the bioavailability of nutrients and Fe, Al and P partitioning and finally examined them by isotopic (delta N-15) and X-ray diffraction (XRD) analysis. The results of the analyses revealed two clear geochemical environments corresponding to the two most extensive geomorphological units in this peninsula: moraine and marine terraces. Soils from the moraine were characterized by alkaline reaction and high quantity of minerals with a low degree of crystallinity, whereas soils from the marine terraces showed acid reaction, high concentration of organometallic complexes and a high diversity of phosphate minerals (taranakite, minyulite, struvite, hydroxylapatite and leucophosphite), which seem to be generated by phosphatization of faecal matter deposited by seabirds and seals. Consequently, biota activity is the most relevant soil differentiating factor in the marine terraces, which add organic matter and activate geochemical cycles. On the other hand, geomorphic processes strongly affected by physical weathering processes such as glacial abrasion (by grinding process), frost shattering, and wind abrasion are the main soil-forming factors in moraine. These forces break up the parent material, transform it and translocate the products formed.</t>
  </si>
  <si>
    <t>[Gonzalez-Guzman, A.] Univ Cordoba, Dept Agron, Cordoba, Spain; [Oliva, M.] Univ Lisbon, Ctr Geog Studies, IGOT, Lisbon, Portugal; [Souza-Junior, V. S.] Univ Fed Rural Pernambuco, Dept Agron, Area Solos, Recife, PE, Brazil; [Perez-Alberti, A.] Univ Santiago de Compostela, Facnitarlp Xeografia, Dept Xeografia, Santiago De Compostela, Spain; [Ruiz-Fernandez, J.] Univ Oviedo, Dept Geog, Oviedo, Spain; [Otero, X. L.] Univ Santiago Compostela, Fac Bioloxia, Dept Edafoloxia &amp; Quim Agricola, Santiago De Compostela, Spain; [Otero, X. L.] Univ Politecn Nacl, Dept Tecnol Ciencia Los Alimentos &amp; Biotecnol, Quito, Ecuador</t>
  </si>
  <si>
    <t>Universidad de Cordoba; Universidade de Lisboa; Universidade Federal Rural de Pernambuco (UFRPE); Universidade de Santiago de Compostela; University of Oviedo; Universidade de Santiago de Compostela</t>
  </si>
  <si>
    <t>González-Guzmán, A (corresponding author), Univ Cordoba, Fac Agron, Dept Edafol Climatol &amp; Geol, Edificio C4,Campus Rabanales, Cordoba 14071, Spain.</t>
  </si>
  <si>
    <t>guzman_agg@hotmail.com</t>
  </si>
  <si>
    <t>Júnior, Valdomiro Severino Souza/G-1302-2016; Gonzalez Guzmán, Adrián/V-5217-2017; OTERO, XOSE LUIS/C-7958-2012; Oliva, Marc/K-5423-2014</t>
  </si>
  <si>
    <t>Júnior, Valdomiro Severino Souza/0000-0002-1748-4019; Gonzalez Guzmán, Adrián/0000-0001-7294-3188; Perez Alberti, Augusto/0000-0001-7428-4622; Otero, Xose Luis/0000-0001-5447-1842; Oliva, Marc/0000-0001-6521-6388</t>
  </si>
  <si>
    <t>Proyecto PROMETEO (SENESCYT Ecuador); project HOLOANTAR (Holocene environmental change in Maritime Antarctic. Interactions between permafrost and lacustrine environment) from Portuguese Science Foundation; Portuguese Polar Program (PROPOLAR) from Portuguese Science Foundation</t>
  </si>
  <si>
    <t>The authors are grateful to Maria Santiso, David Romero and Francisco Casas for help with the laboratory analysis and to Christine Helen Francis for help with revising earlier drafts of the manuscript. X.L.O. is grateful for financial support from the Proyecto PROMETEO (SENESCYT Ecuador) and Marc Oliva is grateful for funding from the project HOLOANTAR (Holocene environmental change in Maritime Antarctic. Interactions between permafrost and lacustrine environment) and the Portuguese Polar Program (PROPOLAR), both from Portuguese Science Foundation. We also acknowledge the logistic support of the Brazilian and Chilean Antarctic Programs during fieldwork. Finally, A.G.G. is grateful to MINECO and FSE for the FPI pre-doctoral contract obtained through the Programa Estatal de Promocion del Talento y su Empleabilidad en I + D + I.</t>
  </si>
  <si>
    <t>0016-7061</t>
  </si>
  <si>
    <t>1872-6259</t>
  </si>
  <si>
    <t>Geoderma</t>
  </si>
  <si>
    <t>10.1016/j.geoderma.2017.04.001</t>
  </si>
  <si>
    <t>EW2TP</t>
  </si>
  <si>
    <t>WOS:000402349200003</t>
  </si>
  <si>
    <t>Young, DA; Roberts, JL; Ritz, C; Frezzotti, M; Quartini, E; Cavitte, MGP; Tozer, CR; Steinhage, D; Urbini, S; Corr, HFJ; van Ommen, T; Blankenship, DD</t>
  </si>
  <si>
    <t>Young, Duncan A.; Roberts, Jason L.; Ritz, Catherine; Frezzotti, Massimo; Quartini, Enrica; Cavitte, Marie G. P.; Tozer, Carly R.; Steinhage, Daniel; Urbini, Stefano; Corr, Hugh F. J.; van Ommen, Tas; Blankenship, Donald D.</t>
  </si>
  <si>
    <t>High-resolution boundary conditions of an old ice target near Dome C, Antarctica</t>
  </si>
  <si>
    <t>DIGITAL ELEVATION MODEL; SUBGLACIAL LAKE; BENEATH; LAND; RADAR; SHEET; GREENLAND; GLACIER; CORE; PART</t>
  </si>
  <si>
    <t>A high-resolution (1 km line spacing) aerogeophysical survey was conducted over a region near the East Antarctic Ice Sheet's Dome C that may hold a 1.5 Myr climate record. We combined new ice thickness data derived from an airborne coherent radar sounder with unpublished data that was in part unavailable for earlier compilations, and we were able to remove older data with high positional uncertainties. We generated a revised high-resolution digital elevation model (DEM) to investigate the potential for an old ice record in this region, and used laser altimetry to confirm a Cryosat-2 derived DEM for inferring the glaciological state of the candidate area. By measuring the specularity content of the bed, we were able to find an additional 50 subglacial lakes near the candidate site, and by Doppler focusing the radar data, we were able to map out the roughness of the bed at length scales of hundreds of meters. We find that the primary candidate region contains elevated rough topography interspersed with scattered subglacial lakes and some regions of smoother bed. Free subglacial water appears to be restricted from bed overlain by ice thicknesses of less than 3000 m. A site near the ice divide was selected for further investigation. The high resolution of this ice thickness data set also allows us to explore the nature of ice thickness uncertainties in the context of radar geometry and processing</t>
  </si>
  <si>
    <t>[Young, Duncan A.; Quartini, Enrica; Cavitte, Marie G. P.; Blankenship, Donald D.] Univ Texas Austin, Jackson Sch Geosci, Univ Texas Inst Geophys, Austin, TX 78712 USA; [Roberts, Jason L.; van Ommen, Tas] Australian Antarct Div, Kingston, Australia; [Roberts, Jason L.; Tozer, Carly R.; van Ommen, Tas] Antarctic Climate &amp; Ecosyst CRC, Hobart, Tas, Australia; [Ritz, Catherine] CNRS, IGE UMR5183, F-38041 Grenoble, France; [Ritz, Catherine] Univ Grenoble Alpes, IGE UMR5183, F-38041 Grenoble, France; [Frezzotti, Massimo] ENEA, Rome, Italy; [Quartini, Enrica; Cavitte, Marie G. P.] Univ Texas Austin, Jackson Sch Geosci, Dept Geol Sci, Austin, TX 78712 USA; [Steinhage, Daniel] Alfred Wegener Inst Helmholtz Ctr Polar &amp; Marine, Bremerhaven, Germany; [Urbini, Stefano] Ist Nazl Geofis &amp; Vulcanol, Rome, Italy; [Corr, Hugh F. J.] British Antarctic Survey, Cambridge, England</t>
  </si>
  <si>
    <t>University of Texas System; University of Texas Austin; Australian Antarctic Division; University of Tasmania; Centre National de la Recherche Scientifique (CNRS); Communaute Universite Grenoble Alpes; Universite Grenoble Alpes (UGA); Italian National Agency New Technical Energy &amp; Sustainable Economics Development; University of Texas System; University of Texas Austin; Helmholtz Association; Alfred Wegener Institute, Helmholtz Centre for Polar &amp; Marine Research; Istituto Nazionale Geofisica e Vulcanologia (INGV); UK Research &amp; Innovation (UKRI); Natural Environment Research Council (NERC); NERC British Antarctic Survey</t>
  </si>
  <si>
    <t>Young, DA (corresponding author), Univ Texas Austin, Jackson Sch Geosci, Univ Texas Inst Geophys, Austin, TX 78712 USA.</t>
  </si>
  <si>
    <t>duncan@ig.utexas.edu</t>
  </si>
  <si>
    <t>FREZZOTTI, Massimo/AAK-7275-2020; Roberts, Jason L/B-2235-2012; Cavitte, Marie/AAB-8533-2020; Corr, Hugh/C-5398-2011; Tozer, Carly R/E-9936-2013; Young, Duncan/G-6256-2010; van Ommen, Tas/B-5020-2012</t>
  </si>
  <si>
    <t>FREZZOTTI, Massimo/0000-0002-2461-2883; Roberts, Jason L/0000-0002-3477-4069; Cavitte, Marie/0000-0002-5777-0933; Tozer, Carly R/0000-0001-8605-5907; Young, Duncan/0000-0002-6866-8176; Ritz, Catherine/0000-0003-0785-8571; van Ommen, Tas/0000-0002-2463-1718; urbini, stefano/0000-0002-8053-4197</t>
  </si>
  <si>
    <t>Australian Government Cooperative Research Centre's Programme through the Antarctic Climate and Ecosystems Cooperative Research Centre (ACE CRC); G. Unger Vetlesen Foundation; NSF grant [PLR-1443690]; Kenn Borek Airlines; Australian Antarctic Division [AAS 3103, 4077, 4346]; Natural Environment Research Council [bas0100034] Funding Source: researchfish; NERC [bas0100034] Funding Source: UKRI</t>
  </si>
  <si>
    <t>Australian Government Cooperative Research Centre's Programme through the Antarctic Climate and Ecosystems Cooperative Research Centre (ACE CRC)(Australian GovernmentDepartment of Industry, Innovation and ScienceCooperative Research Centres (CRC) Programme); G. Unger Vetlesen Foundation; NSF grant(National Science Foundation (NSF)); Kenn Borek Airlines; Australian Antarctic Division; Natural Environment Research Council(UK Research &amp; Innovation (UKRI)Natural Environment Research Council (NERC)); NERC(UK Research &amp; Innovation (UKRI)Natural Environment Research Council (NERC))</t>
  </si>
  <si>
    <t>This research was made possible by the joint French-Italian Concordia Program, which established and runs the permanent station Concordia at Dome C. The Australian Antarctic Division provided funding and logistical support (AAS 3103, 4077, 4346). This work was supported by the Australian Government Cooperative Research Centre's Programme through the Antarctic Climate and Ecosystems Cooperative Research Centre (ACE CRC); support for UTIG came from the G. Unger Vetlesen Foundation and NSF grant PLR-1443690. We acknowledge the support of Kenn Borek Airlines, in particular Jamie Chistom, John Gilmore, and Andre Dumont. Quantarctica, QGIS and the Generic Mapping Tools were used for both survey design and data analysis. We thank Gail Muldoon, Gregory Ng, and Alyssa Jones for assisting in this work. Three anonymous reviewers provided suggestions that greatly improved this work. This paper is UTIG contribution 3087.</t>
  </si>
  <si>
    <t>AUG 14</t>
  </si>
  <si>
    <t>10.5194/tc-11-1897-2017</t>
  </si>
  <si>
    <t>FD6LO</t>
  </si>
  <si>
    <t>Green Accepted, gold, Green Submitted</t>
  </si>
  <si>
    <t>WOS:000407640200001</t>
  </si>
  <si>
    <t>Kumar, GV; Kulkarni, AV; Gupta, AK; Sharma, P</t>
  </si>
  <si>
    <t>Kumar, G. Vinay; Kulkarni, Anil V.; Gupta, Anil Kumar; Sharma, Parmanand</t>
  </si>
  <si>
    <t>Mass balance estimation using geodetic method for glaciers in Baspa basin, Western Himalaya</t>
  </si>
  <si>
    <t>Baspa basin; geodetic method; mass balance; Western Himalaya</t>
  </si>
  <si>
    <t>PAMIR-KARAKORAM-HIMALAYA; CHHOTA SHIGRI GLACIER; CLIMATE-CHANGE; ELEVATION CHANGES; DOKRIANI GLACIER; HIMACHAL-PRADESH; STEREO IMAGERY; INDIA; RETREAT; IMPACT</t>
  </si>
  <si>
    <t>Himalayan glaciers, which contribute to water security for almost 1.3 billion people in Asia, are now under threat due to climate change. Assessment of glacier mass balance changes is crucial to determine the implications of climate change, but in situ measurements are limited due to rugged terrain and harsh climate of the Himalaya. Remote sensing-based geodetic method is therefore important for studying the evolution of Himalayan glaciers at a large scale. In this study, the mass balance of glaciers located in Baspa basin (Western Himalaya) is estimated for a period of 11 years between 2000 and 2011, using geodetic method. Out of 89 glaciers in the basin, 42 glaciers (greater than 1 km(2)) covering an area of similar to 72% (215 km(2)) of the total glaciated area were selected for the study. A mean thinning of similar to 50 +/- 11 m and mean accumulation of similar to 35 +/- 11 m was observed during the study period, with the cumulative mass balance varying between -36.9 +/- 1.98 and 6.47 +/- 1.98 m.w.e. A mean annual mass loss of -1.09 +/- 0.32 m. w.e.a(-1) was observed for the entire basin, suggesting that the glaciers in Baspa basin are losing mass at higher rate compared to the glaciers in central and eastern Himalayas. This study demonstrates the utility of geodetic method to estimate mass balance of glaciers at basin scale, which will be useful to assess future changes in glacial extent and stream run-off.</t>
  </si>
  <si>
    <t>[Kumar, G. Vinay; Sharma, Parmanand] ESSO Natl Ctr Antarctic &amp; Ocean Res, Cryosphere Sci Div, Vasco Da Gama 403804, Goa, India; [Kulkarni, Anil V.] Indian Inst Sci, CAOS, Divecha Ctr Climate Change, Bengaluru 560012, Karnataka, India; [Gupta, Anil Kumar] Visvesvaraya Technol Univ RC, Dr Ambedkar Inst Technol, Dept Civil Engn, Bengaluru 560056, Karnataka, India</t>
  </si>
  <si>
    <t>Ministry of Earth Sciences (MoES) - India; National Centre for Polar and Ocean Research (NCPOR); Indian Institute of Science (IISC) - Bangalore; Visvesvaraya Technological University</t>
  </si>
  <si>
    <t>Kumar, GV (corresponding author), ESSO Natl Ctr Antarctic &amp; Ocean Res, Cryosphere Sci Div, Vasco Da Gama 403804, Goa, India.</t>
  </si>
  <si>
    <t>gaddam_vinay@ymail.com</t>
  </si>
  <si>
    <t>GADDAM, VINAY/T-4283-2017</t>
  </si>
  <si>
    <t>GADDAM, VINAY/0000-0002-9400-1893</t>
  </si>
  <si>
    <t>NCAOR</t>
  </si>
  <si>
    <t>We thank Dr Ravi Chandran, Director and Dr Thamban Meloth, Project Director, NCAOR for discussions, financial and infrastructure support during the study. Special thanks to Dr Tobias Bolch, University of Zurich, Dr Ian M. Howat and Dr Myoung-Jong Noh for technical suggestions during the study. We also thank USGS for providing the SRTM, LPDAAC for AST14DMO Digital Elevation Models and Hydrology Division, BBMB for providing the meteorological data of Rakcham Observatory. The NCAOR contribution number is 13/2017.</t>
  </si>
  <si>
    <t>AUG 10</t>
  </si>
  <si>
    <t>10.18520/cs/v113/i03/486-492</t>
  </si>
  <si>
    <t>FD7KK</t>
  </si>
  <si>
    <t>Green Accepted, Bronze</t>
  </si>
  <si>
    <t>WOS:000407704800033</t>
  </si>
  <si>
    <t>Lee, SH; Kim, BK; Lim, YJ; Joo, H; Kang, JJ; Lee, D; Park, J; Ha, SY; Lee, SH</t>
  </si>
  <si>
    <t>Lee, Sang H.; Kim, Bo Kyung; Lim, Yu Jeong; Joo, HuiTae; Kang, Jae Joong; Lee, Dabin; Park, Jisoo; Ha, Sun-Yong; Lee, Sang Hoon</t>
  </si>
  <si>
    <t>Small phytoplankton contribution to the standing stocks and the total primary production in the Amundsen Sea</t>
  </si>
  <si>
    <t>ANTARCTIC PENINSULA; CLIMATE-CHANGE; ICE; BIOMASS; CARBON; NITROGEN; CANADA; ALGAE</t>
  </si>
  <si>
    <t>Small phytoplankton are anticipated to be more important in a recently warming and freshening ocean condition. However, little information on the contribution of small phytoplankton to overall phytoplankton production is currently available in the Amundsen Sea. To determine the contributions of small phytoplankton to total biomass and primary production, carbon and nitrogen uptake rates of total and small phytoplankton were obtained from 12 productivity stations in the Amundsen Sea. The daily carbon uptake rates of total phytoplankton averaged in this study were 0.42 g C m(-2) d(-1) (SD = +/- 0.30 g C m(-2) d(-1)) and 0.84 g C m(-2) d(-1) (SD = +/- 0.18 g C m(-2) d(-1)) for non-polynya and polynya regions, respectively, whereas the daily total nitrogen (nitrate and ammonium) uptake rates were 0.12 g Nm(-2) d(-1) (SD = +/- 0.09 g N m(-2) d(-1)) and 0.21 g N m(-2) d(-1) (SD = +/- 0.11 g N m(-2) d(-1)), respectively, for non-polynya and polynya regions, all of which were within the ranges reported previously. Small phytoplankton contributed 26.9 and 27.7% to the total carbon and nitrogen uptake rates of phytoplankton in this study, respectively, which were relatively higher than the chlorophyll a contribution (19.4 %) of small phytoplankton. For a comparison of different regions, the contributions for chlorophyll a concentration and primary production of small phytoplankton averaged from all the non-polynya stations were 42.4 and 50.8 %, which were significantly higher than those (7.9 and 14.9 %, respectively) in the polynya region. A strong negative correlation (r(2) = 0 : 790, p &lt; 0.05) was found between the contributions of small phytoplankton and the total daily primary production of phytoplankton in this study. This finding implies that daily primary production decreases as small phyto-plankton contribution increases, which is mainly due to the lower carbon uptake rate of small phytoplankton than large phytoplankton.</t>
  </si>
  <si>
    <t>[Lee, Sang H.; Kim, Bo Kyung; Lim, Yu Jeong; Joo, HuiTae; Kang, Jae Joong; Lee, Dabin] Pusan Natl Univ, Dept Oceanog, Busan 609735, South Korea; [Park, Jisoo; Ha, Sun-Yong; Lee, Sang Hoon] Korea Polar Res Inst, Incheon 406840, South Korea</t>
  </si>
  <si>
    <t>Pusan National University; Korea Polar Research Institute (KOPRI)</t>
  </si>
  <si>
    <t>Lee, SH (corresponding author), Pusan Natl Univ, Dept Oceanog, Busan 609735, South Korea.</t>
  </si>
  <si>
    <t>sanglee@pnu.ac.kr</t>
  </si>
  <si>
    <t>Kim, Bo Kyung/GRY-2456-2022; Lee, Dabin/AAD-1232-2021</t>
  </si>
  <si>
    <t>Kim, Bo Kyung/0009-0005-4890-701X; Lee, Dabin/0000-0003-3966-0666</t>
  </si>
  <si>
    <t>Korea Polar Research Institute (KOPRI) [PP15020]</t>
  </si>
  <si>
    <t>Korea Polar Research Institute (KOPRI)</t>
  </si>
  <si>
    <t>We thank the captain and crew members of the Korean research icebreaker Araon, for their outstanding assistance during the cruise. This research was supported by the Korea Polar Research Institute (KOPRI; PP15020).</t>
  </si>
  <si>
    <t>10.5194/bg-14-3705-2017</t>
  </si>
  <si>
    <t>FD4AC</t>
  </si>
  <si>
    <t>WOS:000407472600001</t>
  </si>
  <si>
    <t>Xing, S; Hou, XL; Aldahan, A; Possnert, G; Shi, KL; Yi, P; Zhou, WJ</t>
  </si>
  <si>
    <t>Xing, Shan; Hou, Xiaolin; Aldahan, Ala; Possnert, Goran; Shi, Keliang; Yi, Peng; Zhou, Weijian</t>
  </si>
  <si>
    <t>Water Circulation and Marine Environment in the Antarctic Traced by Speciation of 129I and 127I</t>
  </si>
  <si>
    <t>ANTHROPOGENIC I-129; SOUTHERN-OCEAN; MAJOR SOURCES; TRANSPORT; SEA; SEAWATER; DEPOSITION; FALLOUT; FLOW; TEMPERATURE</t>
  </si>
  <si>
    <t>Emissions of anthropogenic I-129 from human nuclear activities are now detected in the surface water of the Antarctic seas. Surface seawater samples from the Drake Passage, Bellingshausen, Amundsen, and Ross Seas were analyzed for total I-129 and I-127, as well as for iodide and iodate of these two isotopes. The variability of I-127 and I-129 concentrations and their species (I-127(-)/(IO3-)-I-127, I-129(-)/(IO3-)-I-129) suggest limited environmental impact where ((1.15-3.15) x 10(6) atoms/L for I-129 concentration and (0.61-1.98) x 10(-11) for I-129/I-127 atomic ratios are the lowest ones compared to the other oceans. The iodine distribution patterns provide useful information on surface water transport and mixing that are vital for better understanding of the Southern Oceans effects on the global climate change. The results indicate multiple spatial interactions between the Antarctic Circumpolar Current (ACC) and Antarctic Peninsula Coastal Current (APCC). These interactions happen in restricted circulation pathways that may partly relate to glacial melting and icebergs transport. Biological activity during the warm season should be one of the key factors controlling the reduction of iodate in the coastal water in the Antarctic.</t>
  </si>
  <si>
    <t>[Xing, Shan; Hou, Xiaolin; Zhou, Weijian] Chinese Acad Sci, State Key Lab Loess &amp; Quaternary Geol, Shaanxi Key Lab Accelerator Mass Spectrometry Tec, Xian AMS Ctr,Inst Earth Environm, Xian 710061, Shaanxi, Peoples R China; [Hou, Xiaolin; Shi, Keliang] Techn Univ Denmark, Ctr Nucl Technol, DK-4000 Roskilde, Denmark; [Aldahan, Ala] United Arab Emirates Univ, Dept Geol, Al Ain 17511, U Arab Emirates; [Aldahan, Ala; Yi, Peng] Uppsala Univ, Dept Earth Sci, S-75120 Uppsala, Sweden; [Possnert, Goran] Uppsala Univ, Tandem Lab, S-75120 Uppsala, Sweden; [Shi, Keliang] Lanzhou Univ, Sch Nucl Sci &amp; Technol, Lanzhou 73000, Gansu, Peoples R China; [Yi, Peng] Hohai Univ, Coll Hydrol &amp; Water Resources, Nanjing 210098, Jiangsu, Peoples R China</t>
  </si>
  <si>
    <t>Chinese Academy of Sciences; Institute of Earth Environment, CAS; Technical University of Denmark; United Arab Emirates University; Uppsala University; Uppsala University; Lanzhou University; Hohai University</t>
  </si>
  <si>
    <t>Hou, XL (corresponding author), Chinese Acad Sci, State Key Lab Loess &amp; Quaternary Geol, Shaanxi Key Lab Accelerator Mass Spectrometry Tec, Xian AMS Ctr,Inst Earth Environm, Xian 710061, Shaanxi, Peoples R China.;Hou, XL (corresponding author), Techn Univ Denmark, Ctr Nucl Technol, DK-4000 Roskilde, Denmark.;Aldahan, A (corresponding author), United Arab Emirates Univ, Dept Geol, Al Ain 17511, U Arab Emirates.;Aldahan, A (corresponding author), Uppsala Univ, Dept Earth Sci, S-75120 Uppsala, Sweden.</t>
  </si>
  <si>
    <t>xiho@dtu.dk; aaldahan@uaeu.ac.ae</t>
  </si>
  <si>
    <t>Hou, Xiaolin/A-1585-2008; Zhou, Weijian/T-1412-2019</t>
  </si>
  <si>
    <t>Hou, Xiaolin/0000-0002-4851-4858; Zhou, Weijian/0000-0001-9641-5734</t>
  </si>
  <si>
    <t>Ministry of Science and Technology of China [2015FY110800]; State Key Laboratory of Loess and Quaternary Geology; National Science Foundation of China; Swedish Polar Research Secretariat; US National Science Foundation (NSF); United Arab Emirates University [31S159]</t>
  </si>
  <si>
    <t>Ministry of Science and Technology of China(Ministry of Science and Technology, China); State Key Laboratory of Loess and Quaternary Geology(Chinese Academy of Sciences); National Science Foundation of China(National Natural Science Foundation of China (NSFC)); Swedish Polar Research Secretariat; US National Science Foundation (NSF)(National Science Foundation (NSF)); United Arab Emirates University</t>
  </si>
  <si>
    <t>Financial supports provided by the Ministry of Science and Technology of China (2015FY110800), as well as State Key Laboratory of Loess and Quaternary Geology and the National Science Foundation of China ( No. 41040016) are gratefully acknowledged. S. Xing appreciates Dr. Q. Liu in Xi'an AMS center for his help in AMS measurement of 129I. The sampling program was done as part of 2010/2011 Antarctica two-ship expedition through the international scientific cruise jointly funded by the Swedish Polar Research Secretariat and the US National Science Foundation (NSF). We thank the N.P. Palmar scientific team for providing the online measurement data. A. Aldahan acknowledges the United Arab Emirates University for financial support through fund number 31S159.</t>
  </si>
  <si>
    <t>10.1038/s41598-017-07765-w</t>
  </si>
  <si>
    <t>FD2YG</t>
  </si>
  <si>
    <t>WOS:000407400100013</t>
  </si>
  <si>
    <t>Ferreira, LC; Thums, M; Heithaus, MR; Barnett, A; Abrantes, KG; Holmes, BJ; Zamora, LM; Frisch, AJ; Pepperell, JG; Burkholder, D; Vaudo, J; Nowicki, R; Meeuwig, J; Meekan, MG</t>
  </si>
  <si>
    <t>Ferreira, Luciana C.; Thums, Michele; Heithaus, Michael R.; Barnett, Adam; Abrantes, Katya G.; Holmes, Bonnie J.; Zamora, Lara M.; Frisch, Ashley J.; Pepperell, Julian G.; Burkholder, Derek; Vaudo, Jeremy; Nowicki, Robert; Meeuwig, Jessica; Meekan, Mark G.</t>
  </si>
  <si>
    <t>The trophic role of a large marine predator, the tiger shark Galeocerdo cuvier</t>
  </si>
  <si>
    <t>STABLE-ISOTOPE ANALYSIS; HABITAT USE; INDIVIDUAL SPECIALIZATION; DISCRIMINATION FACTORS; LOGGERHEAD TURTLES; WESTERN-AUSTRALIA; SEASONAL-CHANGES; MUSCLE-TISSUE; NICHE WIDTH; DIET</t>
  </si>
  <si>
    <t>Tiger sharks were sampled off the western (Ningaloo Reef, Shark Bay) and eastern (the Great Barrier Reef; GBR, Queensland and New South Wales; NSW) coastlines of Australia. Multiple tissues were collected from each shark to investigate the effects of location, size and sex of sharks on delta C-13 and delta N-15 stable isotopes among these locations. Isotopic composition of sharks sampled in reef and seagrass habitats (Shark Bay, GBR) reflected seagrass-based food-webs, whereas at Ningaloo Reef analysis revealed a dietary transition between pelagic and seagrass food-webs. In temperate habitats off southern Queensland and NSW coasts, shark diets relied on pelagic food-webs. Tiger sharks occupied roles at the top of food-webs at Shark Bay and on the GBR, but not at Ningaloo Reef or off the coast of NSW. Composition of delta C-13 in tissues was influenced by body size and sex of sharks, in addition to residency and diet stability. This variability in stable isotopic composition of tissues is likely to be a result of adaptive foraging strategies that allow these sharks to exploit multiple shelf and offshore habitats. The trophic role of tiger sharks is therefore both context- and habitat-dependent, consistent with a generalist, opportunistic diet at the population level.</t>
  </si>
  <si>
    <t>[Ferreira, Luciana C.] Univ Western Australia, Sch Biol Sci, Crawley, WA 6009, Australia; [Ferreira, Luciana C.] Univ Western Australia, Oceans Inst, Crawley, WA 6009, Australia; [Ferreira, Luciana C.; Thums, Michele] Univ Western Australia, Australian Inst Marine Sci, M096, Crawley, WA 6009, Australia; [Heithaus, Michael R.; Burkholder, Derek; Nowicki, Robert] Florida Int Univ, Sch Environm Arts &amp; Soc, North Miami, FL 33181 USA; [Barnett, Adam; Abrantes, Katya G.] James Cook Univ, Coll Marine &amp; Environm Sci, Cairns, Qld 4878, Australia; [Holmes, Bonnie J.] Univ Queensland, Sch Biol Sci, Queensland, Qld 4072, Australia; [Zamora, Lara M.] Univ Tasmania, Inst Marine &amp; Antarctic Studies, Hobart, Tas 7001, Australia; [Frisch, Ashley J.] Great Barrier Reef Marine Pk Author, Reef HQ, Townsville, Qld 4810, Australia; [Frisch, Ashley J.] James Cook Univ, Australian Res Council Ctr Excellence Coral Reef, Townsville, Qld 4811, Australia; [Pepperell, Julian G.] Pepperell Res &amp; Consulting Pty Ltd, Noosaville Dc, Qld, Australia; [Vaudo, Jeremy] Nova Southeastern Univ, Guy Harvey Res Inst, Dania, FL 33004 USA; [Nowicki, Robert] Mote Marine Lab, Elizabeth Moore Int Ctr Coral Reef Res &amp; Restorat, 24244 Overseas Highway, Summerland Key, FL 33042 USA; [Meeuwig, Jessica] Univ Western Australia, Ctr Marine Futures, Crawley, WA 6009, Australia</t>
  </si>
  <si>
    <t>University of Western Australia; University of Western Australia; University of Western Australia; Australian Institute of Marine Science; State University System of Florida; Florida International University; James Cook University; University of Queensland; University of Tasmania; James Cook University; Nova Southeastern University; Mote Marine Laboratory &amp; Aquarium; University of Western Australia</t>
  </si>
  <si>
    <t>Ferreira, LC (corresponding author), Univ Western Australia, Sch Biol Sci, Crawley, WA 6009, Australia.;Ferreira, LC (corresponding author), Univ Western Australia, Oceans Inst, Crawley, WA 6009, Australia.;Ferreira, LC (corresponding author), Univ Western Australia, Australian Inst Marine Sci, M096, Crawley, WA 6009, Australia.</t>
  </si>
  <si>
    <t>l.ferreira@aims.gov.au</t>
  </si>
  <si>
    <t>Holmes, Bonnie/AAZ-5413-2021; Vaudo, Jeremy/AAE-6613-2020; Nowicki, Rob/L-3862-2019; Heithaus, Michael/AAF-9914-2020; Thums, Michele/A-3850-2013</t>
  </si>
  <si>
    <t>Holmes, Bonnie/0000-0002-8559-9950; Vaudo, Jeremy/0000-0002-6826-3822; Nowicki, Rob/0000-0001-7337-2110; Heithaus, Michael/0000-0002-3219-1003; , Adam/0000-0001-7430-8428; Thums, Michele/0000-0002-8669-8440; Meeuwig, Jessica/0000-0003-1169-8785; Meekan, Mark/0000-0002-3067-9427; Cerqueira Ferreira, Luciana/0000-0001-6755-2799; abrantes, katya/0000-0001-8648-8817; Nowicki, Roman/0000-0003-4768-1387</t>
  </si>
  <si>
    <t>Royal Zoological Society of New South Wales; University of Western Australia; Australian Institute of Marine Science; Conselho Nacional de Desenvolvimento Cientifico e Tecnologico (CNPq, Brazil)</t>
  </si>
  <si>
    <t>Royal Zoological Society of New South Wales; University of Western Australia; Australian Institute of Marine Science; Conselho Nacional de Desenvolvimento Cientifico e Tecnologico (CNPq, Brazil)(Conselho Nacional de Desenvolvimento Cientifico e Tecnologico (CNPQ))</t>
  </si>
  <si>
    <t>Funding for this work was provided by the Royal Zoological Society of New South Wales through the Paddy Pallin Science Grant, the University of Western Australia, the Australian Institute of Marine Science, and the Conselho Nacional de Desenvolvimento Cientifico e Tecnologico (CNPq, Brazil). The authors also acknowledge Chris Fischer and the crew of the MV OCEARCH for the aid with logistics and field work, the Australian Animal Tracking and Monitoring System (AATAMS) for providing receiver data, and the Queensland Shark Control Program and the New South Wales Gamefishing Association for providing samples.</t>
  </si>
  <si>
    <t>AUG 9</t>
  </si>
  <si>
    <t>10.1038/s41598-017-07751-2</t>
  </si>
  <si>
    <t>FD1JK</t>
  </si>
  <si>
    <t>WOS:000407293400014</t>
  </si>
  <si>
    <t>Pattyn, F</t>
  </si>
  <si>
    <t>Pattyn, Frank</t>
  </si>
  <si>
    <t>Sea-level response to melting of Antarctic ice shelves on multi-centennial timescales with the fast Elementary Thermomechanical Ice Sheet model (f.ETISh v1.0)</t>
  </si>
  <si>
    <t>GROUNDING-LINE MIGRATION; PINE ISLAND GLACIER; WEST ANTARCTICA; STREAM-B; SELF-ORGANIZATION; BASAL MECHANICS; PISM-PIK; PART 1; FLOW; SENSITIVITY</t>
  </si>
  <si>
    <t>The magnitude of the Antarctic ice sheet's contribution to global sea-level rise is dominated by the potential of its marine sectors to become unstable and collapse as a response to ocean (and atmospheric) forcing. This paper presents Antarctic sea-level response to sudden atmospheric and oceanic forcings on multi-centennial timescales with the newly developed fast Elementary Thermomechanical Ice Sheet (f.ETISh) model. The f.ETISh model is a vertically integrated hybrid ice sheet-ice shelf model with vertically integrated thermomechanical coupling, making the model two-dimensional. Its marine boundary is represented by two different flux conditions, coherent with power-law basal sliding and Coulomb basal friction. The model has been compared to existing benchmarks. Modelled Antarctic ice sheet response to forcing is dominated by sub-ice shelf melt and the sensitivity is highly dependent on basal conditions at the grounding line. Coulomb friction in the grounding-line transition zone leads to significantly higher mass loss in both West and East Antarctica on centennial timescales, leading to 1.5 m sea-level rise after 500 years for a limited melt scenario of 10 m a(-1) under freely floating ice shelves, up to 6 m for a 50 m a(-1) scenario. The higher sensitivity is attributed to higher ice fluxes at the grounding line due to vanishing effective pressure. Removing the ice shelves altogether results in a disintegration of the West Antarctic ice sheet and (partially) marine basins in East Antarctica. After 500 years, this leads to a 5 m and a 16 m sea-level rise for the power-law basal sliding and Coulomb friction conditions at the grounding line, respectively. The latter value agrees with simulations by DeConto and Pollard (2016) over a similar period (but with different forcing and including processes of hydrofracturing and cliff failure). The chosen parametrizations make model results largely independent of spatial resolution so that f.ETISh can potentially be integrated in large-scale Earth system models.</t>
  </si>
  <si>
    <t>[Pattyn, Frank] Univ Libre Bruxelles, Lab Glaciol, Dept Geosci Environm &amp; Soc, Av FD Roosevelt 50, B-1050 Brussels, Belgium</t>
  </si>
  <si>
    <t>Universite Libre de Bruxelles</t>
  </si>
  <si>
    <t>Pattyn, F (corresponding author), Univ Libre Bruxelles, Lab Glaciol, Dept Geosci Environm &amp; Soc, Av FD Roosevelt 50, B-1050 Brussels, Belgium.</t>
  </si>
  <si>
    <t>fpattyn@ulb.ac.be</t>
  </si>
  <si>
    <t>Pattyn, Frank/0000-0003-4805-5636</t>
  </si>
  <si>
    <t>AUG 8</t>
  </si>
  <si>
    <t>10.5194/tc-11-1851-2017</t>
  </si>
  <si>
    <t>FD2AR</t>
  </si>
  <si>
    <t>WOS:000407338300001</t>
  </si>
  <si>
    <t>Borchhardt, N; Baum, C; Mikhailyuk, T; Karsten, U</t>
  </si>
  <si>
    <t>Borchhardt, Nadine; Baum, Christel; Mikhailyuk, Tatiana; Karsten, Ulf</t>
  </si>
  <si>
    <t>Biological Soil Crusts of Arctic Svalbard-Water Availability as Potential Controlling Factor for Microalgal Biodiversity</t>
  </si>
  <si>
    <t>chlorophyta; streptophyta; ochrophyta; precipitation; pH-value; soil properties; Spitsbergen</t>
  </si>
  <si>
    <t>DIFFERENT SUCCESSIONAL STAGES; MOLECULAR PHYLOGENY; GEN. NOV; COMMUNITY STRUCTURE; TAXONOMIC REVISION; VICTORIA LAND; GREEN-ALGAE; NY-ALESUND; CHLOROPHYTA; CHLORELLA</t>
  </si>
  <si>
    <t>In the present study the biodiversity of biological soil crusts (BSCs) formed by phototrophic organisms were investigated on Arctic Svalbard (Norway). These communities exert several important ecological functions and constitute a significant part of vegetation at high latitudes. Non-diatom eukaryotic microalgal species of BSCs from 20 sampling stations around Ny-angstrom lesund and Longyearbyen were identified by morphology using light microscopy, and the results revealed a high species richness with 102 species in total. 67 taxa belonged to Chlorophyta (31 Chlorophyceae and 36 Trebouxiophyceae), 13 species were Streptophyta (11 Klebsormidiophyceae and two Zygnematophyceae) and 22 species were Ochrophyta (two Eustigmatophyceae and 20 Xanthophyceae). Surprisingly, Klebsormidium strains belonging to Glade G (Streptophyta), which were so far described from Southern Africa, could be determined at 5 sampling stations. Furthermore, comparative analyses of Arctic and Antarctic BSCs were undertaken to outline differences in species composition. In addition, a pedological analysis of BSC samples included C, N, S, TP (total phosphorus), and pH measurements to investigate the influence of soil properties on species composition. No significant correlation with these chemical soil parameters was confirmed but the results indicated that pH might affect the BSCs. In addition, a statistically significant influence of precipitation on species composition was determined. Consequently, water availability was identified as one key driver for BSC biodiversity in Arctic regions.</t>
  </si>
  <si>
    <t>[Borchhardt, Nadine; Mikhailyuk, Tatiana; Karsten, Ulf] Univ Rostock, Inst Biol Sci, Appl Ecol &amp; Phycol, Rostock, Germany; [Baum, Christel] Univ Rostock, Fac Agr &amp; Environm Sci, Soil Sci, Rostock, Germany; [Mikhailyuk, Tatiana] Natl Acad Sci Ukraine, MH Kholodny Inst Bot, Dept Phycol Lichenol &amp; Bryol, Kiev, Ukraine</t>
  </si>
  <si>
    <t>University of Rostock; University of Rostock; National Academy of Sciences Ukraine; M.G. Kholodny Institute of Botany, NAS of Ukraine</t>
  </si>
  <si>
    <t>Borchhardt, N (corresponding author), Univ Rostock, Inst Biol Sci, Appl Ecol &amp; Phycol, Rostock, Germany.</t>
  </si>
  <si>
    <t>nadine.borchhardt@uni-rostock.de</t>
  </si>
  <si>
    <t>Baum, Christel/AAF-5352-2019; Mikhailyuk, Tatiana/AAC-1773-2020</t>
  </si>
  <si>
    <t>Baum, Christel/0000-0003-1179-2149</t>
  </si>
  <si>
    <t>DFG project Polarcrust of the Priority Program 1158 Antarctic Research (DFG: Deutsche Forschungsgemeinschaft) [KA899/23-1]</t>
  </si>
  <si>
    <t>DFG project Polarcrust of the Priority Program 1158 Antarctic Research (DFG: Deutsche Forschungsgemeinschaft)(German Research Foundation (DFG))</t>
  </si>
  <si>
    <t>This study was funded by the DFG project Polarcrust (KA899/23-1) in the frame of the Priority Program 1158 Antarctic Research (DFG: Deutsche Forschungsgemeinschaft).</t>
  </si>
  <si>
    <t>10.3389/fmicb.2017.01485</t>
  </si>
  <si>
    <t>FD0XH</t>
  </si>
  <si>
    <t>WOS:000407261500002</t>
  </si>
  <si>
    <t>Rhodes, RH; Yang, X; Wolff, E; McConnell, JR; Frey, MM</t>
  </si>
  <si>
    <t>Rhodes, Rachael H.; Yang, Xin; Wolff, Ericw.; McConnell, Joseph R.; Frey, Markus M.</t>
  </si>
  <si>
    <t>Sea ice as a source of sea salt aerosol to Greenland ice cores: a model-based study</t>
  </si>
  <si>
    <t>POLAR TROPOSPHERIC OZONE; MARINE BOUNDARY-LAYER; BLOWING SNOW; OPTICAL-PROPERTIES; IN-SITU; ANTARCTICA; PARAMETERIZATION; ACCUMULATION; PARTICLES; BROMINE</t>
  </si>
  <si>
    <t>Growing evidence suggests that the sea ice surface is an important source of sea salt aerosol and this has significant implications for polar climate and atmospheric chemistry. It also suggests the potential to use ice core sea salt records as proxies for past sea ice extent. To explore this possibility in the Arctic region, we use a chemical transport model to track the emission, transport, and deposition of sea salt from both the open ocean and the sea ice, allowing us to assess the relative importance of each. Our results confirm the importance of sea ice sea salt (SISS) to the winter Arctic aerosol burden. For the first time, we explicitly simulate the sea salt concentrations of Greenland snow, achieving values within a factor of two of Greenland ice core records. Our simulations suggest that SISS contributes to the winter maxima in sea salt characteristic of ice cores across Greenland. However, a north-south gradient in the contribution of SISS relative to open-ocean sea salt (OOSS) exists across Greenland, with 50% of winter sea salt being SISS at northern sites such as NEEM (77 degrees N), while only 10% of winter sea salt is SISS at southern locations such as ACT10C (66 degrees N). Our model shows some skill at reproducing the inter-annual variability in sea salt concentrations for 1991-1999, particularly at Summit where up to 62% of the variability is explained. Future work will involve constraining what is driving this inter-annual variability and operating the model under different palaeoclimatic conditions.</t>
  </si>
  <si>
    <t>[Rhodes, Rachael H.; Wolff, Ericw.] Univ Cambridge, Dept Earth Sci, Cambridge CB2 3EQ, England; [Yang, Xin; Frey, Markus M.] British Antarctic Survey, Nat Environm Res Council, Cambridge CB3 0ET, England; [McConnell, Joseph R.] Desert Res Inst, Div Hydrol Sci, Reno, NV 89512 USA</t>
  </si>
  <si>
    <t>University of Cambridge; UK Research &amp; Innovation (UKRI); Natural Environment Research Council (NERC); NERC British Antarctic Survey; Nevada System of Higher Education (NSHE); Desert Research Institute NSHE</t>
  </si>
  <si>
    <t>Rhodes, RH (corresponding author), Univ Cambridge, Dept Earth Sci, Cambridge CB2 3EQ, England.</t>
  </si>
  <si>
    <t>rhr34@cam.ac.uk</t>
  </si>
  <si>
    <t>Frey, Markus/G-1756-2012; Yang, Xin/AGB-3514-2022; Wolff, Eric W/D-7925-2014</t>
  </si>
  <si>
    <t>Frey, Markus/0000-0003-0535-0416; Yang, Xin/0000-0002-3838-9758; Wolff, Eric W/0000-0002-5914-8531; McConnell, Joseph/0000-0001-9051-5240; Rhodes, Rachael/0000-0001-7511-1969</t>
  </si>
  <si>
    <t>European Commission Horizon 2020 Marie Sklodowska-Curie Individual Fellowship [658120]; Royal Society Professorship; Natural Environment Research Council (UK) through BLOWSEA project [NE/J023051/1]; NSF Office of Polar Programs [021515, 0856845, 0909499, 1204176]; NASA [NAG512752, NAG04GI66G]; NSF grant [0968391]; NERC [NE/J023051/1, NE/J021172/1, NE/M005852/1, bas0100032] Funding Source: UKRI; Marie Curie Actions (MSCA) [658120] Funding Source: Marie Curie Actions (MSCA); Directorate For Geosciences; Office of Polar Programs (OPP) [1204176, 0909499, 0856845] Funding Source: National Science Foundation; Natural Environment Research Council [NE/M005852/1, bas0100032, NE/J021172/1] Funding Source: researchfish</t>
  </si>
  <si>
    <t>European Commission Horizon 2020 Marie Sklodowska-Curie Individual Fellowship; Royal Society Professorship(Royal Society); Natural Environment Research Council (UK) through BLOWSEA project; NSF Office of Polar Programs(National Science Foundation (NSF)); NASA(National Aeronautics &amp; Space Administration (NASA)); NSF grant(National Science Foundation (NSF)); NERC(UK Research &amp; Innovation (UKRI)Natural Environment Research Council (NERC)); Marie Curie Actions (MSCA)(Marie Curie Actions); Directorate For Geosciences; Office of Polar Programs (OPP)(National Science Foundation (NSF)NSF - Directorate for Geosciences (GEO)); Natural Environment Research Council(UK Research &amp; Innovation (UKRI)Natural Environment Research Council (NERC))</t>
  </si>
  <si>
    <t>This work was supported by a European Commission Horizon 2020 Marie Sklodowska-Curie Individual Fellowship (no. 658120, SEADOG) to Rachael H. Rhodes. Eric W. Wolff is supported by a Royal Society Professorship. Xin Yang and Markus Frey gratefully acknowledge financial support from Natural Environment Research Council (UK) through the BLOWSEA project (NE/J023051/1). We thank Wuhu Feng and Martin Chipperfield at University of Leeds for support in using ERA-Interim data and the ICT Unix team at the British Antarctic Survey for their help running p-TOMCAT. The Greenland ice cores were collected and analysed under numerous NSF Office of Polar Programs grants, including 021515, 0856845, 0909499, 0909499, and 1204176, as well as NASA grants NAG512752 and NAG04GI66G. This international collaboration was supported partially by NSF grant 0968391. We are grateful to the students, staff, and numerous collaborators of the Desert Research Institute ultra-trace ice core chemistry laboratory for help in collecting and analysing the ice cores.</t>
  </si>
  <si>
    <t>AUG 7</t>
  </si>
  <si>
    <t>10.5194/acp-17-9417-2017</t>
  </si>
  <si>
    <t>FD1XG</t>
  </si>
  <si>
    <t>gold, Green Accepted, Green Submitted</t>
  </si>
  <si>
    <t>WOS:000407329400004</t>
  </si>
  <si>
    <t>Muñoz, PA; Márquez, SL; González-Nilo, FD; Márquez-Miranda, V; Blamey, JM</t>
  </si>
  <si>
    <t>Munoz, Patricio A.; Marquez, Sebastian L.; Gonzalez-Nilo, Fernando D.; Marquez-Miranda, Valeria; Blamey, Jenny M.</t>
  </si>
  <si>
    <t>Structure and application of antifreeze proteins from Antarctic bacteria</t>
  </si>
  <si>
    <t>MICROBIAL CELL FACTORIES</t>
  </si>
  <si>
    <t>Antifreeze proteins; Antarctica; Psychrophiles; Frozen food; Ice binding proteins</t>
  </si>
  <si>
    <t>ICE-BINDING PROTEINS; FREEZING RESISTANCE; MOLECULAR-DYNAMICS; MECHANISM; ALGORITHM; SEQUENCE; VERSION; RATTLE; WATER; SHAKE</t>
  </si>
  <si>
    <t>Background: Antifreeze proteins (AFPs) production is a survival strategy of psychrophiles in ice. These proteins have potential in frozen food industry avoiding the damage in the structure of animal or vegetal foods. Moreover, there is not much information regarding the interaction of Antarctic bacterial AFPs with ice, and new determinations are needed to understand the behaviour of these proteins at the water/ice interface. Results: Different Antarctic places were screened for antifreeze activity and microorganisms were selected for the presence of thermal hysteresis in their crude extracts. Isolates GU1.7.1, GU3.1.1, and AFP5.1 showed higher thermal hysteresis and were characterized using a polyphasic approach. Studies using cucumber and zucchini samples showed cellular protection when samples were treated with partially purified AFPs or a commercial AFP as was determined using toluidine blue O and neutral red staining. Additionally, genome analysis of these isolates revealed the presence of genes that encode for putative AFPs. Deduced amino acids sequences from GU3.1.1 (gu3A and gu3B) and AFP5.1 (afp5A) showed high similarity to reported AFPs which crystal structures are solved, allowing then generating homology models. Modelled proteins showed a triangular prism form similar to beta-helix AFPs with a linear distribution of threonine residues at one side of the prism that could correspond to the putative ice binding side. The statistically best models were used to build a protein-water system. Molecular dynamics simulations were then performed to compare the antifreezing behaviour of these AFPs at the ice/water interface. Docking and molecular dynamics simulations revealed that gu3B could have the most efficient antifreezing behavior, but gu3A could have a higher affinity for ice. Conclusions: AFPs from Antarctic microorganisms GU1.7.1, GU3.1.1 and AFP5.1 protect cellular structures of frozen food showing a potential for frozen food industry. Modeled proteins possess a beta-helix structure, and molecular docking analysis revealed the AFP gu3B could be the most efficient AFPs in order to avoid the formation of ice crystals, even when gu3A has a higher affinity for ice. By determining the interaction of AFPs at the ice/water interface, it will be possible to understand the process of adaptation of psychrophilic bacteria to Antarctic ice.</t>
  </si>
  <si>
    <t>[Munoz, Patricio A.; Marquez, Sebastian L.; Blamey, Jenny M.] Fdn Cient &amp; Cultural Biociencia, Jose Domingo Canas 2280, Santiago, Chile; [Marquez, Sebastian L.; Blamey, Jenny M.] Univ Santiago Chile, Fac Quim &amp; Biol, Alameda 3363, Santiago, Chile; [Gonzalez-Nilo, Fernando D.; Marquez-Miranda, Valeria] Univ Andres Bello, Fac Ciencias Biol, Ctr Bioinformat &amp; Integrat Biol CBIB, Ave Republ 239, Santiago, Chile</t>
  </si>
  <si>
    <t>Universidad de Santiago de Chile; Universidad Andres Bello</t>
  </si>
  <si>
    <t>Blamey, JM (corresponding author), Fdn Cient &amp; Cultural Biociencia, Jose Domingo Canas 2280, Santiago, Chile.</t>
  </si>
  <si>
    <t>pmunoz@bioscience.cl; jblamey@bioscience.cl</t>
  </si>
  <si>
    <t>González-Nilo, Fernando/M-5671-2016; Marquez, Valeria/AAH-5041-2019; Blamey, Jenny M/M-2637-2014</t>
  </si>
  <si>
    <t>Marquez, Valeria/0000-0002-1231-6163; Blamey, Jenny M/0000-0002-7640-316X</t>
  </si>
  <si>
    <t>Instituto Antartico Chileno (INACH) [RT_17-13]</t>
  </si>
  <si>
    <t>Field Project RT_17-13 from Instituto Antartico Chileno (INACH).</t>
  </si>
  <si>
    <t>1475-2859</t>
  </si>
  <si>
    <t>MICROB CELL FACT</t>
  </si>
  <si>
    <t>Microb. Cell. Fact.</t>
  </si>
  <si>
    <t>10.1186/s12934-017-0737-2</t>
  </si>
  <si>
    <t>FC7ZX</t>
  </si>
  <si>
    <t>WOS:000407062400001</t>
  </si>
  <si>
    <t>Schwinger, J; Tjiputra, J; Goris, N; Six, KD; Kirkevåg, A; Seland, O; Heinze, C; Ilyina, T</t>
  </si>
  <si>
    <t>Schwinger, Jorg; Tjiputra, Jerry; Goris, Nadine; Six, Katharina D.; Kirkevag, Alf; Seland, Oyvind; Heinze, Christoph; Ilyina, Tatiana</t>
  </si>
  <si>
    <t>Amplification of global warming through pH dependence of DMS production simulated with a fully coupled Earth system model</t>
  </si>
  <si>
    <t>AEROSOL-CLIMATE INTERACTIONS; GENERAL-CIRCULATION MODEL; DIMETHYL-SULFIDE; OCEAN; CYCLE; CMIP5; PROJECTIONS; NORESM1-M; SULFUR</t>
  </si>
  <si>
    <t>We estimate the additional transient surface warming Delta T-s caused by a potential reduction of marine dimethyl sulfide (DMS) production due to ocean acidification under the high-emission scenario RCP8.5 until the year 2200. Since we use a fully coupled Earth system model, our results include a range of feedbacks, such as the response of marine DMS production to the additional changes in temperature and sea ice cover. Our results are broadly consistent with the findings of a previous study that employed an offline model set-up. Assuming a medium (strong) sensitivity of DMS production to pH, we find an additional transient global warming of 0.30K (0.47 K) towards the end of the 22nd century when DMS emissions are reduced by 7.3 Tg S yr(-1) or 31% (11.5 Tg S yr(-1) or 48 %). The main mechanism behind the additional warming is a reduction of cloud albedo, but a change in shortwave radiative fluxes under clear-sky conditions due to reduced sulfate aerosol load also contributes significantly. We find an approximately linear relationship between reduction of DMS emissions and changes in top of the atmosphere radiative fluxes as well as changes in surface temperature for the range of DMS emissions considered here. For example, global average T-s changes by-0.041K per 1 Tg S yr(-1) change in sea-air DMS fluxes. The additional warming in our model has a pronounced asymmetry between northern and southern high latitudes. It is largest over the Antarctic continent, where the additional temperature increase of 0.56K (0.89 K) is almost twice the global average. We find that feedbacks are small on the global scale due to opposing regional contributions. The most pronounced feed-back is found for the Southern Ocean, where we estimate that the additional climate change enhances sea-air DMS fluxes by about 9% (15 %), which counteracts the reduction due to ocean acidification.</t>
  </si>
  <si>
    <t>[Schwinger, Jorg; Tjiputra, Jerry; Goris, Nadine; Heinze, Christoph] Bjerknes Ctr Climate Res, Uni Res Climate, Bergen, Norway; [Six, Katharina D.; Ilyina, Tatiana] Max Planck Inst Meteorol, Hamburg, Germany; [Kirkevag, Alf; Seland, Oyvind] Norwegian Meteorol Inst, Oslo, Norway; [Heinze, Christoph] Univ Bergen, Geophys Inst, Bjerknes Ctr Climate Res, Bergen, Norway</t>
  </si>
  <si>
    <t>Bjerknes Centre for Climate Research; Max Planck Society; Norwegian Meteorological Institute; Bjerknes Centre for Climate Research; University of Bergen</t>
  </si>
  <si>
    <t>Schwinger, J (corresponding author), Bjerknes Ctr Climate Res, Uni Res Climate, Bergen, Norway.</t>
  </si>
  <si>
    <t>jorg.schwinger@uni.no</t>
  </si>
  <si>
    <t>Ilyina, Tatiana/ABE-9164-2020; Schwinger, Jörg/AAN-6573-2021; Tjiputra, Jerry/AAB-5896-2022</t>
  </si>
  <si>
    <t>Ilyina, Tatiana/0000-0002-3475-4842; Schwinger, Jörg/0000-0002-7525-6882; Goris, Nadine/0000-0002-0087-6534; Heinze, Christoph/0000-0003-4074-8390; Tjiputra, Jerry/0000-0002-4600-2453; Six, Katharina/0000-0002-4594-2793</t>
  </si>
  <si>
    <t>Research Council of Norway through EVA [229771]; Norwegian metacenter for computational science (NOTUR) [nn2345k]; Norwegian Storage Infrastructure (NorStore) [ns2345k]; Bjerknes Centre for Climate Research; National Science Foundation; Office of Science (BER) of the US Department of Energy</t>
  </si>
  <si>
    <t>Research Council of Norway through EVA(Research Council of Norway); Norwegian metacenter for computational science (NOTUR); Norwegian Storage Infrastructure (NorStore); Bjerknes Centre for Climate Research; National Science Foundation(National Science Foundation (NSF)); Office of Science (BER) of the US Department of Energy(United States Department of Energy (DOE))</t>
  </si>
  <si>
    <t>We thank David Archer and an anonymous reviewer for their helpful and constructive comments, which improved this paper. Jorg Schwinger, Jerry Tjiputra, Nadine Goris, Alf Kirkevag, and Oyvind Seland were supported by the Research Council of Norway through project EVA (229771). Supercomputer time and storage resources were provided by the Norwegian metacenter for computational science (NOTUR, project nn2345k), and the Norwegian Storage Infrastructure (NorStore, project ns2345k). This work was supported by the Bjerknes Centre for Climate Research. We gratefully acknowledge the CESM project, which is supported by the National Science Foundation and the Office of Science (BER) of the US Department of Energy.</t>
  </si>
  <si>
    <t>AUG 4</t>
  </si>
  <si>
    <t>10.5194/bg-14-3633-2017</t>
  </si>
  <si>
    <t>FC7EN</t>
  </si>
  <si>
    <t>WOS:000407004100001</t>
  </si>
  <si>
    <t>Koo, H; Mojib, N; Hakim, JA; Hawes, I; Tanabe, Y; Andersen, DT; Bej, AK</t>
  </si>
  <si>
    <t>Koo, Hyunmin; Mojib, Nazia; Hakim, Joseph A.; Hawes, Ian; Tanabe, Yukiko; Andersen, Dale T.; Bej, Asim K.</t>
  </si>
  <si>
    <t>Microbial Communities and Their Predicted Metabolic Functions in Growth Laminae of a Unique Large Conical Mat from Lake Untersee, East Antarctica</t>
  </si>
  <si>
    <t>East Antarctica; cyanobacteria; heterotrophic bacteria; mat lamina; QIIME; PICRUSt</t>
  </si>
  <si>
    <t>RIBOSOMAL-RNA SEQUENCES; MCMURDO DRY VALLEYS; DRONNING MAUD LAND; BACTERIAL DIVERSITY; METAGENOMIC ANALYSIS; ENVIRONMENTAL-CHANGE; STROMATOLITES; GENES; ECOLOGY; ACTINOBACTERIA</t>
  </si>
  <si>
    <t>In this study, we report the distribution of microbial taxa and their predicted metabolic functions observed in the top (U1), middle (U2), and inner (U3) decadal growth laminae of a unique large conical microbial mat from perennially ice-covered Lake Untersee of East Antarctica, using NextGen sequencing of the 16S rRNA gene and bioinformatics tools. The results showed that the U1 lamina was dominated by cyanobacteria, specifically Phormidium sp., Leptolyngbya sp., and Pseudanabaena sp. The U2 and U3 laminae had high abundances of Actinobacteria, Verrucomicrobia, Proteobacteria, and Bacteroidetes. Closely related taxa within each abundant bacterial taxon found in each lamina were further differentiated at the highest taxonomic resolution using the oligotyping method. PICRUSt analysis, which determines predicted KEGG functional categories from the gene contents and abundances among microbial communities, revealed a high number of sequences belonging to carbon fixation, energy metabolism, cyanophycin, chlorophyll, and photosynthesis proteins in the U1 lamina. The functional predictions of the microbial communities in U2 and U3 represented signal transduction, membrane transport, zinc transport and amino acid-, carbohydrate-, and arsenic-metabolisms. The Nearest Sequenced Taxon Index (NSTI) values processed through PICRUSt were 0.10, 0.13, and 0.11 for U1, U2, and U3 laminae, respectively. These values indicated a close correspondence with the reference microbial genome database, implying high confidence in the predicted metabolic functions of the microbial communities in each lamina. The distribution of microbial taxa observed in each lamina and their predicted metabolic functions provides additional insight into the complex microbial ecosystem at Lake Untersee, and lays the foundation for studies that will enhance our understanding of the mechanisms responsible for the formation of these unique mat structures and their evolutionary significance.</t>
  </si>
  <si>
    <t>[Koo, Hyunmin; Mojib, Nazia; Hakim, Joseph A.; Bej, Asim K.] Univ Alabama Birmingham, Dept Biol, Birmingham, AL 35294 USA; [Hawes, Ian] Univ Canterbury, Gateway Antarctica, Christchurch, New Zealand; [Tanabe, Yukiko] Natl Inst Polar Res, Tachikawa, Tokyo, Japan; [Andersen, Dale T.] SETI Inst, Carl Sagan Ctr, Mountain View, CA 94043 USA; [Mojib, Nazia] Georgia Inst Technol, Sch Biol Sci, Atlanta, GA 30332 USA</t>
  </si>
  <si>
    <t>University of Alabama System; University of Alabama Birmingham; University of Canterbury; Research Organization of Information &amp; Systems (ROIS); National Institute of Polar Research (NIPR) - Japan; University System of Georgia; Georgia Institute of Technology</t>
  </si>
  <si>
    <t>Bej, AK (corresponding author), Univ Alabama Birmingham, Dept Biol, Birmingham, AL 35294 USA.;Andersen, DT (corresponding author), SETI Inst, Carl Sagan Ctr, Mountain View, CA 94043 USA.</t>
  </si>
  <si>
    <t>dandersen@seti.org; abej@uab.edu</t>
  </si>
  <si>
    <t>Andersen, Dale T/B-4816-2013</t>
  </si>
  <si>
    <t>Andersen, Dale T/0000-0001-8827-1259; Koo, Hyunmin/0000-0001-6630-2165; Hawes, Ian/0000-0003-2471-6903</t>
  </si>
  <si>
    <t>Tawani Foundation of Chicago [6803099]; Trottier Family Foundation; NASA's Exobiology and Astrobiology Programs [NNX08AO19G]; Arctic and Antarctic Research Institute/Russian Antarctic Expedition; Grants-in-Aid for Scientific Research [16H05885] Funding Source: KAKEN; NASA [97030, NNX08AO19G] Funding Source: Federal RePORTER</t>
  </si>
  <si>
    <t>Tawani Foundation of Chicago; Trottier Family Foundation; NASA's Exobiology and Astrobiology Programs; Arctic and Antarctic Research Institute/Russian Antarctic Expedition; Grants-in-Aid for Scientific Research(Ministry of Education, Culture, Sports, Science and Technology, Japan (MEXT)Japan Society for the Promotion of ScienceGrants-in-Aid for Scientific Research (KAKENHI)); NASA(National Aeronautics &amp; Space Administration (NASA))</t>
  </si>
  <si>
    <t>Primary support for this research was provided by the Tawani Foundation of Chicago (6803099), the Trottier Family Foundation, NASA's Exobiology and Astrobiology Programs (NNX08AO19G), and the Arctic and Antarctic Research Institute/Russian Antarctic Expedition.</t>
  </si>
  <si>
    <t>10.3389/fmicb.2017.01347</t>
  </si>
  <si>
    <t>FC6JE</t>
  </si>
  <si>
    <t>WOS:000406945500001</t>
  </si>
  <si>
    <t>Stec, D; Zawierucha, K; Michalczyk, L</t>
  </si>
  <si>
    <t>Stec, Daniel; Zawierucha, Krzysztof; Michalczyk, Lukasz</t>
  </si>
  <si>
    <t>An integrative description of Ramazzottius subanomalus (Biserov, 1985) (Tardigrada) from Poland</t>
  </si>
  <si>
    <t>18S rRNA; 28S rRNA; COI; buccal apparatus; egg variability; Ramazzottius anomalus; SEM</t>
  </si>
  <si>
    <t>MACROBIOTIDAE HUFELANDI GROUP; MOLECULAR PHYLOGENY; MILNESIUM DOYERE; EUTARDIGRADA; DNA; HYPSIBIIDAE; VARIABILITY; BERTOLANI; ALIGNMENT; REBECCHI</t>
  </si>
  <si>
    <t>A population of Ramazzottius subanomalus (Biserov, 1985) was found in a moss sample collected from concrete wall in Poznan, western Poland. Animals were prepared for light and scanning electron microscopy and for DNA sequencing to provide an integrative description of the species that was originally described only by means of classical alpha taxonomy. As a result of our studies, we provide the first ever SEM photomicrographs of Ramazzottius subanomalus individuals and their buccal apparatuses. Additionally, we present new DNA sequences as well as new morphometric data for R. subanomalus. The molecular data comprise sequences for three DNA fragments, one mitochondrial (COI) and two nuclear (18S rRNA and 28S rRNA). As a result of being able to analyse a considerable number of animals and eggs, our study has expanded some of R. subanomalus morphometric traits ranges; compared with those provided in the original description. The spine-shaped egg processes as well as qualitative and quantitative characters of adults show R. subanomalus is most similar to Ramazzottius anomalus (Ramazzotti, 1962). However, our study has shown that R. subanomalus differs from R. anomalus by the lack of fine granulation on eggshell surface as well as by three other morphometric characters: longer buccal tube and two aspects of the placoids. We also discuss the validity of the R. anomalus record in Poland in the light of our findings. Finally, we show that the extreme eggshell variability in this species is observed both in natural and laboratory environments.</t>
  </si>
  <si>
    <t>[Stec, Daniel; Michalczyk, Lukasz] Jagiellonian Univ, Inst Zool &amp; Biomed Res, Gronostajowa 9, PL-30387 Krakow, Poland; [Zawierucha, Krzysztof] Adam Mickiewicz Univ, Dept Anim Taxon &amp; Ecol, Fac Biol, Umultowska 89, PL-61614 Poznan, Poland; [Zawierucha, Krzysztof] Acad Sci Czech Republ, Inst Anim Physiol &amp; Genet, Lab Fish Genet, Rumburska 89, Libechov 27721, Czech Republic</t>
  </si>
  <si>
    <t>Jagiellonian University; Adam Mickiewicz University; Czech Academy of Sciences; Institute of Animal Physiology &amp; Genetics of the Czech Academy of Sciences</t>
  </si>
  <si>
    <t>Michalczyk, L (corresponding author), Jagiellonian Univ, Inst Zool &amp; Biomed Res, Gronostajowa 9, PL-30387 Krakow, Poland.</t>
  </si>
  <si>
    <t>LM@tardigrada.net</t>
  </si>
  <si>
    <t>Stec, Daniel/AAL-3532-2020; Zawierucha, Krzysztof/HTP-6506-2023; Zawierucha, Krzysztof/HDN-5985-2022; Michalczyk, Lukasz/D-1362-2009</t>
  </si>
  <si>
    <t>Zawierucha, Krzysztof/0000-0002-0754-1411; Michalczyk, Lukasz/0000-0002-2912-4870; Stec, Daniel/0000-0001-6876-0717</t>
  </si>
  <si>
    <t>European Commission's (FP 6) Integrated Infrastructure Initiative programme SYNTHESYS [DK-TAF-2510]; Homing Plus programme of the Foundation for Polish Science (FNP); European Union's Regional Development Fund (grant Species delimitation-combining morphometric, molecular and experimental approaches); European Regional Development Fund [POIG.02.01.00-12-023/08]; Academy of Sciences of the Czech Republic [RVO 67985904]</t>
  </si>
  <si>
    <t>European Commission's (FP 6) Integrated Infrastructure Initiative programme SYNTHESYS(European Union (EU)European Commission Joint Research Centre); Homing Plus programme of the Foundation for Polish Science (FNP); European Union's Regional Development Fund (grant Species delimitation-combining morphometric, molecular and experimental approaches); European Regional Development Fund(European Union (EU)); Academy of Sciences of the Czech Republic(Czech Academy of Sciences)</t>
  </si>
  <si>
    <t>We would like to thank Sandra McInnes (British Antarctic Survey, UK), Lukasz Kaczmarek (Adam Mickiewicz University, Poland) and two anonymous reviewers for their valuable comments on the manuscript. LM is grateful to Jette Eibye-Jacobsen (University of Copenhagen, Denmark) who showed him the sodium hypochlorite extraction method during his scientific visit at the Natural History Museum in Copenhagen funded by the European Commission's (FP 6) Integrated Infrastructure Initiative programme SYNTHESYS (grant no. DK-TAF-2510 to LM). We are also grateful to Marta Ostrowska (Adam Mickiewicz University) who collected and sent us the moss sample. We are especially grateful to Roberto Bertolani and Matteo Vecchi (University in Modena) who kindly sent us the photos of type specimens of R. subanomalus and R. anomalus, deposited in the Natural History Museum of Verona (Italy). The study was financed within the Homing Plus programme of the Foundation for Polish Science (FNP), co-funded by the European Union's Regional Development Fund (grant Species delimitation-combining morphometric, molecular and experimental approaches to LM). The research was carried out partially with the equipment purchased thanks to the financial support of the European Regional Development Fund in the framework of the Polish Innovation Economy Operational Program (contract no. POIG.02.01.00-12-023/08). K.Z. was supported by the Academy of Sciences of the Czech Republic (project no. RVO 67985904).</t>
  </si>
  <si>
    <t>250F Marua Road Mt Wellington, AUCKLAND, ST LUKES 1023, NEW ZEALAND</t>
  </si>
  <si>
    <t>AUG 3</t>
  </si>
  <si>
    <t>10.11646/zootaxa.4300.3.4</t>
  </si>
  <si>
    <t>FC4AP</t>
  </si>
  <si>
    <t>WOS:000406781100004</t>
  </si>
  <si>
    <t>Tamsitt, V; Drake, HF; Morrison, AK; Talley, LD; Dufour, CO; Gray, AR; Griffies, SM; Mazloff, MR; Sarmiento, JL; Wang, JB; Weijer, W</t>
  </si>
  <si>
    <t>Tamsitt, Veronica; Drake, Henri F.; Morrison, Adele K.; Talley, Lynne D.; Dufour, Carolina O.; Gray, Alison R.; Griffies, Stephen M.; Mazloff, Matthew R.; Sarmiento, Jorge L.; Wang, Jinbo; Weijer, Wilbert</t>
  </si>
  <si>
    <t>Spiraling pathways of global deep waters to the surface of the Southern Ocean</t>
  </si>
  <si>
    <t>ANTARCTIC CIRCUMPOLAR CURRENT; MERIDIONAL OVERTURNING CIRCULATION; TOTAL GEOSTROPHIC CIRCULATION; CONVEYOR BELT; ANTHROPOGENIC CARBON; CLIMATE SIMULATION; MESOSCALE EDDIES; TASMAN LEAKAGE; FLOW PATTERNS; PACIFIC-OCEAN</t>
  </si>
  <si>
    <t>Upwelling of global deep waters to the sea surface in the Southern Ocean closes the global overturning circulation and is fundamentally important for oceanic uptake of carbon and heat, nutrient resupply for sustaining oceanic biological production, and the melt rate of ice shelves. However, the exact pathways and role of topography in Southern Ocean upwelling remain largely unknown. Here we show detailed upwelling pathways in three dimensions, using hydrographic observations and particle tracking in high-resolution models. The analysis reveals that the northern-sourced deep waters enter the Antarctic Circumpolar Current via southward flow along the boundaries of the three ocean basins, before spiraling southeastward and upward through the Antarctic Circumpolar Current. Upwelling is greatly enhanced at five major topographic features, associated with vigorous mesoscale eddy activity. Deep water reaches the upper ocean predominantly south of the Antarctic Circumpolar Current, with a spatially nonuniform distribution. The timescale for half of the deep water to upwell from 30 degrees S to the mixed layer is similar to 60-90 years.</t>
  </si>
  <si>
    <t>[Tamsitt, Veronica; Talley, Lynne D.; Mazloff, Matthew R.] Scripps Inst Oceanog, La Jolla, CA 92093 USA; [Drake, Henri F.; Morrison, Adele K.; Dufour, Carolina O.; Gray, Alison R.; Sarmiento, Jorge L.] Princeton Univ, Princeton, NJ 08544 USA; [Griffies, Stephen M.] Geophys Fluid Dynam Lab, Princeton, NJ 08540 USA; [Wang, Jinbo] CALTECH, Jet Prop Lab, 4800 Oak Grove Dr, Pasadena, CA 91109 USA; [Weijer, Wilbert] Los Alamos Natl Lab, Los Alamos, NM 87545 USA; [Drake, Henri F.] MIT, 77 Massachusetts Ave, Cambridge, MA 02139 USA; [Drake, Henri F.] Woods Hole Oceanog Inst Joint Program Oceanog, Cambridge, MA USA; [Morrison, Adele K.] Australian Natl Univ, Canberra, ACT 2602, Australia</t>
  </si>
  <si>
    <t>University of California System; University of California San Diego; Scripps Institution of Oceanography; Princeton University; National Oceanic Atmospheric Admin (NOAA) - USA; California Institute of Technology; National Aeronautics &amp; Space Administration (NASA); NASA Jet Propulsion Laboratory (JPL); United States Department of Energy (DOE); Los Alamos National Laboratory; Massachusetts Institute of Technology (MIT); Australian National University</t>
  </si>
  <si>
    <t>Tamsitt, V (corresponding author), Scripps Inst Oceanog, La Jolla, CA 92093 USA.</t>
  </si>
  <si>
    <t>vtamsitt@ucsd.edu</t>
  </si>
  <si>
    <t>Mazloff, Matthew/AAG-6463-2019; Weijer, Wilbert/AAT-3247-2021; Tamsitt, Veronica/U-1838-2019; Weijer, Wilbert/A-7909-2010; Dufour, Carolina/GZA-9986-2022; Griffies, Stephen Matthew/N-9144-2019; Tamsitt, Veronica/M-4271-2019; Wang, Jinbo/H-1174-2015; Drake, Henri/AAF-4602-2020; Morrison, Adele/C-1774-2012</t>
  </si>
  <si>
    <t>Mazloff, Matthew/0000-0002-1650-5850; Weijer, Wilbert/0000-0002-5654-562X; Weijer, Wilbert/0000-0002-5654-562X; Dufour, Carolina/0000-0002-1441-3880; Griffies, Stephen Matthew/0000-0002-3711-236X; Wang, Jinbo/0000-0001-5034-5566; Drake, Henri/0000-0003-0135-0814; Talley, Lynne/0000-0003-1574-729X; Gray, Alison/0000-0002-1644-7654; Morrison, Adele/0000-0002-9904-4980; Tamsitt, Veronica/0000-0001-8816-2239</t>
  </si>
  <si>
    <t>NSF [OCE-1357072, OCE-1234473]; RGCM program of the US Department of Energy [DE-SC0012457]; NSF's Southern Ocean Carbon and Climate Observations and Modeling project [NSF PLR-1425989]; National Aeronautics and Space Administration (NASA) [NNX14AL40G]; Princeton Environmental Institute Grand Challenge initiative; Climate and Global Change Postdoctoral Fellowship from the National Oceanic and Atmospheric Administration (NOAA); NOAA/GFDL; NSF XSEDE resource grant [OCE130007]; Directorate For Geosciences; Division Of Ocean Sciences [1357072, 1234473] Funding Source: National Science Foundation; U.S. Department of Energy (DOE) [DE-SC0012457] Funding Source: U.S. Department of Energy (DOE)</t>
  </si>
  <si>
    <t>NSF(National Science Foundation (NSF)); RGCM program of the US Department of Energy; NSF's Southern Ocean Carbon and Climate Observations and Modeling project; National Aeronautics and Space Administration (NASA)(National Aeronautics &amp; Space Administration (NASA)); Princeton Environmental Institute Grand Challenge initiative; Climate and Global Change Postdoctoral Fellowship from the National Oceanic and Atmospheric Administration (NOAA); NOAA/GFDL(National Oceanic Atmospheric Admin (NOAA) - USA); NSF XSEDE resource grant; Directorate For Geosciences; Division Of Ocean Sciences(National Science Foundation (NSF)NSF - Directorate for Geosciences (GEO)); U.S. Department of Energy (DOE)(United States Department of Energy (DOE))</t>
  </si>
  <si>
    <t>V.T., L.D.T., and M.R.M. were supported by NSF OCE-1357072. A.K.M., H.F.D., and W.W. were supported by the RGCM program of the US Department of Energy under Contract DE-SC0012457. J.L.S. acknowledges NSF's Southern Ocean Carbon and Climate Observations and Modeling project under NSF PLR-1425989, which partially supported L.D.T. and M.R.M. as well. C.O.D was supported by the National Aeronautics and Space Administration (NASA) under Award NNX14AL40G and by the Princeton Environmental Institute Grand Challenge initiative. A.R.G. was supported by a Climate and Global Change Postdoctoral Fellowship from the National Oceanic and Atmospheric Administration (NOAA). S.M.G. acknowledges the ongoing support of NOAA/GFDL for high-end ocean and climate-modeling activities. J.W. acknowledges support from NSF OCE-1234473 and declare that this work was done as a private venture and not in the author's capacity as an employee of the Jet Propulsion Laboratory, California Institute of Technology. Computational resources for the SOSE were provided by NSF XSEDE resource grant OCE130007. Output from the ASD run of CESM was made available by J. Small (NCAR) and colleagues. We thank Alejandro Orsi for the gridded hydrographic observations, Stu Bishop for providing processed CESM output, and Ryan Abernathey, Haidi Chen, and Nathaniel Tarshish for useful discussions on the manuscript.</t>
  </si>
  <si>
    <t>AUG 2</t>
  </si>
  <si>
    <t>10.1038/s41467-017-00197-0</t>
  </si>
  <si>
    <t>FC4BL</t>
  </si>
  <si>
    <t>WOS:000406783400001</t>
  </si>
  <si>
    <t>Caffee, MW; Herzog, GF; Jull, AJT; Nishiizumi, K; Welten, KC</t>
  </si>
  <si>
    <t>Caffee, M. W.; Herzog, G. F.; Jull, A. J. T.; Nishiizumi, K.; Welten, K. C.</t>
  </si>
  <si>
    <t>COSMOGENIC NUCLIES IN ANTARCTIC METEORITES: OPPORTUNITIES AND DIRECTIONS.</t>
  </si>
  <si>
    <t>80th Annual Meeting of the Meteoritical-Society</t>
  </si>
  <si>
    <t>JUL 23-28, 2017</t>
  </si>
  <si>
    <t>Santa Fe, NM</t>
  </si>
  <si>
    <t>[Caffee, M. W.] Purdue Univ, Dept Phys &amp; Astron, W Lafayette, IN 47907 USA; [Herzog, G. F.] Rutgers State Univ, Dept Chem &amp; Chem Biol, Piscataway, NJ 08854 USA; [Jull, A. J. T.] Univ Arizona, Dept Geosci, Tucson, AZ 85721 USA; [Jull, A. J. T.] Univ Arizona, Dept Phys, Tucson, AZ 85721 USA; [Jull, A. J. T.] Inst Nucl Res, H-4026 Debrecen, Hungary; [Nishiizumi, K.; Welten, K. C.] Univ Calif Berkeley, Space Sci Lab, Berkeley, CA 94720 USA</t>
  </si>
  <si>
    <t>Purdue University System; Purdue University; Rutgers University System; Rutgers University New Brunswick; University of Arizona; University of Arizona; Hungarian Academy of Sciences; Hungarian Research Network; HUN-REN Institute for Nuclear Research; University of California System; University of California Berkeley</t>
  </si>
  <si>
    <t>mcaffee@purdue.edu; Herzog@chem.rutgers.edu; jull@email.arizona.edu; kuni@ssl.berkeley.edu; kcwelten@ssl.berkeley.edu</t>
  </si>
  <si>
    <t>NASA; NSF; Smithsonian</t>
  </si>
  <si>
    <t>NASA(National Aeronautics &amp; Space Administration (NASA)); NSF(National Science Foundation (NSF)); Smithsonian(Smithsonian Institution)</t>
  </si>
  <si>
    <t>Investigations of Antarctic meteorites would not have been possible without unflagging financial and technical support from the entire ANSMET team: NASA, NSF, and the Smithsonian.</t>
  </si>
  <si>
    <t>AUG</t>
  </si>
  <si>
    <t>A41</t>
  </si>
  <si>
    <t>FQ7OV</t>
  </si>
  <si>
    <t>WOS:000418552900042</t>
  </si>
  <si>
    <t>Corrigan, CM; Gooding, T; Anders, C; Mccoy, TJ; Lunning, NG; Hoskin, CJ</t>
  </si>
  <si>
    <t>Corrigan, C. M.; Gooding, T.; Anders, C.; Mccoy, T. J.; Lunning, N. G.; Hoskin, C. J.</t>
  </si>
  <si>
    <t>A NEW METHOD OF CLASSIFICATION OF US ANTARCTIC ORDINARY CHONDRITES.</t>
  </si>
  <si>
    <t>[Corrigan, C. M.; Gooding, T.; Anders, C.; Mccoy, T. J.; Lunning, N. G.; Hoskin, C. J.] Smithsonian Inst, Dept Mineral Sci, Natl Museum Nat Hist, 10th St &amp; Constitut Ave NW, Washington, DC 20560 USA</t>
  </si>
  <si>
    <t>Smithsonian Institution; Smithsonian National Museum of Natural History</t>
  </si>
  <si>
    <t>corriganc@si.edu</t>
  </si>
  <si>
    <t>Hoskin, Conrad J/A-8407-2012</t>
  </si>
  <si>
    <t>A57</t>
  </si>
  <si>
    <t>WOS:000418552900058</t>
  </si>
  <si>
    <t>Corrigan, CM; Welzenbach, LC; Righter, K; McBride, K; Mccoy, TJ; Harvey, RP; Satterwhite, C; Hoskin, CJ</t>
  </si>
  <si>
    <t>Corrigan, C. M.; Welzenbach, L. C.; Righter, K.; McBride, K.; Mccoy, T. J.; Harvey, R. P.; Satterwhite, C.; Hoskin, C. J.</t>
  </si>
  <si>
    <t>A STATISTICAL LOOK AT 40 YEARS OF US ANTARCTIC METEORITES.</t>
  </si>
  <si>
    <t>H CHONDRITES; MODERN FALLS; MASS; DISTRIBUTIONS; FINDS</t>
  </si>
  <si>
    <t>[Corrigan, C. M.; Mccoy, T. J.; Hoskin, C. J.] Smithsonian Inst, Natl Museum Amer Hist, Dept Mineral Sci, 10th St &amp; Constitut Ave NW, Washington, DC 20560 USA; [Welzenbach, L. C.] Rice Univ, Dept Earth Env &amp; Planetary Sci, MS-126, Houston, TX 77005 USA; [Righter, K.] NASA, Johnson Space Ctr, Astromat Curat, 2101 NASA Pkwy,Mail Code WI2, Houston, TX 77058 USA; [McBride, K.; Satterwhite, C.] 2101 NASA Pkwy,Mail Code WI2, Houston, TX 77058 USA; [Harvey, R. P.] Case Western Reserve Univ, Dept Earth Env &amp; Planetary Sci, 112 AW Smith Bldg, Cleveland, OH 44106 USA</t>
  </si>
  <si>
    <t>Smithsonian Institution; Smithsonian National Museum of Natural History; Rice University; National Aeronautics &amp; Space Administration (NASA); NASA Johnson Space Center; University System of Ohio; Case Western Reserve University</t>
  </si>
  <si>
    <t>A58</t>
  </si>
  <si>
    <t>WOS:000418552900059</t>
  </si>
  <si>
    <t>Englert, P; Bishop, JL; Sutter, B; Gibson, EK; Koeberl, C</t>
  </si>
  <si>
    <t>Englert, P.; Bishop, J. L.; Sutter, B.; Gibson, E. K.; Koeberl, C.</t>
  </si>
  <si>
    <t>WEATHERING AND SALT ACCUMULATION AT DON JUAN AND DON QUIXOTE PONDS IN THE ANTARCTIC DRY VALLEYS AS AN ANALOGUE FOR ALTERATION AT MARS</t>
  </si>
  <si>
    <t>[Englert, P.] Univ Hawaii, Honolulu, HI 96822 USA; [Bishop, J. L.] SETI Inst, Mountain View, CA USA; [Sutter, B.] NASA JSC, Jacobs Technol, Houston, TX USA; [Gibson, E. K.] NASA JSC, Houston, TX USA; [Koeberl, C.] Nat Hist Museum, London, England; [Koeberl, C.] Univ Vienna, Vienna, Austria</t>
  </si>
  <si>
    <t>University of Hawaii System; National Aeronautics &amp; Space Administration (NASA); NASA Johnson Space Center; National Aeronautics &amp; Space Administration (NASA); NASA Johnson Space Center; Natural History Museum London; University of Vienna</t>
  </si>
  <si>
    <t>penglert@hawaii.edu</t>
  </si>
  <si>
    <t>A82</t>
  </si>
  <si>
    <t>WOS:000418552900083</t>
  </si>
  <si>
    <t>Harvey, RP</t>
  </si>
  <si>
    <t>Harvey, R. P.</t>
  </si>
  <si>
    <t>THE EVOLUTION OF ANSMET: HOW IDEAS ABOUT THE RECOVERY, CONCENTRATION AND SIGNIFICANCE OF ANTARCTIC METEORITES HAVE CHANGED OVER FOUR DECADES.</t>
  </si>
  <si>
    <t>[Harvey, R. P.] Case Western Reserve Univ, Dept Earth Environm &amp; Planetary Sci, Cleveland, OH 44106 USA</t>
  </si>
  <si>
    <t>University System of Ohio; Case Western Reserve University</t>
  </si>
  <si>
    <t>rph@case.edu</t>
  </si>
  <si>
    <t>A130</t>
  </si>
  <si>
    <t>WOS:000418552900131</t>
  </si>
  <si>
    <t>Harvey, RP; Righter, M; Karner, JM; Hynek, B; Keller, L; Meshik, A; Mittlefehldt, DW; Radebaugh, J; Rougeux, B; Schutt, J</t>
  </si>
  <si>
    <t>Harvey, R. P.; Righter, M.; Karner, J. M.; Hynek, B.; Keller, L.; Meshik, A.; Mittlefehldt, D. W.; Radebaugh, J.; Rougeux, B.; Schutt, J.</t>
  </si>
  <si>
    <t>IN SITU THERMAL IMAGERY OF ANTARCTIC METEORITES AND THEIR STABILITY ON THE ICE SURFACE.</t>
  </si>
  <si>
    <t>[Harvey, R. P.; Karner, J. M.; Rougeux, B.; Schutt, J.] Case Western Reserve Univ, Dept Earth Environm &amp; Planetary Sci, Cleveland, OH 44106 USA; [Righter, M.] Univ Houston, Dept Earth &amp; Atmospher Sci, Houston, TX 77204 USA; [Hynek, B.] Univ Colorado, LASP, Boulder, CO 80303 USA; [Keller, L.; Mittlefehldt, D. W.] NASA, ARES, JSC, Houston, TX 77058 USA; [Meshik, A.] Washington Univ, Dept Phys, St Louis, MO 63130 USA; [Radebaugh, J.] Brigham Young Univ, Dept Geol Sci, Provo, UT 84602 USA</t>
  </si>
  <si>
    <t>University System of Ohio; Case Western Reserve University; University of Houston System; University of Houston; University of Colorado System; University of Colorado Boulder; National Aeronautics &amp; Space Administration (NASA); NASA Johnson Space Center; Washington University (WUSTL); Brigham Young University</t>
  </si>
  <si>
    <t>Mittlefehldt, David/JUV-2877-2023</t>
  </si>
  <si>
    <t>Righter, Minako/0000-0002-9299-9733</t>
  </si>
  <si>
    <t>A131</t>
  </si>
  <si>
    <t>WOS:000418552900132</t>
  </si>
  <si>
    <t>Komatsu, M; Fagan, TJ; Yamaguchi, A; Mikouchi, T; Yasutake, M; Zolensky, ME</t>
  </si>
  <si>
    <t>Komatsu, M.; Fagan, T. J.; Yamaguchi, A.; Mikouchi, T.; Yasutake, M.; Zolensky, M. E.</t>
  </si>
  <si>
    <t>Amoeboid Olivine Aggregates in Antarctic CR Chondrites: Petrologic Variations Among CR Chondrites</t>
  </si>
  <si>
    <t>CARBONACEOUS CHONDRITES; AQUEOUS ALTERATION</t>
  </si>
  <si>
    <t>[Komatsu, M.; Yamaguchi, A.; Yasutake, M.] SOKENDAI, Hayama, Kanagawa, Japan; [Komatsu, M.; Fagan, T. J.] Waseda Univ, Dept Earth Sci, Tokyo, Japan; [Yamaguchi, A.; Yasutake, M.] NIPR, Tachikawa, Tokyo, Japan; [Mikouchi, T.] Univ Tokyo, Dept Earth &amp; Planetary Sci, Tokyo, Japan; [Zolensky, M. E.] NASA Johnson Space Ctr, ARES, Houston, TX USA</t>
  </si>
  <si>
    <t>Graduate University for Advanced Studies - Japan; Waseda University; Research Organization of Information &amp; Systems (ROIS); National Institute of Polar Research (NIPR) - Japan; University of Tokyo; National Aeronautics &amp; Space Administration (NASA); NASA Johnson Space Center</t>
  </si>
  <si>
    <t>komatsu_mutsumi@soken.ac.jp</t>
  </si>
  <si>
    <t>Mikouchi, Takashi/AAY-7355-2021; Komatsu, Mutsumi/N-9483-2019; Komatsu, Mutsumi/O-7971-2018</t>
  </si>
  <si>
    <t>Komatsu, Mutsumi/0000-0003-4659-8418;</t>
  </si>
  <si>
    <t>A174</t>
  </si>
  <si>
    <t>WOS:000418552900175</t>
  </si>
  <si>
    <t>Righter, K; Satterwhite, CE; Funk, RC; Harrington, R</t>
  </si>
  <si>
    <t>Righter, K.; Satterwhite, C. E.; Funk, R. C.; Harrington, R.</t>
  </si>
  <si>
    <t>HISTORICAL TRENDS IN US ANTARCTIC METEORITE ALLOCATIONS, WITH A CLOSE LOOK AT CR CHONDRITES.</t>
  </si>
  <si>
    <t>[Righter, K.] NASA Johnson Space Ctr JSC, Mailcode XI2,2101 NASA Pkwy, Houston, TX 77058 USA; [Satterwhite, C. E.] NASA JSC, Jacobs, Mail Code XI2, Houston, TX 77058 USA; [Funk, R. C.] NASA JSC, GeoControl, JETS, Mail Code XI2, Houston, TX 77058 USA; [Harrington, R.] NASA JSC, UTC Aerosp Syst, JETS, Mail Code XI2, Houston, TX 77058 USA</t>
  </si>
  <si>
    <t>National Aeronautics &amp; Space Administration (NASA); NASA Johnson Space Center; National Aeronautics &amp; Space Administration (NASA); NASA Johnson Space Center; National Aeronautics &amp; Space Administration (NASA); NASA Johnson Space Center; National Aeronautics &amp; Space Administration (NASA); NASA Johnson Space Center</t>
  </si>
  <si>
    <t>kevin.righter-1@nasa.gov</t>
  </si>
  <si>
    <t>A286</t>
  </si>
  <si>
    <t>WOS:000418552900284</t>
  </si>
  <si>
    <t>Scholar, PW; Harvey, RP</t>
  </si>
  <si>
    <t>Scholar, P. W.; Harvey, R. P.</t>
  </si>
  <si>
    <t>GEOSPATIAL ANALYSIS OF ANTARCTIC METEORITES</t>
  </si>
  <si>
    <t>[Scholar, P. W.; Harvey, R. P.] Case Western Reserve Univ, Dept Earth Environm &amp; Planetary Sci, Cleveland, OH USA</t>
  </si>
  <si>
    <t>pws33@case.edu</t>
  </si>
  <si>
    <t>A309</t>
  </si>
  <si>
    <t>WOS:000418552900307</t>
  </si>
  <si>
    <t>Lee, MJ; Lee, JI</t>
  </si>
  <si>
    <t>Lee, Mi Jung; Lee, Jong Ik</t>
  </si>
  <si>
    <t>Holocene eruptive history of Mt. Melbourne volcano, Antarctica: insights from tephra layers recorded from Talos Dome ice core</t>
  </si>
  <si>
    <t>JOURNAL OF THE GEOLOGICAL SOCIETY OF KOREA</t>
  </si>
  <si>
    <t>Korean</t>
  </si>
  <si>
    <t>Talos Dome; ice core; tephra; Mt. Melbourne; the last eruption</t>
  </si>
  <si>
    <t>NORTHERN VICTORIA-LAND; MOUNT MELBOURNE; RIFT; STRATIGRAPHY; EVOLUTION; ISOTOPE; MAGMAS; AGE</t>
  </si>
  <si>
    <t>Tephra recorded in the Antarctic ice cores are useful for reconstruction of eruptive history of young volcanic activities in case of not being available of their radiometric ages. This study examines major element compositions of six visible tephra layers for the last 10,000 years of the ice core drilled at Talos Dome, Northern Victoria Land, East Antarctica. By comparison of their geochemical signatures to lava compositions from Mt. Melbourne, Mt. Rittman and The Pleiades volcanoes which are considered as possible source volcanoes, we discussed the eruptive history of Holocene volcanic activity in Melbourne Province of Northern Victoria Land, Antarctica. A strong geochemical correlation is observed between TD85 in the Talos Dome ice core and thick tephra layer from eastern flank of Mt. Melbourne (MMTep), which confirms they were derived from the same eruptive source. This is a very important finding for determination of timing for the last eruption of Mt. Melbourne, which indicates that the last eruption of Mt. Melbourne occurred at AD1280.</t>
  </si>
  <si>
    <t>[Lee, Mi Jung] Korea Polar Res Inst, Div Polar Earth Syst Sci, Incheon 21990, South Korea; [Lee, Jong Ik] Korea Polar Res Inst, Unit Antarctic K Route Expedit, Incheon 21990, South Korea</t>
  </si>
  <si>
    <t>Lee, MJ (corresponding author), Korea Polar Res Inst, Div Polar Earth Syst Sci, Incheon 21990, South Korea.</t>
  </si>
  <si>
    <t>mjlee@kopri.re.kr</t>
  </si>
  <si>
    <t>Lee, Mi Jung/0000-0003-1194-5918</t>
  </si>
  <si>
    <t>GEOLOGICAL SOC KOREA</t>
  </si>
  <si>
    <t>KOREA SCIENCE &amp; TECHNOLOGY CTR, RM 813, 7 GIL 22, TEHERAN- RO, GANGNAM-GUNA, SEOUL, 06130, SOUTH KOREA</t>
  </si>
  <si>
    <t>0435-4036</t>
  </si>
  <si>
    <t>2288-7377</t>
  </si>
  <si>
    <t>J GEOL SOC KOREA</t>
  </si>
  <si>
    <t>J. Geol. Soc. Korea</t>
  </si>
  <si>
    <t>10.14770/jgsk.2017.53.4.509</t>
  </si>
  <si>
    <t>FQ7GQ</t>
  </si>
  <si>
    <t>WOS:000418531300003</t>
  </si>
  <si>
    <t>Yoo, KC; Lee, JI; Choo, MK; Yoon, HI; Geum, BC</t>
  </si>
  <si>
    <t>Yoo, Kyu-Cheul; Lee, Jong Ik; Choo, Mi Kyung; Yoon, Ho Il; Geum, Byong Chol</t>
  </si>
  <si>
    <t>Hydrothermal activity of the central Bransfield Strait, West Antarctica: evidence from water column characteristics</t>
  </si>
  <si>
    <t>West Antarctica; Bransfield Strait; Three Sisters Ridge; hydrothermal activity; water column characteristics</t>
  </si>
  <si>
    <t>BASIN; OCEAN; VOLCANISM; SEDIMENTS; MATTER; AREA</t>
  </si>
  <si>
    <t>To find out hydrothermal activity near Three Sisters Ridge in the central Bransfield Strait, water column characteristics (temperature, salinity, dissolved oxygen and turbidity) was measured using SBE 911plus CTD and towed across the seafloor bottom A'-A, B'-B and C'-C lines on December 12, 2005. The main water column structure was surface mixed layer, Antarctic Surface Water (AASW) and central basin bottom water, but there is no existence of modified Circumpolar Deep Water (MCDW) during the expedition. The distorted water column profiles prominent at the summit of middle ridge of Three Sisters Ridge were the results from hydrothemal activity. Anomalies of dissolved Fe, Mn and Cu appeared at 1,010 similar to 1,120 m water depth in dissolved metal analysis, matching well with the peculiarity of water column characters.</t>
  </si>
  <si>
    <t>[Yoo, Kyu-Cheul; Lee, Jong Ik; Yoon, Ho Il] Korea Polar Res Inst, Incheon 21990, South Korea; [Choo, Mi Kyung] KISCO, Cent Res Inst, Anal Res Team, Seoul 07947, South Korea; [Geum, Byong Chol] Korea Inst Ocean Sci Technol, Ansan 15627, South Korea</t>
  </si>
  <si>
    <t>Korea Polar Research Institute (KOPRI); Korea Institute of Ocean Science &amp; Technology (KIOST)</t>
  </si>
  <si>
    <t>Yoo, KC (corresponding author), Korea Polar Res Inst, Incheon 21990, South Korea.</t>
  </si>
  <si>
    <t>kcyoo@kopri.re.kr</t>
  </si>
  <si>
    <t>Choo, Mi Kyung/K-2013-2014</t>
  </si>
  <si>
    <t>10.14770/jgsk.2017.53.4.533</t>
  </si>
  <si>
    <t>WOS:000418531300005</t>
  </si>
  <si>
    <t>Driver, P; Reason, CJC</t>
  </si>
  <si>
    <t>Driver, P.; Reason, C. J. C.</t>
  </si>
  <si>
    <t>Variability in the Botswana High and its relationships with rainfall and temperature characteristics over southern Africa</t>
  </si>
  <si>
    <t>INTERNATIONAL JOURNAL OF CLIMATOLOGY</t>
  </si>
  <si>
    <t>interannual climate variability; southern Africa; regional atmospheric circulation</t>
  </si>
  <si>
    <t>SEA-SURFACE TEMPERATURES; INDIAN-OCEAN; TROPICAL ATLANTIC; TEMPORAL VARIABILITY; SUMMER RAINFALL; DRY SUMMERS; CIRCULATION; ENSO; EVENTS; REGION</t>
  </si>
  <si>
    <t>The seasonal and interannual variability of the mid-tropospheric Botswana High and its relationships with various characteristics of rainfall and temperature over southern Africa are examined. This High typically forms in August and then strengthens and moves southward over southern Africa during the spring and summer. It also expands in zonal extent so that by March it is part of an anticyclonic ridge extending from the South Atlantic Convergence Zone eastwards over this ocean, across southern Africa and to the western Indian Ocean, with its greatest intensity in February. Its position is always to the south and southeast of the region of heavy precipitation across tropical southern Africa associated with the Inter Tropical Convergence Zone (ITCZ) and its meridional arm that passes through the eastern Congo Basin. Substantial interannual variability exists in the strength of the Botswana High. While the High is typically stronger (weaker) during El Nino (La Nina) events, there are also a number of neutral El Nino Southern Oscillation (ENSO) summers with large anomalies in the Botswana High. Neutral summers with an anomalously weak Botswana High are also characterized by a cyclonic anomaly extending from Angola south to the Antarctic and an anticyclonic anomaly over the South West Indian Ocean. These circulation patterns favour the development of tropical extratropical cloud bands, the main synoptic summer rainfall producing system, and the inflow of more moisture from the Indian Ocean towards the source of the cloud bands and hence increased rainfall. Roughly, the reverse circulation anomalies occur during neutral summers with anomalously large values of the Botswana High. Relationships are also found between the Botswana High and dry spell frequency, maximum temperature, diurnal temperature range and the number of days with extreme temperatures during the summer.</t>
  </si>
  <si>
    <t>[Driver, P.; Reason, C. J. C.] Univ Cape Town, Dept Oceanog, Rondebosch, South Africa</t>
  </si>
  <si>
    <t>Reason, CJC (corresponding author), Univ Cape Town, Dept Oceanog, Rondebosch, South Africa.</t>
  </si>
  <si>
    <t>chris.reason@uct.ac.za</t>
  </si>
  <si>
    <t>Reason, Christopher/0000-0002-3224-5243</t>
  </si>
  <si>
    <t>National Research Foundation</t>
  </si>
  <si>
    <t>This study is partly based on the PhD thesis of the first author who gratefully acknowledges the National Research Foundation for her stipend. Some of the plots were performed on the KNMI Climate Explorer or the NOAA PSD websites to whom we thanks for data access and visualisation tools.</t>
  </si>
  <si>
    <t>0899-8418</t>
  </si>
  <si>
    <t>1097-0088</t>
  </si>
  <si>
    <t>INT J CLIMATOL</t>
  </si>
  <si>
    <t>Int. J. Climatol.</t>
  </si>
  <si>
    <t>10.1002/joc.5022</t>
  </si>
  <si>
    <t>FP0NK</t>
  </si>
  <si>
    <t>WOS:000417298600039</t>
  </si>
  <si>
    <t>Tozer, CR; Kiem, AS</t>
  </si>
  <si>
    <t>Tozer, C. R.; Kiem, A. S.</t>
  </si>
  <si>
    <t>Large-scale ocean-atmospheric processes and seasonal rainfall variability in South Australia: accounting for non-linearity and establishing the hierarchy of influence</t>
  </si>
  <si>
    <t>rainfall variability; seasonal forecasting; Partial Mutual Information; ENSO; IOD; subtropical ridge; non-linear; blocking</t>
  </si>
  <si>
    <t>PARTIAL MUTUAL INFORMATION; INPUT VARIABLE SELECTION; WATER-SUPPLY MANAGEMENT; MULTI-DECADAL VARIABILITY; NEURAL-NETWORK MODELS; PROBABILISTIC FORECASTS; ANNULAR MODE; MULTIDECADAL VARIABILITY; RESOURCES APPLICATIONS; ENSO TELECONNECTION</t>
  </si>
  <si>
    <t>An important step in developing climate forecasts is the identification of an appropriate set of predictors. Seasonal rainfall forecasts for South Australia (SA) currently have low predictive skill. It is hypothesised that this is because the large-scale climate processes influencing SA's rainfall variability have yet to be completely identified and therefore are not adequately represented in forecast models. Here, relationships between large-scale climate influences and rainfall in SA are assessed with a focus on methods that account for non-linearities inherent in the climate system. A threshold method and also a novel method for climate predictor selection, Partial Mutual Information, are used to establish the hierarchy of importance of the key influences. From a large suite of potential predictors, variability in the Subtropical Ridge intensity, blocking and the gradient of sea surface temperatures (SSTs) in the tropical central and eastern Indian Ocean are found to be key indicators of seasonal rainfall variability in SA. Interactions between processes are shown to increase the amount of variability accounted for and therefore need to be better considered when producing seasonal forecasts. Notably, the view of which climate process(es) is(are) important changes depending on the input variables used, suggesting that it is not wise to make a priori assumptions about what is or is not important. Furthermore, even a perfect forecast of El Nino Southern Oscillation (ENSO) and Indian Ocean Dipole (IOD), the focus of forecasting efforts in Australia, will not necessarily lead to an improvement to forecast skill in SA given that these processes are not key for the region. The results of this analysis can inform the development of existing and new statistical and dynamical seasonal forecasting systems for SA, and for other regions where the impacts of climate variability are significant but not necessarily dominated by ENSO and IOD.</t>
  </si>
  <si>
    <t>[Tozer, C. R.; Kiem, A. S.] Univ Newcastle, Ctr Water Climate &amp; Land Use CWCL, Callaghan, NSW, Australia; [Tozer, C. R.] Univ Tasmania, Antarctic Climate &amp; Ecosyst Cooperat Res Ctr, Private Bag 80, Hobart, Tas 7001, Australia</t>
  </si>
  <si>
    <t>University of Newcastle; University of Tasmania; Antarctic Climate &amp; Ecosystems Cooperative Research Centre (ACE CRC)</t>
  </si>
  <si>
    <t>Tozer, CR (corresponding author), Univ Tasmania, Antarctic Climate &amp; Ecosyst Cooperat Res Ctr, Private Bag 80, Hobart, Tas 7001, Australia.</t>
  </si>
  <si>
    <t>carly.tozer@utas.edu.au</t>
  </si>
  <si>
    <t>Tozer, Carly R/E-9936-2013; Kiem, Anthony/D-9307-2013</t>
  </si>
  <si>
    <t>Tozer, Carly R/0000-0001-8605-5907; Kiem, Anthony/0000-0002-3994-6958</t>
  </si>
  <si>
    <t>Australian Postgraduate Award from the University of Newcastle (Australia); CSIRO Land &amp; Water Flagship Scholarship; NCCARF Water Network Scholarship; Antarctic Climate and Ecosystems Cooperative Research Centre (ACE-CRC); Centre for Water, Climate and Land (CWCL) at University of Newcastle (Australia)</t>
  </si>
  <si>
    <t>Australian Postgraduate Award from the University of Newcastle (Australia); CSIRO Land &amp; Water Flagship Scholarship; NCCARF Water Network Scholarship; Antarctic Climate and Ecosystems Cooperative Research Centre (ACE-CRC)(Australian GovernmentDepartment of Industry, Innovation and ScienceCooperative Research Centres (CRC) Programme); Centre for Water, Climate and Land (CWCL) at University of Newcastle (Australia)</t>
  </si>
  <si>
    <t>This work was supported by the Australian Postgraduate Award from the University of Newcastle (Australia), with additional assistance from CSIRO Land &amp; Water Flagship Scholarship, NCCARF Water Network Scholarship, the Antarctic Climate and Ecosystems Cooperative Research Centre (ACE-CRC) and the Centre for Water, Climate and Land (CWCL) at University of Newcastle (Australia). C. Tozer would like to thank Dr Danielle Verdon-Kidd for her support and assistance throughout her PhD and her contribution to the early stages of some of the analysis presented here. The authors would like to thank two anonymous reviewers whose comments helped to improve the quality of this paper.</t>
  </si>
  <si>
    <t>10.1002/joc.5074</t>
  </si>
  <si>
    <t>WOS:000417298600079</t>
  </si>
  <si>
    <t>Karspeck, AR; Stammer, D; Köhl, A; Danabasoglu, G; Balmaseda, M; Smith, DM; Fujii, Y; Zhang, S; Giese, B; Tsujino, H; Rosati, A</t>
  </si>
  <si>
    <t>Karspeck, A. R.; Stammer, D.; Kohl, A.; Danabasoglu, G.; Balmaseda, M.; Smith, D. M.; Fujii, Y.; Zhang, S.; Giese, B.; Tsujino, H.; Rosati, A.</t>
  </si>
  <si>
    <t>Comparison of the Atlantic meridional overturning circulation between 1960 and 2007 in six ocean reanalysis products</t>
  </si>
  <si>
    <t>Atlantic meridional overturning circulation (AMOC); Ocean data assimilation; Ocean synthesis; Ocean reanalysis; Ocean reconstruction; Decadal prediction</t>
  </si>
  <si>
    <t>ANTARCTIC BOTTOM WATER; NORTH-ATLANTIC; DATA ASSIMILATION; THERMOHALINE CIRCULATION; DECADAL PREDICTION; LABRADOR SEA; IN-SITU; PART I; VARIABILITY; CLIMATE</t>
  </si>
  <si>
    <t>The mean and variability of the Atlantic meridional overturning circulation (AMOC), as represented in six ocean reanalysis products, are analyzed over the period 1960-2007. Particular focus is on multi-decadal trends and interannual variability at 26.5 degrees N and 45 degrees N. For four of the six reanalysis products, corresponding reference simulations obtained from the same models and forcing datasets but without the imposition of subsurface data constraints are included for comparison. An emphasis is placed on identifying general characteristics of the reanalysis representation of AMOC relative to their reference simulations without subsurface data constraints. The AMOC as simulated in these two sets are presented in the context of results from the Coordinated Ocean-ice Reference Experiments phase II (CORE-II) effort, wherein a common interannually varying atmospheric forcing data set was used to force a large and diverse set of global ocean-ice models. Relative to the reference simulations and CORE-II forced model simulations it is shown that (1) the reanalysis products tend to have greater AMOC mean strength and enhanced variance and (2) the reanalysis products are less consistent in their year-to-year AMOC changes. We also find that relative to the reference simulations (but not the CORE-II forced model simulations) the reanalysis products tend to have enhanced multi-decadal trends (from 1975-1995 to 1995-2007) in the mid to high latitudes of the northern hemisphere.</t>
  </si>
  <si>
    <t>[Karspeck, A. R.; Stammer, D.; Kohl, A.; Danabasoglu, G.; Balmaseda, M.; Smith, D. M.; Fujii, Y.; Zhang, S.; Giese, B.; Tsujino, H.; Rosati, A.] Natl Ctr Atmospher Res, POB 3000, Boulder, CO 80307 USA</t>
  </si>
  <si>
    <t>National Center Atmospheric Research (NCAR) - USA</t>
  </si>
  <si>
    <t>Karspeck, AR (corresponding author), Natl Ctr Atmospher Res, POB 3000, Boulder, CO 80307 USA.</t>
  </si>
  <si>
    <t>aliciak@ucar.edu</t>
  </si>
  <si>
    <t>Smith, Doug/ABD-5204-2021; Kohl, Armin/I-9378-2014</t>
  </si>
  <si>
    <t>Kohl, Armin/0000-0002-9777-674X</t>
  </si>
  <si>
    <t>German Science Foundation (DFG); joint DECC/Defra Met Office Hadley Centre Climate Programme [GA01101]; EU FP7 SPECS project; NOAA Climate Program Office under the Climate Variability and Predictability Program [NA09OAR4310163, NA13OAR4310138]; NSF Collaborative Research EaSM2 Grant [OCE-1243015]; National Science Foundation</t>
  </si>
  <si>
    <t>German Science Foundation (DFG)(German Research Foundation (DFG)); joint DECC/Defra Met Office Hadley Centre Climate Programme; EU FP7 SPECS project; NOAA Climate Program Office under the Climate Variability and Predictability Program(National Oceanic Atmospheric Admin (NOAA) - USA); NSF Collaborative Research EaSM2 Grant; National Science Foundation(National Science Foundation (NSF))</t>
  </si>
  <si>
    <t>We wish to thank Keith Haines and Maria Valdivieso for early discussions and contributions. D.S. acknowledges the hospitality during a stimulating and pleasant research visit to the Climate and Global Dynamics division at NCAR. This work contributes to the Excellence Initiative CliSAP of the Universitat Hamburg, funded through the German Science Foundation (DFG). D.M.S. was supported by the joint DECC/Defra Met Office Hadley Centre Climate Programme (GA01101) and the EU FP7 SPECS project. A.R.K. was funded through the NOAA Climate Program Office under the Climate Variability and Predictability Program grants NA09OAR4310163 and NA13OAR4310138, and by the NSF Collaborative Research EaSM2 Grant OCE-1243015. NCAR is sponsored by the National Science Foundation.</t>
  </si>
  <si>
    <t>10.1007/s00382-015-2787-7</t>
  </si>
  <si>
    <t>FD0QV</t>
  </si>
  <si>
    <t>WOS:000407244700013</t>
  </si>
  <si>
    <t>Wild, CT; Marsh, OJ; Rack, W</t>
  </si>
  <si>
    <t>Wild, Christian T.; Marsh, Oliver J.; Rack, Wolfgang</t>
  </si>
  <si>
    <t>Viscosity and elasticity: a model intercomparison of ice-shelf bending in an Antarctic grounding zone</t>
  </si>
  <si>
    <t>glaciological model experiments; ice shelves; ice/ocean interactions; ice rheology; remote sensing</t>
  </si>
  <si>
    <t>TIDAL FLEXURE; STREAM; GREENLAND; GLACIER; FLOW; VELOCITY; MARGINS; SHEETS; INSAR; REPRESENTATION</t>
  </si>
  <si>
    <t>Grounding zones are vital to ice-sheet mass balance and its coupling to the global ocean circulation. Processes here determine the mass discharge from the grounded ice sheet, to the floating ice shelves. The response of this transition zone to tidal forcing has been described by both elastic and visco-elastic models. Here we examine the validity of these models for grounding zone flexure over tidal time-scales using field data from the Southern McMurdo Ice Shelf (78 degrees 15'S, 167 degrees 7 E). Observations of tidal movement were carried out by simultaneous tiltmeter and GPS measurements along a profile across the grounding zone. Finite-element simulations covering a 64 d period reveal that the viscoelastic model fits best the observations using a Young's modulus of 1.6 GPa and a viscosity of 10(13.7) Pa s (approximate to 50.1 TPa s). We conclude that the elastic model is only well-constrained for tidal displacements &gt; 35% of the spring-tidal amplitude using a Young's modulus of 1.62 +/- 0.69 GPa, but that a viscoelastic model is necessary to adequately capture tidal bending at amplitudes below this threshold. In grounding zones where bending stresses are greater than at the Southern McMurdo Ice Shelf or ice viscosity is lower, the threshold would be even higher.</t>
  </si>
  <si>
    <t>[Wild, Christian T.; Marsh, Oliver J.; Rack, Wolfgang] Univ Canterbury, Ctr Antarctic Studies &amp; Res, Gateway Antarctica, Christchurch, New Zealand; [Wild, Christian T.] Univ Canterbury, Private Bag 4800, Christchurch 8140, New Zealand</t>
  </si>
  <si>
    <t>University of Canterbury; University of Canterbury</t>
  </si>
  <si>
    <t>Wild, CT (corresponding author), Univ Canterbury, Ctr Antarctic Studies &amp; Res, Gateway Antarctica, Christchurch, New Zealand.;Wild, CT (corresponding author), Univ Canterbury, Private Bag 4800, Christchurch 8140, New Zealand.</t>
  </si>
  <si>
    <t>christian.wild@pg.canterbury.ac.nz</t>
  </si>
  <si>
    <t>Marsh, Oliver J/K-7436-2014; Rack, Wolfgang/U-8898-2017</t>
  </si>
  <si>
    <t>Wild, Christian/0000-0003-4586-1704; Marsh, Oliver/0000-0001-7874-514X; Rack, Wolfgang/0000-0003-2447-377X</t>
  </si>
  <si>
    <t>New Zealand Antarctic Research Institute; Royal Society of New Zealand</t>
  </si>
  <si>
    <t>New Zealand Antarctic Research Institute; Royal Society of New Zealand(Royal Society of New Zealand)</t>
  </si>
  <si>
    <t>The work presented in this study has been performed at Gateway Antarctica, University of Canterbury, and supported by the New Zealand Antarctic Research Institute and Royal Society of New Zealand. We acknowledge the German Aerospace Agency (DLR) for providing TerraSAR-X satellite imagery and Antarctica New Zealand for logistical support of the event K053 during the season 2014/15. The fieldwork benefited greatly from the tireless commitment of D. Price and M. Ryan. We thank M. King for GPS trouble shooting and data processing. We also thank R. Greve and two anonymous reviewers for their constructive comments of this manuscript.</t>
  </si>
  <si>
    <t>10.1017/jog.2017.15</t>
  </si>
  <si>
    <t>FN3BB</t>
  </si>
  <si>
    <t>WOS:000415869500001</t>
  </si>
  <si>
    <t>Kluskiewicz, D; Waddington, ED; Anandakrishnan, S; Voigt, DE; Matsuoka, K; McCarthy, MP</t>
  </si>
  <si>
    <t>Kluskiewicz, Dan; Waddington, Edwin D.; Anandakrishnan, Sridhar; Voigt, Donald E.; Matsuoka, Kenichi; McCarthy, Michael P.</t>
  </si>
  <si>
    <t>Sonic methods for measuring crystal orientation fabric in ice, and results from the West Antarctic ice sheet (WAIS) Divide</t>
  </si>
  <si>
    <t>anisotropy; crystal; fabric; ice; lattice; sonic</t>
  </si>
  <si>
    <t>ANISOTROPIC ICE; POLAR ICE; CORE; FLOW; GREENLAND; TEXTURES; CENTERS; STATION; LAYERS; RADAR</t>
  </si>
  <si>
    <t>We describe methods for measuring crystal orientation fabric with sonic waves in an ice core borehole, with special attention paid to vertical-girdle fabrics that are prevalent at the WAIS Divide. The speed of vertically propagating compressional waves in ice is influenced by vertical clustering of the ice crystal c-axes. Shear-wave speeds - particularly the speed separation between fast and slow shear polarizations - are sensitive to azimuthal anisotropy. Sonic data from the WAIS Divide complement thin-section measurements of fabric. Thin sections show a steady transition to strong girdle fabrics in the upper 2000 m of ice, followed by a transition to vertical-pole fabrics below 2500 m depth. Compressional-wave sonic data are inconclusive in the upper ice, due to noise, as well as the method's inherent insensitivity to girdle fabrics. Compared with available thin sections, sonic data provide better resolution of the transition to pole fabrics below 2500 m, notably including an abrupt increase in vertical clustering near 3000 m. Our compressional-wave measurements resolve fabric changes occurring over depth ranges of a few meters that cannot be inferred from available thin sections, but are sensitive only to zenithal anisotropy. Future logging tools should be designed to measure shear waves in addition to compressional waves, especially for logging in regions where ice flow patterns favor the development of girdle fabrics.</t>
  </si>
  <si>
    <t>[Kluskiewicz, Dan; Waddington, Edwin D.; Matsuoka, Kenichi; McCarthy, Michael P.] Univ Washington, Dept Earth &amp; Space Sci, Seattle, WA 98195 USA; [Anandakrishnan, Sridhar; Voigt, Donald E.] Penn State Univ, Dept Geosci, State Coll, PA USA; [Matsuoka, Kenichi] Norwegian Polar Res Inst, Tromso, Norway</t>
  </si>
  <si>
    <t>University of Washington; University of Washington Seattle; Pennsylvania Commonwealth System of Higher Education (PCSHE); Pennsylvania State University; Norwegian Polar Institute</t>
  </si>
  <si>
    <t>Kluskiewicz, D (corresponding author), Univ Washington, Dept Earth &amp; Space Sci, Seattle, WA 98195 USA.</t>
  </si>
  <si>
    <t>dklus@uw.edu</t>
  </si>
  <si>
    <t>Anandakrishnan, Sridhar/JCN-5026-2023; Matsuoka, Kenichi/B-7298-2017</t>
  </si>
  <si>
    <t>Matsuoka, Kenichi/0000-0002-3587-3405</t>
  </si>
  <si>
    <t>National Science Foundation; NSF [PLR-0944199, PLR-0944285, PLR-0539578, 0230396, 0440817, 0944348, 0944266]; National Science Foundation Division of Polar Programs</t>
  </si>
  <si>
    <t>National Science Foundation(National Science Foundation (NSF)); NSF(National Science Foundation (NSF)); National Science Foundation Division of Polar Programs(National Science Foundation (NSF))</t>
  </si>
  <si>
    <t>This work was supported by a National Science Foundation Graduate Research Fellowship to Dan Kluskiewicz and under NSF grants PLR-0944199, PLR-0944285, and PLR-0539578. Ryan Bay, Gary Clow, Elizabeth Morton, and Frank Urban assisted with the sonic-log measurements. The authors appreciate the support of the WAIS Divide Science Coordination Office at the Desert Research Institute, Reno, NE, USA and University of New Hampshire, USA, for the collection and distribution of the WAIS Divide ice core and related tasks (NSF Grants 0230396, 0440817, 0944348; and 0944266), and Kristina Slawny for providing the bore-hole inclination data. Kendrick Taylor led the field effort that collected the samples. The National Science Foundation Division of Polar Programs also funded the Ice Drilling Program Office (IDPO) and Ice Drilling Design and Operations (IDDO) group for coring activities; the National Ice Core Laboratory for curation of the core; the Antarctic Support Contractor for logistics support in Antarctica; and the 109th New York Air National Guard for airlift in Antarctica. We also appreciate input from Mike Hay, Erin Pettit and Alessio Gusmeroli, as well as extensive advice and tool service support from John Stowell at Mt. Sopris Instruments Inc.</t>
  </si>
  <si>
    <t>10.1017/jog.2017.20</t>
  </si>
  <si>
    <t>WOS:000415869500004</t>
  </si>
  <si>
    <t>Benn, DI; Åström, J; Zwinger, T; Todd, J; Nick, FM; Cook, S; Hulton, NRJ; Luckman, A</t>
  </si>
  <si>
    <t>Benn, Douglas I.; Astrom, Jan; Zwinger, Thomas; Todd, Joe; Nick, Faezeh M.; Cook, Susan; Hulton, Nicholas R. J.; Luckman, Adrian</t>
  </si>
  <si>
    <t>Melt-under-cutting and buoyancy-driven calving from tidewater glaciers: new insights from discrete element and continuum model simulations</t>
  </si>
  <si>
    <t>calving; glacier modelling; iceberg calving</t>
  </si>
  <si>
    <t>SEA-LEVEL RISE; HELHEIM GLACIER; OUTLET GLACIERS; GREENLAND; DYNAMICS; TERMINUS; RETREAT; STABILITY; BEHAVIOR; FRACTURE</t>
  </si>
  <si>
    <t>The simple calving laws currently used in ice-sheet models do not adequately reflect the complexity and diversity of calving processes. To be effective, calving laws must be grounded in a sound understanding of how calving actually works. Here, we develop a new strategy for formulating calving laws, using (a) the Helsinki Discrete Element Model (HiDEM) to explicitly model fracture and calving processes, and (b) the continuum model Elmer/Ice to identify critical stress states associated with HiDEM calving events. A range of observed calving processes emerges spontaneously from HiDEM in response to variations in ice-front buoyancy and the size of subaqueous undercuts. Calving driven by buoyancy and melt under-cutting is under-predicted by existing calving laws, but we show that the location and magnitude of HiDEM calving events can be predicted in Elmer/Ice from characteristic stress patterns. Our results open the way to developing calving laws that properly reflect the diversity of calving processes, and provide a framework for a unified theory of the calving process continuum.</t>
  </si>
  <si>
    <t>[Benn, Douglas I.; Todd, Joe] Univ St Andrews, St Andrews KY16 9AL, Fife, Scotland; [Astrom, Jan; Zwinger, Thomas] CSC IT Ctr Sci, POB 405, FI-02101 Espoo, Finland; [Nick, Faezeh M.; Hulton, Nicholas R. J.] Univ Ctr Svalbard, POB 156, N-9171 Longyearbyen, Norway; [Cook, Susan] Univ Tasmania, Antarctic Climate &amp; Ecosyst Cooperat Res Ctr, Private Bag 80, Hobart, Tas 7001, Australia; [Luckman, Adrian] Swansea Univ, Swansea SA2 8PP, W Glam, Wales</t>
  </si>
  <si>
    <t>University of St Andrews; University Centre Svalbard (UNIS); University of Tasmania; Antarctic Climate &amp; Ecosystems Cooperative Research Centre (ACE CRC); Swansea University</t>
  </si>
  <si>
    <t>Benn, DI (corresponding author), Univ St Andrews, St Andrews KY16 9AL, Fife, Scotland.</t>
  </si>
  <si>
    <t>dib2@st-andrews.ac.uk</t>
  </si>
  <si>
    <t>Zwinger, Thomas/H-5163-2018; Cook, Sue/T-1028-2019; Cook, Sue/E-8390-2018</t>
  </si>
  <si>
    <t>Benn, Douglas/0000-0002-3604-0886; Cook, Sue/0000-0001-9878-4218; Todd, Joe/0000-0003-3183-043X; M. Nick, Faezeh/0009-0002-0432-585X</t>
  </si>
  <si>
    <t>ConocoPhillips Northern Area Program (CRIOS: Calving Rates and Impact on Sea Level); Nordic Research Council (SVALI: Stability and Variation of Arctic Land Ice); Nordic Research Council (eSTICC: eScience Tools for Investigating Climate Change in northern high latitudes)</t>
  </si>
  <si>
    <t>This work was funded by the ConocoPhillips Northern Area Program (CRIOS: Calving Rates and Impact on Sea Level) and the Nordic Research Council (SVALI: Stability and Variation of Arctic Land Ice and eSTICC: eScience Tools for Investigating Climate Change in northern high latitudes). Careful reviews by Martin Luthi and an anonymous referee helped improve the manuscript.</t>
  </si>
  <si>
    <t>10.1017/jog.2017.41</t>
  </si>
  <si>
    <t>WOS:000415869500012</t>
  </si>
  <si>
    <t>Zhang, BJ; Wang, ZM; Li, F; An, JC; Yang, YD; Liu, JB</t>
  </si>
  <si>
    <t>Zhang, Baojun; Wang, Zemin; Li, Fei; An, Jiachun; Yang, Yuande; Liu, Jingbin</t>
  </si>
  <si>
    <t>Estimation of present-day glacial isostatic adjustment, ice mass change and elastic vertical crustal deformation over the Antarctic ice sheet</t>
  </si>
  <si>
    <t>Antarctic glaciology; ice-sheet mass balance; laser altimetry</t>
  </si>
  <si>
    <t>SEA-LEVEL CHANGE; SUBGLACIAL LAKES; WEST ANTARCTICA; GRACE; MODEL; BALANCE; GREENLAND; AGE; INVENTORY; SURFACE</t>
  </si>
  <si>
    <t>This study explores an iterative method for simultaneously estimating the present-day glacial isostatic adjustment (GIA), ice mass change and elastic vertical crustal deformation of the Antarctic ice sheet (AIS) for the period October 2003-October 2009. The estimations are derived by combining mass measurements of the GRACE mission and surface height observations of the ICES at mission under the constraint of GPS vertical crustal deformation rates in the spatial domain. The influence of active sub-glacial lakes on GIA estimates are mitigated for the first time through additional processing of ICES at data. The inferred GIA shows that the strongest uplift is found in the Amundsen Sea Embayment (ASE) sector and subsidence mostly occurs in Adelie Terre and the East Antarctica inland. The total GIA-related mass change estimates for the entire AIS, West Antarctica Ice Sheet (WAIS), East Antarctica Ice Sheet (EAIS), and Antarctic Peninsula Ice Sheet (APIS) are 43 +/- 38, 53 +/- 24, -23 +/- 29 and 13 +/- 6 Gt a(-1), respectively. The overall ice mass change of the AIS is -46 +/- 43 Gt a(-1) (WAIS: -104 +/- 25, EAIS: 77 +/- 35, APIS: -20 +/- 6). The most significant ice mass loss and most significant elastic vertical crustal deformations are concentrated in the ASE and northern Antarctic Peninsula.</t>
  </si>
  <si>
    <t>[Zhang, Baojun; Wang, Zemin; Li, Fei; An, Jiachun; Yang, Yuande] Wuhan Univ, Chinese Antarctic Ctr Surveying &amp; Mapping, Wuhan, Hubei, Peoples R China; [Liu, Jingbin] Wuhan Univ, Key Lab Informat Engn Surveying Mapping &amp; Remote, Wuhan, Hubei, Peoples R China; [Liu, Jingbin] Wuhan Univ, Collaborat Innovat Ctr Geospatial Technol, Wuhan, Hubei, Peoples R China; [Liu, Jingbin] Finnish Geospatial Res Inst, Dept Remote Sensing &amp; Photogrammetry, Masala, Finland</t>
  </si>
  <si>
    <t>Wuhan University; Wuhan University; Wuhan University; The National Land Survey of Finland; Finnish Geospatial Research Institute (FGI)</t>
  </si>
  <si>
    <t>Liu, Jingbin/AAE-8803-2020; ZeMin, Wang/AAU-3422-2020; An, Jiachun/ABG-4275-2020</t>
  </si>
  <si>
    <t>Zhang, Baojun/0000-0001-5438-8723; Liu, Jingbin/0000-0001-6216-0956</t>
  </si>
  <si>
    <t>National Natural Science Foundation of China [41531069]; Chinese Polar Environment Comprehensive Investigation and Assessment Programs [CHINARE2016-02-02]; National Key Research Development Program of China [2016YFB0502204]</t>
  </si>
  <si>
    <t>National Natural Science Foundation of China(National Natural Science Foundation of China (NSFC)); Chinese Polar Environment Comprehensive Investigation and Assessment Programs; National Key Research Development Program of China</t>
  </si>
  <si>
    <t>We thank Ligtenberg, S.R.M for providing the FDM and SMB, Peltier W. R. for providing the ICE-5G and ICE-6G_C, Whitehouse P. for providing the W12a, Geruo A. for providing the Geruo13 and Paulson A. for providing the Paulson07. The ICESat data were provided by the National Snow and Ice Data Center (NSIDC), and the CSR GRACE solutions were obtained from the Physical Oceanography Distributed Active Archive Center (PO.DAAC) at the NASA Jet Propulsion Laboratory, Pasadena, CA. All geographical plots were produced using the Generic Mapping Tools (GMT). This study is funded by the Key Program of National Natural Science Foundation of China (41531069), the Chinese Polar Environment Comprehensive Investigation and Assessment Programs (CHINARE2016-02-02) and the National Key Research Development Program of China (2016YFB0502204). Editor Hamish Pritchard, Lynsey Rowland and two anonymous reviewers are thanked for their comments that helped clarify and improve the manuscript.</t>
  </si>
  <si>
    <t>10.1017/jog.2017.37</t>
  </si>
  <si>
    <t>WOS:000415869500013</t>
  </si>
  <si>
    <t>Bernales, J; Rogozhina, I; Thomas, M</t>
  </si>
  <si>
    <t>Bernales, Jorge; Rogozhina, Irina; Thomas, Maik</t>
  </si>
  <si>
    <t>Melting and freezing under Antarctic ice shelves from a combination of ice-sheet modelling and observations</t>
  </si>
  <si>
    <t>Antarctic glaciology; basal melt; ice/ocean interactions; ice-sheet modelling; ice shelves</t>
  </si>
  <si>
    <t>SURFACE MASS-BALANCE; PINE ISLAND GLACIER; OCEAN CIRCULATION; SEA-LEVEL; PISM-PIK; FLOW; TEMPERATURE; SENSITIVITY; PERFORMANCE; PROJECT</t>
  </si>
  <si>
    <t>Ice-shelf basal melting is the largest contributor to the negative mass balance of the Antarctic ice sheet. However, current implementations of ice/ocean interactions in ice-sheet models disagree with the distribution of sub-shelf melt and freezing rates revealed by recent observational studies. Here we present a novel combination of a continental-scale ice flow model and a calibration technique to derive the spatial distribution of basal melting and freezing rates for the whole Antarctic ice-shelf system. The modelled ice-sheet equilibrium state is evaluated against topographic and velocity observations. Our high-resolution (10-km spacing) simulation predicts an equilibrium ice-shelf basal mass balance of -1648.7 Gt a(-1) that increases to -1917.0 Gt a(-1) when the observed ice-shelf thinning rates are taken into account. Our estimates reproduce the complexity of the basal mass balance of Antarctic ice shelves, providing a reference for parameterisations of sub-shelf ocean/ice interactions in continental ice-sheet models. We perform a sensitivity analysis to assess the effects of variations in the model set-up, showing that the retrieved estimates of basal melting and freezing rates are largely insensitive to changes in the internal model parameters, but respond strongly to a reduction of model resolution and the uncertainty in the input datasets.</t>
  </si>
  <si>
    <t>[Bernales, Jorge; Rogozhina, Irina; Thomas, Maik] GFZ German Res Ctr Geosci, Sect Earth Syst Modelling 1 3, Potsdam, Germany; [Bernales, Jorge; Thomas, Maik] Free Univ Berlin, Inst Meteorol, Berlin, Germany; [Rogozhina, Irina] Univ Bremen, MARUM Ctr Marine Environm Sci, Bremen, Germany</t>
  </si>
  <si>
    <t>Helmholtz Association; Helmholtz-Center Potsdam GFZ German Research Center for Geosciences; Free University of Berlin; University of Bremen</t>
  </si>
  <si>
    <t>Bernales, J (corresponding author), GFZ German Res Ctr Geosci, Sect Earth Syst Modelling 1 3, Potsdam, Germany.;Bernales, J (corresponding author), Free Univ Berlin, Inst Meteorol, Berlin, Germany.</t>
  </si>
  <si>
    <t>bernales@gfz-potsdam.de</t>
  </si>
  <si>
    <t>Rogozhina, Irina/JFK-1968-2023</t>
  </si>
  <si>
    <t>Rogozhina, Irina/0009-0008-5067-080X</t>
  </si>
  <si>
    <t>Helmholtz graduate research school GeoSim; BMBF German Climate Modeling Initiative PalMod</t>
  </si>
  <si>
    <t>We thank F. Pattyn and two anonymous referees for their very constructive comments that helped to improve this manuscript considerably. This work has been funded by the Helmholtz graduate research school GeoSim. IR was supported by the BMBF German Climate Modeling Initiative PalMod. We are very thankful to J.M. van Wessem for providing RACMO2.3 precipitation rate and near-surface temperature data and to J. Mouginot for providing the data necessary to reproduce their ice-shelf melting/freezing and thinning rates. All simulations were performed on the GFZ Linux Cluster GLIC.</t>
  </si>
  <si>
    <t>10.1017/jog.2017.42</t>
  </si>
  <si>
    <t>WOS:000415869500015</t>
  </si>
  <si>
    <t>Reyes, MVR; Baumann-Pickering, S; Simonis, A; Melcón, ML; Trickey, J; Hildebrand, J; Iñíguez, M</t>
  </si>
  <si>
    <t>Reyes Reyes, M. V.; Baumann-Pickering, S.; Simonis, A.; Melcon, M. L.; Trickey, J.; Hildebrand, J.; Iniguez, M.</t>
  </si>
  <si>
    <t>High-Frequency Modulated Signals Recorded Off the Antarctic Peninsula Area: Are Killer Whales Emitting Them?</t>
  </si>
  <si>
    <t>ACOUSTICS AUSTRALIA</t>
  </si>
  <si>
    <t>High-frequency modulated signals; Antarctic killer whale morphotype; Orcinus orca</t>
  </si>
  <si>
    <t>HERRING CLUPEA-HARENGUS; ORCINUS-ORCA; BRITISH-COLUMBIA; ECHOLOCATION CLICKS; ACOUSTIC BEHAVIOR; ULTRASONIC WHISTLES; VANCOUVER-ISLAND; WATERS; POPULATIONS; CALLS</t>
  </si>
  <si>
    <t>High-frequency modulated signals with a stereotyped down-swept contour were recorded in the northwestern Antarctic Peninsula using an autonomous recorder and a towed hydrophone array. Signals have a mean start frequency at 21.6 kHz, end frequency at 15.7 kHz, -10 dB bandwidth of 5.9 kHz, and duration of 65.2 ms. Bouts of signals were generally recorded with a median inter-signal interval of 2.1 s. HFM signals partially modulated in the non-ultrasonic range similar to the ones described in this paper have already been reported for killer whales in the North Pacific, Western South Atlantic and Western Australian coast. The HFM signals were recorded in the presence of other odontocete sounds such as whistles, echolocation clicks and burst-pulsed sounds. The similarities of these sounds with vocalizations described for killer whales in the Western Australian coast lead us to strongly believe that the described HFM signals were produced by Antarctic killer whales. This paper described for the first time HFM signals in Antarctica and discussed evidence suggesting that Antarctic type A killer whales are the most probable candidates to produce such signals. However, a visual confirmation is still needed and the function of the HFM signals remains unknown.</t>
  </si>
  <si>
    <t>[Reyes Reyes, M. V.; Melcon, M. L.; Iniguez, M.] Fdn Cethus, Gdor Luis Monteverde,3695 B1636AEM, Olivos, Provincia De Bu, Argentina; [Reyes Reyes, M. V.] Whale &amp; Dolphin Conservat, Brookfield House,38St Paul St, Chippenham SN151LJ, Wilts, England; [Baumann-Pickering, S.; Simonis, A.; Trickey, J.; Hildebrand, J.] Univ Calif San Diego, Scripps Inst Oceanog, 9500 Gilman Dr 0205, San Diego, CA 92093 USA; [Iniguez, M.] Whale &amp; Dolphin Conservat, 7 Nelson St, Plymouth, MA 02360 USA</t>
  </si>
  <si>
    <t>Reyes, MVR (corresponding author), Fdn Cethus, Gdor Luis Monteverde,3695 B1636AEM, Olivos, Provincia De Bu, Argentina.;Reyes, MVR (corresponding author), Whale &amp; Dolphin Conservat, Brookfield House,38St Paul St, Chippenham SN151LJ, Wilts, England.</t>
  </si>
  <si>
    <t>vanesa.reyes@cethus.org</t>
  </si>
  <si>
    <t>Baumann-Pickering, Simone/AFO-9717-2022; Simonis, Anne/ABB-2031-2021; Simonis, Anne/AAU-5542-2021; Hildebrand, John A/ABA-6213-2022</t>
  </si>
  <si>
    <t>Baumann-Pickering, Simone/0000-0002-3428-3577; Hildebrand, John A/0000-0002-5418-9799; Simonis, Anne/0000-0002-8026-6233; Trickey, Jennifer/0000-0002-6080-8744</t>
  </si>
  <si>
    <t>University of California San Diego Academic Senate; Consejo Nacional de Investigaciones Cientificas y Tecnicas (CONICET); Fundacion Cethus; Whale and Dolphin Conservation</t>
  </si>
  <si>
    <t>University of California San Diego Academic Senate; Consejo Nacional de Investigaciones Cientificas y Tecnicas (CONICET)(Consejo Nacional de Investigaciones Cientificas y Tecnicas (CONICET)); Fundacion Cethus; Whale and Dolphin Conservation</t>
  </si>
  <si>
    <t>The authors thank Ana Sirovic, Sean M. Wiggins, Ryan Griswold, and Joshua Jones for instrument development, preparation, and fieldwork. We also thank Marta Hevia, the Prefectura Naval Argentina, and the officers and crew of the vessel SB-15 Tango for their assistance with fieldwork. Funding for this project was provided by the University of California San Diego Academic Senate, the Consejo Nacional de Investigaciones Cientificas y Tecnicas (CONICET), Fundacion Cethus, and Whale and Dolphin Conservation.</t>
  </si>
  <si>
    <t>1839-2571</t>
  </si>
  <si>
    <t>ACOUST AUST</t>
  </si>
  <si>
    <t>Acoust. Aust.</t>
  </si>
  <si>
    <t>10.1007/s40857-017-0103-x</t>
  </si>
  <si>
    <t>Acoustics</t>
  </si>
  <si>
    <t>FM4QJ</t>
  </si>
  <si>
    <t>WOS:000415005000008</t>
  </si>
  <si>
    <t>An Unsupervised Acoustic Description of Fish Schools and the Seabed in Three Fishing Regions Within the Northern Demersal Scalefish Fishery (NDSF, Western Australia)</t>
  </si>
  <si>
    <t>Fisheries acoustics; Acoustic habitat descriptors; Unsupervised target classification; Geostatistical hotspots; Indicator species</t>
  </si>
  <si>
    <t>ARTIFICIAL NEURAL-NETWORKS; ECOSYSTEM-BASED MANAGEMENT; MULTIPLE-FREQUENCY METHOD; SPECIES IDENTIFICATION; TARGET STRENGTH; PELAGIC FISH; CORAL-REEF; CONTINENTAL-SHELF; SPATIAL-PATTERNS; MULTIBEAM-SONAR</t>
  </si>
  <si>
    <t>Fisheries acoustics is now a standard tool for monitoring marine organisms. Another use of active-acoustics techniques is the potential to qualitatively describe fish school and seafloor characteristics or the distribution of fish density hotspots. Here, we use a geostatistical approach to describe the distribution of acoustic density hotspots within three fishing regions of the Northern Demersal Scalefish Fishery in Western Australia. This revealed a patchy distribution of hotspots within the three regions, covering almost half of the total areas. Energetic, geometric and bathymetric descriptors of acoustically identified fish schools were clustered using robust sparse k-means clustering with a Clest algorithm to determine the ideal number of clusters. Identified clusters were mainly defined by the energetic component of the school. Seabed descriptors considered were depth, roughness, first bottom length, maximum S-v, kurtosis, skewness and bottom rise time. The ideal number of bottom clusters (maximisation rule with D-Index, Hubert Score and Weighted Sum of Squares), following the majority rule, was three. Cluster 1 (mainly driven by depth) was the sole type present in Region 1, Cluster 2 (mainly driven by roughness and maximum Sv) dominated Region 3, while Region 2 was split up almost equally between Cluster 2 and 3. Detection of indicator species for the three seabed clusters revealed that the selected clusters could be related to biological information. Goldband snapper and miscellaneous fish were indicators for Cluster 1; Cods, Lethrinids, Red Emperor and other Lutjanids were linked with Cluster 2, while Rankin Cod and Triggerfish were indicators for Cluster 3.</t>
  </si>
  <si>
    <t>[Gastauer, Sven; Parsons, Miles] Curtin Univ, Ctr Marine Sci &amp; Technol, GPO Box U1987, Perth, WA 6845, Australia; [Gastauer, Sven] Wageningen Marine Res, POB 68, NL-1970 AB Ijmuiden, Netherlands; [Gastauer, Sven] Univ Tasmania, Antarctic Climate &amp; Ecosyst Cooperat Res Ctr, Private Bag 80, Hobart, Tas 7001, Australia; [Scoulding, Ben] Echoview Software Pty Ltd, GPO Box 1387, Hobart, Tas 7001, Australia; [Gastauer, Sven] Curtin Univ, CMST, B301 Hayman Rd, Bentley, WA 6102, Australia</t>
  </si>
  <si>
    <t>Curtin University; Wageningen University &amp; Research; University of Tasmania; Antarctic Climate &amp; Ecosystems Cooperative Research Centre (ACE CRC); Curtin University</t>
  </si>
  <si>
    <t>Gastauer, S (corresponding author), Curtin Univ, Ctr Marine Sci &amp; Technol, GPO Box U1987, Perth, WA 6845, Australia.;Gastauer, S (corresponding author), Wageningen Marine Res, POB 68, NL-1970 AB Ijmuiden, Netherlands.;Gastauer, S (corresponding author), Univ Tasmania, Antarctic Climate &amp; Ecosyst Cooperat Res Ctr, Private Bag 80, Hobart, Tas 7001, Australia.;Gastauer, S (corresponding author), Curtin Univ, CMST, B301 Hayman Rd, Bentley, WA 6102, Australia.</t>
  </si>
  <si>
    <t>Australian Fisheries Research and Development Corporation (FRDC); Western Australian Department of Fisheries</t>
  </si>
  <si>
    <t>Australian Fisheries Research and Development Corporation (FRDC)(Fisheries R&amp;D Corp); Western Australian Department of Fisheries</t>
  </si>
  <si>
    <t>Data used within this study was collected through a project funded via the Australian Fisheries Research and Development Corporation (FRDC), with support from the Western Australian Department of Fisheries. A special thank you goes out to Kimberley Wildcatch and the crew of Carolina M., Adam and Alison Masters for their support and help during the data collection process. All data were collected according to the Australian Code of Practice for the care and use of animals for scientific purposes.</t>
  </si>
  <si>
    <t>10.1007/s40857-017-0100-0</t>
  </si>
  <si>
    <t>WOS:000415005000019</t>
  </si>
  <si>
    <t>Polito, MJ; Hinke, JT; Hart, T; Santos, M; Houghton, LA; Thorrold, SR</t>
  </si>
  <si>
    <t>Polito, Michael J.; Hinke, Jefferson T.; Hart, Tom; Santos, Mercedes; Houghton, Leah A.; Thorrold, Simon R.</t>
  </si>
  <si>
    <t>Stable isotope analyses of feather amino acids identify penguin migration strategies at ocean basin scales</t>
  </si>
  <si>
    <t>migration; geolocation; seabird; stable isotopes</t>
  </si>
  <si>
    <t>MOVEMENTS</t>
  </si>
  <si>
    <t>Identifying the at-sea distribution of wide-ranging marine predators is critical to understanding their ecology. Advances in electronic tracking devices and intrinsic biogeochemical markers have greatly improved our ability to track animal movements on ocean-wide scales. Here, we show that, in combination with direct tracking, stable carbon isotope analysis of essential amino acids in tail feathers provides the ability to track the movement patterns of two, wide-ranging penguin species over ocean basin scales. In addition, we use this isotopic approach across multiple breeding colonies in the Scotia Arc to evaluate migration trends at a regional scale that would be logistically challenging using direct tracking alone.</t>
  </si>
  <si>
    <t>[Polito, Michael J.] Louisiana State Univ, Dept Oceanog &amp; Coastal Sci, Baton Rouge, LA 70803 USA; [Polito, Michael J.; Houghton, Leah A.; Thorrold, Simon R.] Woods Hole Oceanog Inst, Dept Biol, Woods Hole, MA 02543 USA; [Hinke, Jefferson T.] NOAA, Antarctic Ecosyst Res Div, Southwest Fisheries Sci Ctr, Natl Marine Fisheries Serv, La Jolla, CA 92037 USA; [Hart, Tom] Univ Oxford, Dept Zool, South Parks Rd, Oxford OX1 3PS, England; [Santos, Mercedes] Inst Antartico Argentino, Dept Biol Predadores Tope, 25 Mayo 1143,Buenos Aires B1650CSP, San Martin, Argentina; [Santos, Mercedes] Univ Nacl La Plata, Fac Ciencias Nat &amp; Museo, Lab Anexos, Calle 64 3,Buenos Aires B1904AMA, La Plata, Buenos Aires, Argentina</t>
  </si>
  <si>
    <t>Louisiana State University System; Louisiana State University; Woods Hole Oceanographic Institution; National Oceanic Atmospheric Admin (NOAA) - USA; University of Oxford; Instituto Antartico Argentino; National University of La Plata; Museo La Plata</t>
  </si>
  <si>
    <t>Polito, MJ (corresponding author), Louisiana State Univ, Dept Oceanog &amp; Coastal Sci, Baton Rouge, LA 70803 USA.;Polito, MJ (corresponding author), Woods Hole Oceanog Inst, Dept Biol, Woods Hole, MA 02543 USA.</t>
  </si>
  <si>
    <t>mpolito@lsu.edu</t>
  </si>
  <si>
    <t>, Jefferson/AAG-1702-2021; Polito, Michael/G-9118-2012; Thorrold, Simon R/B-7565-2012</t>
  </si>
  <si>
    <t>, Jefferson/0000-0002-3600-1414; Polito, Michael/0000-0001-8639-4431; Hart, Tom/0000-0002-4527-5046</t>
  </si>
  <si>
    <t>National Marine Sanctuary Foundation; Ocean Life Institute; Darwin Initiative; SeaWorld Bush Gardens Conservation Fund</t>
  </si>
  <si>
    <t>Funded by the National Marine Sanctuary Foundation (GLS tags), Ocean Life Institute (M.J.P., L.H. and S.R.T.), Darwin Initiative (T.H.) and SeaWorld Bush Gardens Conservation Fund (M.J.P. and S.R.T.).</t>
  </si>
  <si>
    <t>AUG 1</t>
  </si>
  <si>
    <t>10.1098/rsbl.2017.0241</t>
  </si>
  <si>
    <t>FI7FR</t>
  </si>
  <si>
    <t>Green Submitted, Green Published, Bronze</t>
  </si>
  <si>
    <t>WOS:000412162800004</t>
  </si>
  <si>
    <t>Campbell, S; Aswadl, A; Katzourakis, A</t>
  </si>
  <si>
    <t>Campbell, Samuel; Aswadl, Amr; Katzourakis, Aris</t>
  </si>
  <si>
    <t>Disentangling the origins of virophages and polintons</t>
  </si>
  <si>
    <t>CURRENT OPINION IN VIROLOGY</t>
  </si>
  <si>
    <t>VIRUS INTEGRATION; DNA VIRUSES; ALGAL HOST; GENOME; TRANSPOSONS; REVEALS; PROVIROPHAGES; EUKARYOTES; EVOLUTION; ELEMENTS</t>
  </si>
  <si>
    <t>Virophages and polintons are part of a complex system that also involves eukaryotes, giant viruses, as well as other viruses and transposable elements. Virophages are cosmopolitan, being found in environments ranging from the Amazon River to Antarctic hypersaline lakes, while polintons are found in many single celled and multicellular eukaryotes. Virophages and polintons have a shared ancestry, but their exact origins are unknown and obscured by antiquity and extensive horizontal gene transfer (HGT). Paleovirology can help disentangle the complicated gene flow between these two, as well as their giant viral and eukaryotic hosts. We outline the evidence and theoretical support for polintons being descended from viruses and not vice versa. In order to disentangle the natural history of polintons and virophages, we suggest that there is much to be gained by embracing rigorous metagenomics and evolutionary analyses. Methods from paleovirology will play a pivotal role in unravelling ancient relationships, HGT and patterns of cross species transmission.</t>
  </si>
  <si>
    <t>[Campbell, Samuel; Aswadl, Amr; Katzourakis, Aris] Univ Oxford, Dept Zool, Oxford OX1 3PS, England</t>
  </si>
  <si>
    <t>Katzourakis, A (corresponding author), Univ Oxford, Dept Zool, Oxford OX1 3PS, England.</t>
  </si>
  <si>
    <t>aris.katzourakis@zoo.ox.ac.uk</t>
  </si>
  <si>
    <t>Katzourakis, Aris/K-4488-2012</t>
  </si>
  <si>
    <t>Katzourakis, Aris/0000-0003-3328-6204</t>
  </si>
  <si>
    <t>1879-6257</t>
  </si>
  <si>
    <t>1879-6265</t>
  </si>
  <si>
    <t>CURR OPIN VIROL</t>
  </si>
  <si>
    <t>Curr. Opin. Virol.</t>
  </si>
  <si>
    <t>10.1016/j.coviro.2017.07.011</t>
  </si>
  <si>
    <t>Virology</t>
  </si>
  <si>
    <t>FJ6KF</t>
  </si>
  <si>
    <t>WOS:000412866000011</t>
  </si>
  <si>
    <t>Douma, E; Rodger, CJ; Blum, LW; Clilverd, MA</t>
  </si>
  <si>
    <t>Douma, Emma; Rodger, Craig J.; Blum, Lauren W.; Clilverd, Mark A.</t>
  </si>
  <si>
    <t>Occurrence characteristics of relativistic electron microbursts from SAMPEX observations</t>
  </si>
  <si>
    <t>relativistic microbursts; SAMPEX; microbursts; drivers; occurrence</t>
  </si>
  <si>
    <t>OUTER RADIATION BELT; VAN ALLEN PROBES; SOLAR-WIND; GEM STORMS; PRECIPITATION; WAVES; ACCELERATION; EMISSIONS</t>
  </si>
  <si>
    <t>We study the occurrence of relativistic microbursts observed by the Solar Anomalous Magnetospheric Particle Explorer (SAMPEX) satellite. An algorithm is used to identify 193,694 relativistic microbursts in the &gt; 1.05 MeV electron fluxes occurring across the time period 23 August 1996 to 11 August 2007, nearly a full solar cycle. Our observations are normalized to provide the change in absolute occurrence rates with various parameters. We find that relativistic microbursts are mostly confined to the outer radiation belt, from L = 3-8, occurring primarily on the morningside, between 0 and 13 magnetic local time (MLT). This L and MLT distribution is consistent with the L and MLT distribution of whistler mode chorus amplitude. Thus, our observations favor whistler mode chorus wave activity as a driver of relativistic microbursts. Relativistic microbursts become more frequent as the geomagnetic activity level increases and are more frequent during equinoxes than during the solstices. The peak occurrence frequency of the relativistic microbursts moves to lower L as the geomagnetic activity increases, reaching a peak occurrence rate of one microburst every 10.4s (on average) at L = 4 for 6.6 Kp 8.7. Microbursts primarily occur outside of the plasmapause and track the inward movement of the plasmapause with increasing geomagnetic activity. The L and MLT distribution of the relativistic microbursts exhibits a peak occurrence of one microburst every 8.6 (98.0) s during active (disturbed) conditions, with the peak located at L = 5 (L = 5.5) and 08 (08) MLT.</t>
  </si>
  <si>
    <t>[Douma, Emma; Rodger, Craig J.] Univ Otago, Dept Phys, Dunedin, New Zealand; [Blum, Lauren W.] NASA, Goddard Space Flight Ctr, Greenbelt, MD USA; [Clilverd, Mark A.] British Antarctic Survey, NERC, Cambridge, England</t>
  </si>
  <si>
    <t>University of Otago; National Aeronautics &amp; Space Administration (NASA); NASA Goddard Space Flight Center; UK Research &amp; Innovation (UKRI); Natural Environment Research Council (NERC); NERC British Antarctic Survey</t>
  </si>
  <si>
    <t>Douma, E (corresponding author), Univ Otago, Dept Phys, Dunedin, New Zealand.</t>
  </si>
  <si>
    <t>emmadouma@gmail.com</t>
  </si>
  <si>
    <t>Blum, Lauren/I-2164-2017; Rodger, Craig/A-1501-2011; Douma, Emma/AAE-9976-2020</t>
  </si>
  <si>
    <t>Douma, Emma/0000-0003-3709-4939; Rodger, Craig J./0000-0002-6770-2707</t>
  </si>
  <si>
    <t>University of Otago via a Fanny Evans PhD scholarship; NSF AGS Postdoctoral Research Fellowship award [1524755]; NERC [bas0100031, NE/P01738X/1] Funding Source: UKRI; Div Atmospheric &amp; Geospace Sciences; Directorate For Geosciences [1524755] Funding Source: National Science Foundation; Natural Environment Research Council [NE/P01738X/1, bas0100031] Funding Source: researchfish</t>
  </si>
  <si>
    <t>University of Otago via a Fanny Evans PhD scholarship; NSF AGS Postdoctoral Research Fellowship award; NERC(UK Research &amp; Innovation (UKRI)Natural Environment Research Council (NERC)); Div Atmospheric &amp; Geospace Sciences; Directorate For Geosciences(National Science Foundation (NSF)NSF - Directorate for Geosciences (GEO)); Natural Environment Research Council(UK Research &amp; Innovation (UKRI)Natural Environment Research Council (NERC))</t>
  </si>
  <si>
    <t>The authors would like to thank the many individuals involved in the operation of SAMPEX over 20 years. For the GOES data we acknowledge the Space Weather Prediction Center, Boulder, CO, National Oceanic and Atmospheric Administration (NOAA), U.S. Department of Commerce. E.D. was supported by the University of Otago via a Fanny Evans PhD scholarship for women. L.B. was supported by the NSF AGS Postdoctoral Research Fellowship award 1524755. Data availability is described at the following websites: http://www.srl.caltech.edu/sampex/DataCenter/index.html(SAMPEX),wdc.kugi.kyoto-u.ac.jp (AE, Kp), and ftp://spdf.gsfc.nasa.gov/pub/data/omni/high_res_omni/ (GOES protons).</t>
  </si>
  <si>
    <t>10.1002/2017JA024067</t>
  </si>
  <si>
    <t>FI2RA</t>
  </si>
  <si>
    <t>WOS:000411788800018</t>
  </si>
  <si>
    <t>Allison, HJ; Horne, RB; Glauert, SA; Del Zanna, G</t>
  </si>
  <si>
    <t>Allison, Hayley J.; Horne, Richard B.; Glauert, Sarah A.; Del Zanna, Giulio</t>
  </si>
  <si>
    <t>The magnetic local time distribution of energetic electrons in the radiation belt region</t>
  </si>
  <si>
    <t>energetic electrons; magnetic local time; electrons distribution; radiation belts</t>
  </si>
  <si>
    <t>VAN ALLEN PROBES; PITCH-ANGLE DIFFUSION; GEOSYNCHRONOUS ORBIT; EMIC WAVES; RELATIVISTIC ELECTRONS; GEOMAGNETIC STORMS; SEED POPULATION; CHORUS WAVES; RING CURRENT; MAGNETOPAUSE</t>
  </si>
  <si>
    <t>Using 14years of electron flux data from the National Oceanic and Atmospheric Administration Polar Operational Environmental Satellites, a statistical study of the magnetic local time (MLT) distribution of the electron population is performed across a range of activity levels, defined by AE, AE*, Kp, solar wind velocity (V-sw), and VswBz. Three electron energies (&gt;30, &gt;100, and &gt;300keV) are considered. Dawn-dusk flux asymmetries larger than order of magnitude were observed for &gt;30 and &gt;100keV electrons. For &gt;300keV electrons, dawn-dusk asymmetries were primarily due to a decrease in the average duskside flux beyond L*approximate to 4.5 that arose with increasing activity. For the &gt;30keV population, substorm injections enhance the dawnside flux, which may not reach the duskside as the electrons can be on open drift paths and lost to the magnetopause. The asymmetries in the &gt;300keV population are attributed to the combination of magnetopause shadowing and &gt;300keV electron injections by large electric fields. We suggest that 3-D radiation belt models could set the minimum energy boundary (E-min) to 30keV or above at L*approximate to 6 during periods of low activity. However, for more moderate conditions, E-min should be larger than 100keV and, for very extreme activities, approximate to 300keV. Our observations show the extent that in situ electron flux readings may vary during active periods due to the MLT of the satellite and highlight the importance of 4-D radiation belt models to fully understand radiation belt processes.</t>
  </si>
  <si>
    <t>[Allison, Hayley J.; Horne, Richard B.; Glauert, Sarah A.] British Antarctic Survey, Nat Environm Res Council, Cambridge, England; [Allison, Hayley J.; Del Zanna, Giulio] Univ Cambridge, Dept Appl Math &amp; Theoret Phys, Cambridge, England</t>
  </si>
  <si>
    <t>UK Research &amp; Innovation (UKRI); Natural Environment Research Council (NERC); NERC British Antarctic Survey; University of Cambridge</t>
  </si>
  <si>
    <t>Allison, HJ (corresponding author), British Antarctic Survey, Nat Environm Res Council, Cambridge, England.;Allison, HJ (corresponding author), Univ Cambridge, Dept Appl Math &amp; Theoret Phys, Cambridge, England.</t>
  </si>
  <si>
    <t>haylis@bas.ac.uk</t>
  </si>
  <si>
    <t>Horne, Richard B/U-3764-2019</t>
  </si>
  <si>
    <t>Horne, Richard B/0000-0002-0412-6407; Allison, Hayley/0000-0002-6665-2023</t>
  </si>
  <si>
    <t>National Environment Research Council (NERC) via Doctoral Training Programme [NE/L002507/1]; NERC National Capability Funding; Science and Technology Facilities Council (STFC); NERC [NE/P01738X/1, bas0100031] Funding Source: UKRI; STFC [PP/E004857/2, ST/J000892/1, PP/E001254/1, ST/L000636/1, ST/P000673/1, ST/P000665/1] Funding Source: UKRI; Natural Environment Research Council [1654548, NE/P01738X/1, bas0100031] Funding Source: researchfish; Science and Technology Facilities Council [ST/P000665/1, PP/E004857/2, ST/J000892/1, PP/E001254/1, ST/L000636/1, ST/P000673/1] Funding Source: researchfish</t>
  </si>
  <si>
    <t>National Environment Research Council (NERC) via Doctoral Training Programme; NERC National Capability Funding(UK Research &amp; Innovation (UKRI)Natural Environment Research Council (NERC)); Science and Technology Facilities Council (STFC)(UK Research &amp; Innovation (UKRI)Science &amp; Technology Facilities Council (STFC)Science and Technology Development Fund (STDF));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</si>
  <si>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We thank Nigel P. Meredith for providing data on where pitch angles observed by the MEPED instrument on board the POES satellites lie outside the bounce and drift loss cones and Janet Green for her bow tie analysis software. The authors also acknowledge the NOAA National Geophysical Data Centre (https://ngdc.noaa.gov/stp/satellite/poes/dataaccess.html) for the POES particle data used in this study and give thanks for OMNI database access. The UNILIB library used in this study is available at http://www.mag-unilib.eu/. The work was supported by the National Environment Research Council (NERC) via Doctoral Training Programme NE/L002507/1 and NERC National Capability Funding. G.D.Z. also acknowledges Science and Technology Facilities Council (STFC) support. The data used to generate the plots in this paper are stored in the BAS Polar Data Center and are available on request.</t>
  </si>
  <si>
    <t>10.1002/2017JA024084</t>
  </si>
  <si>
    <t>WOS:000411788800019</t>
  </si>
  <si>
    <t>Thomson, NR; Clilverd, MA; Rodger, CJ</t>
  </si>
  <si>
    <t>Thomson, Neil R.; Clilverd, Mark A.; Rodger, Craig J.</t>
  </si>
  <si>
    <t>Midlatitude ionospheric D region: Height, sharpness, and solar zenith angle</t>
  </si>
  <si>
    <t>midlatitude D-region height and sharpness; VLF propagation; solar zenith angle; daytime D-region electron density; Earth-ionosphere waveguide height</t>
  </si>
  <si>
    <t>VLF radio amplitude and phase measurements are used to find the height and sharpness of the D region of the ionosphere at a mid to high geomagnetic dip latitude of similar to 52.5 degrees. The two paths used are both from the 23.4kHz transmitter, DHO, in north Germany with the first path being northward and mainly over the sea along the west coast of Denmark over a range of similar to 320-425km, and the second, also mainly all-sea, to a single fixed recording receiver at Eskdalemuir in Scotland (similar to 750km). From plots of the measured amplitudes and phases versus distance for the first of these paths compared with calculations using the U.S. Navy code, ModeFinder, the Wait height and sharpness parameters of the D region at midday in summer 2015 are found to be H' = 72.8 +/- 0.2 km and beta = 0.345 +/- 0.015 km(-1) at a solar zenith angle similar to 33 degrees. From phase and amplitude measurements at other times of day on the second path, the daytime changes in H' and beta as functions of solar zenith angle are determined from shortly after dawn to shortly before dusk. Comparisons are also made between the modal ModeFinder calculations and wave hop calculations, with both giving similar results. The parameters found here should be useful in understanding energy inputs to the D region from the radiation belts, solar flares, or transient luminous events. The midday values may be sufficiently precise to be useful for monitoring climate change.</t>
  </si>
  <si>
    <t>[Thomson, Neil R.; Rodger, Craig J.] Univ Otago, Phys Dept, Dunedin, New Zealand; [Clilverd, Mark A.] British Antarctic Survey, Cambridge, England</t>
  </si>
  <si>
    <t>University of Otago; UK Research &amp; Innovation (UKRI); Natural Environment Research Council (NERC); NERC British Antarctic Survey</t>
  </si>
  <si>
    <t>Thomson, NR (corresponding author), Univ Otago, Phys Dept, Dunedin, New Zealand.</t>
  </si>
  <si>
    <t>n_thomson@physics.otago.ac.nz</t>
  </si>
  <si>
    <t>Rodger, Craig/A-1501-2011</t>
  </si>
  <si>
    <t>Rodger, Craig J./0000-0002-6770-2707</t>
  </si>
  <si>
    <t>NERC [bas0100031] Funding Source: UKRI; Natural Environment Research Council [bas0100031] Funding Source: researchfish</t>
  </si>
  <si>
    <t>10.1002/2017JA024455</t>
  </si>
  <si>
    <t>WOS:000411788800072</t>
  </si>
  <si>
    <t>Yi, W; Reid, IM; Xue, XH; Younger, JP; Spargo, AJ; Murphy, DJ; Chen, TD; Dou, XK</t>
  </si>
  <si>
    <t>Yi, Wen; Reid, Iain M.; Xue, Xianghui; Younger, Joel P.; Spargo, Andrew J.; Murphy, Damian J.; Chen, Tingdi; Dou, Xiankang</t>
  </si>
  <si>
    <t>First observation of mesosphere response to the solar wind high-speed streams</t>
  </si>
  <si>
    <t>radar; density; mesosphere; solar; geomagnetic; meteor</t>
  </si>
  <si>
    <t>STRATOSPHERE-TROPOSPHERE RADAR; INTERFEROMETRIC METEOR RADAR; DIFFUSION-COEFFICIENTS; GEOMAGNETIC-ACTIVITY; MESOPAUSE REGION; DECAY TIMES; SPACED DATA; TEMPERATURE; DENSITY; THERMOSPHERE</t>
  </si>
  <si>
    <t>We present a first analysis of 9 and 6.75day periodic oscillations observed in the neutral mesospheric density in 2005 and 2006. Mesospheric densities near 90km are derived using data from the Davis meteor radar (68.5 degrees S, 77.9 degrees E; magnetic latitude, 74.6 degrees S), Antarctica. Spectral analysis indicates that the pronounced periodicities of 9 and 6.75days observed in the mesosphere densities are associated with variations in solar wind high-speed streams and recurrent geomagnetic activity. Neutral mesospheric winds and temperatures, simultaneously measured by the Davis meteor radar, also exhibit 9 and 6.75day periodicities. A Morlet wavelet analysis shows that the time evolution of the 9 and 6.75day oscillations in the neutral mesosphere densities and winds are similar to those in the solar wind and in planetary magnetic activity index, Kp in 2005 and 2006. These results demonstrate a direct coupling between Sun's corona (upper atmosphere) and the Earth's mesosphere.</t>
  </si>
  <si>
    <t>[Yi, Wen; Xue, Xianghui; Chen, Tingdi; Dou, Xiankang] Univ Sci &amp; Technol China, Dept Geophys &amp; Planetary Sci, CAS Key Lab Geospace Environm, Hefei, Anhui, Peoples R China; [Yi, Wen; Xue, Xianghui; Chen, Tingdi] Univ Sci &amp; Technol China, Sch Earth &amp; Space Sci, Mengcheng Natl Geophys Observ, Hefei, Anhui, Peoples R China; [Yi, Wen; Reid, Iain M.; Younger, Joel P.; Spargo, Andrew J.] Univ Adelaide, Sch Phys Sci, Adelaide, SA, Australia; [Reid, Iain M.; Younger, Joel P.] ATRAD Pty Ltd, Thebarton, SA, Australia; [Xue, Xianghui] Univ Sci &amp; Technol China, Synerget Innovat Ctr Quantum Informat &amp; Quantum P, Hefei, Anhui, Peoples R China; [Murphy, Damian J.] Australian Antarctic Div, Kingston, Tas, Australia</t>
  </si>
  <si>
    <t>Reid, Iain/B-5681-2012; Xue, Xianghui/S-5789-2019; Yi, Wen/M-4896-2019; Younger, Joel/I-4601-2012</t>
  </si>
  <si>
    <t>Reid, Iain/0000-0003-2340-9047; Xue, Xianghui/0000-0002-4541-9900; Yi, Wen/0000-0003-3717-6811; Younger, Joel/0000-0003-2918-1709; Murphy, Damian/0000-0003-1738-5560</t>
  </si>
  <si>
    <t>National Natural Science Foundation of China [41474129, 41421063]; Chinese Academy of Sciences [KJCX2-EW-J01]; Youth Innovation Promotion Association of the Chinese Academy of Sciences [2011324]; Fundamental Research Funds for the Central Universities; China Scholarship Council; University of Adelaide; ATRAD Pty Ltd; AAS [2529, 2668]; ATRAD Pty Ltd.</t>
  </si>
  <si>
    <t>National Natural Science Foundation of China(National Natural Science Foundation of China (NSFC)); Chinese Academy of Sciences(Chinese Academy of Sciences); Youth Innovation Promotion Association of the Chinese Academy of Sciences; Fundamental Research Funds for the Central Universities(Fundamental Research Funds for the Central Universities); China Scholarship Council(China Scholarship Council); University of Adelaide; ATRAD Pty Ltd; AAS; ATRAD Pty Ltd.</t>
  </si>
  <si>
    <t>This work is supported by the National Natural Science Foundation of China (41474129 and 41421063), the Chinese Academy of Sciences (KJCX2-EW-J01), the Youth Innovation Promotion Association of the Chinese Academy of Sciences (2011324), and the Fundamental Research Funds for the Central Universities and the China Scholarship Council. We also acknowledge support provided by the University of Adelaide and ATRAD Pty Ltd, and the provision of Davis meteor radar data by the Australian Antarctic Division. Operation of the Davis meteor radar was supported under AAS projects 2529 and 2668. We thank the NASA EOS Aura MLS team for providing free access to their data. The MATLAB wavelet analysis software was provided by C. Torrence and G. Compo and is available at URL http://paos.colorado.edu/research/wavelets/software.html, and a rectified wavelet analysis software was provided by Liu et al. [2007] and is available at URL http://ocgweb.marine.usf.edu/~liu/wavelet.html.Aura/MLS data are available from http://disc.sci.gsfc.nasa.gov/Aura/data-holdings/MLS. Meteor radar data are available from the University of Adelaide and the Australian Antarctic Division upon request. The involvement of I.M.R. and J.P.Y. was supported by ATRAD Pty Ltd.</t>
  </si>
  <si>
    <t>10.1002/2017JA024446</t>
  </si>
  <si>
    <t>WOS:000411788800083</t>
  </si>
  <si>
    <t>Bornman, TG; Fawcett, S; Dorrington, R; Suaria, G</t>
  </si>
  <si>
    <t>Bornman, T. G.; Fawcett, S.; Dorrington, R.; Suaria, G.</t>
  </si>
  <si>
    <t>PHYTOPLANKTON OF THE SOUTHERN OCEAN: PRELIMINARY DATA FROM THE 2016/17 ANTARCTIC CIRCUMNAVIGATION EXPEDITION</t>
  </si>
  <si>
    <t>PHYCOLOGIA</t>
  </si>
  <si>
    <t>[Bornman, T. G.] South African Environm Observat Network, Pretoria, South Africa; [Fawcett, S.] Univ Cape Town, Cape Town, South Africa; [Dorrington, R.] Rhodes Univ, Grahamstown, South Africa; [Suaria, G.] Inst Marine Sci, Pozzuolo Di Lerici, La Spezia, Italy</t>
  </si>
  <si>
    <t>National Research Foundation - South Africa; South African Environmental Observation Network (SAEON); University of Cape Town; Rhodes University; Consiglio Nazionale delle Ricerche (CNR); Istituto di Scienze Marine (ISMAR-CNR)</t>
  </si>
  <si>
    <t>tommy@saeon.ac.za; sarah.fawcett@uct.ac.za; r.dorrington@ru.ac.za; suaria@sp.ismar.cnr.it</t>
  </si>
  <si>
    <t>Suaria, Giuseppe/O-4210-2014; Bornman, Thomas George/V-7794-2019</t>
  </si>
  <si>
    <t>Suaria, Giuseppe/0000-0002-4290-349X; Bornman, Thomas George/0000-0003-1868-479X</t>
  </si>
  <si>
    <t>INT PHYCOLOGICAL SOC</t>
  </si>
  <si>
    <t>NEW BUSINESS OFFICE, PO BOX 1897, LAWRENCE, KS 66044-8897 USA</t>
  </si>
  <si>
    <t>0031-8884</t>
  </si>
  <si>
    <t>Phycologia</t>
  </si>
  <si>
    <t>S</t>
  </si>
  <si>
    <t>Plant Sciences; Marine &amp; Freshwater Biology</t>
  </si>
  <si>
    <t>FJ6TX</t>
  </si>
  <si>
    <t>WOS:000412892000043</t>
  </si>
  <si>
    <t>Noisette, F; Hurd, CL</t>
  </si>
  <si>
    <t>Noisette, F.; Hurd, C. L.</t>
  </si>
  <si>
    <t>LIVING IN THE BOUNDARY LAYER OF KELP BLADES: REFUGE FROM OCEAN ACIDIFICATION OR TRAINING FOR HARSH CONDITIONS?</t>
  </si>
  <si>
    <t>[Noisette, F.] GEOMAR, Inst Marine &amp; Antarctic Studies, Kiel, Germany; [Hurd, C. L.] Inst Marine &amp; Antarctic Studies, Kiel, Germany</t>
  </si>
  <si>
    <t>fanny.noisette@live.fr; Catriona.Hurd@utas.edu.au</t>
  </si>
  <si>
    <t>Hurd, Catriona L/J-2411-2013</t>
  </si>
  <si>
    <t>WOS:000412892000290</t>
  </si>
  <si>
    <t>Pinseel, E; Verleyen, E; Wolfe, A; Harper, M; Lewis, AR; Dickinson, W; Ashworth, AC; Van de Vijver, B; Sabbe, K; Vyverman, W</t>
  </si>
  <si>
    <t>Pinseel, E.; Verleyen, E.; Wolfe, A.; Harper, M.; Lewis, A. R.; Dickinson, W.; Ashworth, A. C.; Van de Vijver, B.; Sabbe, K.; Vyverman, W.</t>
  </si>
  <si>
    <t>MIOCENE DIATOM FOSSILS SHED LIGHT ON THE PALEOENVIRONMENTAL AND BIOGEOGRAPHICAL HISTORY OF THE ANTARCTIC CONTINENT</t>
  </si>
  <si>
    <t>[Pinseel, E.; Verleyen, E.; Sabbe, K.; Vyverman, W.] Univ Ghent, Protistol &amp; Aquat Ecol Res Grp, Ghent, Belgium; [Wolfe, A.] Univ Alberta, Dept Biol Sci, Edmonton, AB, Canada; [Harper, M.] Victoria Univ Wellington, Sch Geog Environm &amp; Earth Sci, Wellington, New Zealand; [Lewis, A. R.; Ashworth, A. C.] North Dakota State Univ, Dept Geosci, Main Campus, Fargo, ND 58105 USA; [Dickinson, W.] Victoria Univ, Antarctic Res Ctr, Wellington, New Zealand; [Van de Vijver, B.] Bot Garden Meise, Meise, Belgium</t>
  </si>
  <si>
    <t>Ghent University; University of Alberta; Victoria University Wellington; North Dakota State University Fargo; Victoria University Wellington</t>
  </si>
  <si>
    <t>eveline.pinseel@ugent.be; elie.verleyen@ugent.be; awolfe@ualberta.ca; margaret.harper@vuw.ac.nz; adam.r.lewis.1@ndsu.edu; warren.dickinson@vuw.ac.nz; allan.ashworth@ndsu.edu; bart.vandevijver@plantentuinmeise.be; koen.sabbe@ugent.be; wim.vyverman@ugent.be</t>
  </si>
  <si>
    <t>WOS:000412892000311</t>
  </si>
  <si>
    <t>Rodríguez, C; Lorenzale, M; López-Unzu, MA; Fernández, B; Salmerón, F; Sans-Coma, V; Durán, AC</t>
  </si>
  <si>
    <t>Rodriguez, Cristina; Lorenzale, Miguel; Lopez-Unzu, Miguel A.; Fernandez, Borja; Salmeron, Francisca; Sans-Coma, Valentin; Duran, Ana C.</t>
  </si>
  <si>
    <t>The bulbus arteriosus of the holocephalan heart: gross anatomy, histomorphology, pigmentation, and evolutionary significance</t>
  </si>
  <si>
    <t>ZOOLOGY</t>
  </si>
  <si>
    <t>Bulbus arteriosus; Cardiac outflow tract; Heart; Holocephali; Pigmentation</t>
  </si>
  <si>
    <t>ACIPENSER-NACCARII HEART; CARDIAC OUTFLOW TRACT; CONUS ARTERIOSUS; VISCERAL PIGMENTATION; ANTARCTIC TELEOSTS; MOUSE HEART; FISH HEART; CHONDRICHTHYES; MELANOCYTES; PHYLOGENY</t>
  </si>
  <si>
    <t>This study was designed to determine whether the outflow tract of the holocephalan heart is composed of a myocardial conus arteriosus and a non-myocardial bulbus arteriosus, as is the case in elasmobranchs. This is a key issue to verify the hypothesis that these two anatomical components existed from the onset of the jawed vertebrate radiation. The Holocephali are the sister group of the elasmobranchs, sharing with them a common, still unknown Palaeozoic ancestor. The sample examined herein consisted of hearts from individuals of four species, two of them belonging to the Chimaeridae and the other two to the Rhinochimaeridae. In all specimens, the cardiac outflow tract consisted of a conus arteriosus, with myocardium in its walls and two rows of valves at its lumina] side, and an intrapericardial bulbus arteriosus shorter than the conus and devoid of valves. The bulbus, mainly composed of elastin and smooth musculature, was covered by the epicardium and crossed longitudinally by coronary artery trunks. These findings give added support to the viewpoint that the outflow tract of the primitive heart of the gnathostomes was not composed of a single component, but two, the conus and the bulbus. All rabbitfish (Chimaera monstrosa) examined had pigment cells over the surface of the heart. The degree of pigmentation, which varied widely between individuals, was particularly intense in the cardiac outflow tract. Pigment cells also occurred in the bulbus arteriosus of one of the two hearts of the straightnose rabbitfish (Rhinochimaera atlantica) included in the study. The cells containing pigment, presumably derived from the neural crest, were located in the subepicardium. (C) 2017 Elsevier GmbH. All rights reserved.</t>
  </si>
  <si>
    <t>[Rodriguez, Cristina; Lorenzale, Miguel; Lopez-Unzu, Miguel A.; Fernandez, Borja; Sans-Coma, Valentin; Duran, Ana C.] Univ Malaga, Fac Ciencias, Dept Biol Anim, E-29071 Malaga, Spain; [Rodriguez, Cristina; Lorenzale, Miguel; Lopez-Unzu, Miguel A.; Fernandez, Borja; Duran, Ana C.] Univ Malaga, Inst Invest Biomed Malaga IBIMA, E-29071 Malaga, Spain; [Salmeron, Francisca] Ctr Oceanog Malaga, Inst Espanol Oceanog, Malaga 29640, Spain</t>
  </si>
  <si>
    <t>Universidad de Malaga; Universidad de Malaga; Instituto de Investigacion Biomedica de Malaga y Plataforma en Nanomedicina (IBIMA); Spanish Institute of Oceanography</t>
  </si>
  <si>
    <t>Durán, AC (corresponding author), Univ Malaga, Fac Ciencias, Dept Biol Anim, E-29071 Malaga, Spain.</t>
  </si>
  <si>
    <t>acduran@uma.es</t>
  </si>
  <si>
    <t>/AAG-9282-2020; López-Unzu, Miguel A./B-5911-2017; Corujo, Francisco Borja Fernández/AAG-8258-2020</t>
  </si>
  <si>
    <t>López-Unzu, Miguel A./0000-0002-8538-0713; Corujo, Francisco Borja Fernández/0000-0001-9179-910X</t>
  </si>
  <si>
    <t>Subdireccion General de Proyectos de Investigacion (Ministerio de Economia y Competitividad, Madrid, Espaiia) [CGL2010-16417, CGL2014-52356-P]; FEDER funds; Ministerio de Educacion, Cultura y Deporte, Madrid, Espana [FPU15/03209]</t>
  </si>
  <si>
    <t>Subdireccion General de Proyectos de Investigacion (Ministerio de Economia y Competitividad, Madrid, Espaiia); FEDER funds(European Union (EU)); Ministerio de Educacion, Cultura y Deporte, Madrid, Espana</t>
  </si>
  <si>
    <t>This work was supported by Grants CGL2010-16417 and CGL2014-52356-P from the Subdireccion General de Proyectos de Investigacion (Ministerio de Economia y Competitividad, Madrid, Espaiia) and FEDER funds. Miguel A. Lopez-Unzu is the recipient of fellowship FPU15/03209 (Ministerio de Educacion, Cultura y Deporte, Madrid, Espana). We thank Dr. Luis Gil de Sola and Dr. Ana Ramos from the Spanish Institute of Oceanography, heads of the MEDITS and MAURIT campaigns, respectively, and Mr. Sebastian Martin (Caleta de Velez, Malaga) for their contribution in obtaining the material.</t>
  </si>
  <si>
    <t>0944-2006</t>
  </si>
  <si>
    <t>10.1016/j.zool.2017.05.008</t>
  </si>
  <si>
    <t>FJ0DD</t>
  </si>
  <si>
    <t>WOS:000412377800005</t>
  </si>
  <si>
    <t>Nakayama, Y; Menemenlis, D; Schodlok, M; Rignot, E</t>
  </si>
  <si>
    <t>Nakayama, Y.; Menemenlis, D.; Schodlok, M.; Rignot, E.</t>
  </si>
  <si>
    <t>Amundsen and Bellingshausen Seas simulation with optimized ocean, sea ice, and thermodynamic ice shelf model parameters</t>
  </si>
  <si>
    <t>Amundsen Sea; Bellingshausen Sea; winter water; thermocline; glacial melt water; Pine Island Glacier</t>
  </si>
  <si>
    <t>CIRCUMPOLAR DEEP-WATER; PINE ISLAND GLACIER; WEST ANTARCTIC PENINSULA; BASAL MELT RATES; CONTINENTAL-SHELF; CIRCULATION; MELTWATER; VARIABILITY; SENSITIVITY; TRANSPORT</t>
  </si>
  <si>
    <t>Recent studies suggest that the thickness of Winter Water (WW), that is, water with potential temperature below approximate to-1 degrees C located below Antarctic Surface Water and above Circumpolar Deep Water (CDW) is critical in determining the ice shelf melt rate, especially for the Pine Island Glacier (PIG). Existing model studies, however, misrepresent WW thickness and properties in the Amundsen Sea (AS). Here, we adjust a small number of model parameters in a regional Amundsen and Bellingshausen Seas configuration of the Massachusetts Institute of Technology general circulation model in order to reproduce properties and thickness of WW and CDW close to observations, with significant improvement for WW compared to previous studies. The cost, which is defined as weighted model-data difference squared, is reduced by 23%. Although a previous modeling study points out that the local surface heat loss upstream from Pine Island Polynya could be the reason for the observed 2012 PIG melt decline and WW thickening, they did not show WW freshening, which was observed at the same time. Model sensitivity experiments for surface heat loss, PIG melt rate, and precipitation fail to replicate WW freshening concurrent with PIG melt decline, implying that these processes cannot fully explain the observed PIG melt decrease.</t>
  </si>
  <si>
    <t>[Nakayama, Y.; Menemenlis, D.; Schodlok, M.; Rignot, E.] CALTECH, Jet Prop Lab, Pasadena, CA 91125 USA; [Nakayama, Y.; Rignot, E.] Univ Calif Irvine, Dept Earth Syst Sci, Irvine, CA 92697 USA; [Schodlok, M.] Univ Calif Los Angeles, Joint Inst Reg Earth Syst Sci &amp; Engn, JIFRESSE, Los Angeles, CA USA</t>
  </si>
  <si>
    <t>National Aeronautics &amp; Space Administration (NASA); NASA Jet Propulsion Laboratory (JPL); California Institute of Technology; University of California System; University of California Irvine; University of California System; University of California Los Angeles</t>
  </si>
  <si>
    <t>Nakayama, Y (corresponding author), CALTECH, Jet Prop Lab, Pasadena, CA 91125 USA.;Nakayama, Y (corresponding author), Univ Calif Irvine, Dept Earth Syst Sci, Irvine, CA 92697 USA.</t>
  </si>
  <si>
    <t>yoshihiro.nakayama@jpl.nasa.gov</t>
  </si>
  <si>
    <t>Rignot, Eric/A-4560-2014; Nakayama, Yoshihiro/R-4325-2019; Menemenlis, Dimitris/G-8091-2017</t>
  </si>
  <si>
    <t>Rignot, Eric/0000-0002-3366-0481; Nakayama, Yoshihiro/0000-0001-6543-529X; Menemenlis, Dimitris/0000-0001-9940-8409</t>
  </si>
  <si>
    <t>NASA Postdoctoral Program; NASA Cryosphere program; NASA Modeling, Analysis, and Prediction program</t>
  </si>
  <si>
    <t>NASA Postdoctoral Program(National Aeronautics &amp; Space Administration (NASA)); NASA Cryosphere program; NASA Modeling, Analysis, and Prediction program(National Aeronautics &amp; Space Administration (NASA))</t>
  </si>
  <si>
    <t>The research was carried out at the Jet Propulsion Laboratory, California Institute of Technology, under a contract with the National Aeronautics and Space Administration (NASA) and at the University of California, Irvine. Support was provided by an appointment to the NASA Postdoctoral Program; the NASA Cryosphere program; and the NASA Modeling, Analysis, and Prediction program. Computations were carried out at the NASA Advanced Supercomputing facilities. We thank Hong Zhang and Helene Seroussi for their useful comments and suggestions. Some of the figures are produced with Paraview and Ocean Data View [Schlitzer, 2004]. Model input and output data are available by contacting Y. Nakayama (Yoshihiro.Nakayama@jpl.nasa.gov). Insightful comments from two anonymous reviewers were very helpful for improving the manuscript.</t>
  </si>
  <si>
    <t>10.1002/2016JC012538</t>
  </si>
  <si>
    <t>FG9WM</t>
  </si>
  <si>
    <t>WOS:000410790600008</t>
  </si>
  <si>
    <t>Kusahara, K; Williams, GD; Tamura, T; Massom, R; Hasumi, H</t>
  </si>
  <si>
    <t>Kusahara, Kazuya; Williams, Guy D.; Tamura, Takeshi; Massom, Robert; Hasumi, Hiroyasu</t>
  </si>
  <si>
    <t>Dense shelf water spreading from Antarctic coastal polynyas to the deep Southern Ocean: A regional circumpolar model study</t>
  </si>
  <si>
    <t>Antarctic dense shelf water; Antarctic coastal polynyas; DSW pathways over the Southern Ocean; passive tracer experiments</t>
  </si>
  <si>
    <t>BOTTOM WATER; THERMOHALINE CIRCULATION; CLIMATE MODEL; ICE SHELVES; GLOBAL HEAT; SIMULATIONS</t>
  </si>
  <si>
    <t>The spreading of dense shelf water (DSW) from Antarctic coastal margins to lower latitudes plays a vital role in the ocean thermohaline circulation and the global climate system. Through enhanced localized sea ice production in Antarctic coastal polynyas, cold and saline DSW is formed over the continental shelf regions as a precursor to Antarctic Bottom Water (AABW). However, the detailed fate of coastal DSW over the Southern Ocean is still unclear. Here we conduct extensive passive tracer experiments using a circumpolar ocean-sea ice-ice shelf model to investigate pathways of the regional polynya-based DSW from the Antarctic margins to the deep Southern Ocean basins. In the numerical experiments, the Antarctic coastal margin is divided into nine regions, and a passive tracer is released from each region at the same rate as the local sea ice production. The modeled spatial distribution of the total concentration of the nine tracers is consistent with the observed AABW distribution and clearly demonstrates nine routes of the DSW over the Southern Ocean along its bottom topography. Furthermore, the model shows that while similar to 50% of the total tracer is distributed northward from the continental shelf to the deep ocean, similar to 7% is transported poleward beneath ice shelf cavities. The comprehensive tracer experiments allow us to estimate the contribution of local DSW to the total concentration along each of the pathways.</t>
  </si>
  <si>
    <t>[Kusahara, Kazuya; Williams, Guy D.; Tamura, Takeshi; Massom, Robert] Univ Tasmania, Antarctic Climate &amp; Ecosyst Cooperat Res Ctr, Hobart, Tas, Australia; [Williams, Guy D.] Univ Tasmania, Inst Marine &amp; Antarctic Studies, Hobart, Tas, Australia; [Tamura, Takeshi] Natl Inst Polar Res, Tachikawa, Tokyo, Japan; [Tamura, Takeshi] SOKENDAI, Tachikawa, Tokyo, Japan; [Massom, Robert] Australia Antarctic Div, Kingston, Tas, Australia; [Hasumi, Hiroyasu] Univ Tokyo, Atmosphere &amp; Ocean Res Inst, Kashiwa, Chiba, Japan</t>
  </si>
  <si>
    <t>University of Tasmania; Antarctic Climate &amp; Ecosystems Cooperative Research Centre (ACE CRC); University of Tasmania; Research Organization of Information &amp; Systems (ROIS); National Institute of Polar Research (NIPR) - Japan; Australian Antarctic Division; University of Tokyo</t>
  </si>
  <si>
    <t>Kusahara, K (corresponding author), Univ Tasmania, Antarctic Climate &amp; Ecosyst Cooperat Res Ctr, Hobart, Tas, Australia.</t>
  </si>
  <si>
    <t>kazuya.kusahara@gmail.com</t>
  </si>
  <si>
    <t>Williams, Guy/0000-0002-3975-2977; Massom, Robert/0000-0003-1533-5084; Kusahara, Kazuya/0000-0003-4067-7959</t>
  </si>
  <si>
    <t>Australian Government's Cooperative Research Centre through the ACE CRC; Canon Foundation; Australian Research Council's Future Fellowship program; JSPS KAKENHI [26247980]; [AAS 4116]; Grants-in-Aid for Scientific Research [17H04710] Funding Source: KAKEN</t>
  </si>
  <si>
    <t>Australian Government's Cooperative Research Centre through the ACE CRC; Canon Foundation(Canon Foundation); Australian Research Council's Future Fellowship program(Australian Research Council); JSPS KAKENHI(Ministry of Education, Culture, Sports, Science and Technology, Japan (MEXT)Japan Society for the Promotion of ScienceGrants-in-Aid for Scientific Research (KAKENHI)); ; Grants-in-Aid for Scientific Research(Ministry of Education, Culture, Sports, Science and Technology, Japan (MEXT)Japan Society for the Promotion of ScienceGrants-in-Aid for Scientific Research (KAKENHI))</t>
  </si>
  <si>
    <t>This research was supported by the Australian Government's Cooperative Research Centre through the ACE CRC, and contributes to ACE CRC Project R1.3, AAS 4116 and WCRP CliC targeted activity'' Linkages between Cryosphere Elements. K.K. and T.T. were supported by the Canon Foundation. G.W. was supported by the Australian Research Council's Future Fellowship program. H.H. was supported by JSPS KAKENHI grant 26247980. Special thanks to Simon Marsland for providing constructive comments on an earlier version of the manuscript. The RTopo1 data were acquired from: https://doi.pangaea.de/10.1594/PANGAEA.741917 and the PHC data from: http://psc.apl.washington.edu/nonwp_projects/PHC/Climatology.html. The climatological surface boundary forcing data were obtained from htttp://www.omip.zmaw.de/. The sea ice concentration data set, derived using with the NASA Team algorithm, was obtained from ftp://sidads.colorado.edu/pub/DATASETS/nsidc0051_ gsfc_ nasateam_ seaice.</t>
  </si>
  <si>
    <t>10.1002/2017JC012911</t>
  </si>
  <si>
    <t>WOS:000410790600011</t>
  </si>
  <si>
    <t>Marsay, CM; Barrett, PM; McGillicuddy, DJ; Sedwick, PN</t>
  </si>
  <si>
    <t>Marsay, Chris M.; Barrett, Pamela M.; McGillicuddy, Dennis J., Jr.; Sedwick, Peter N.</t>
  </si>
  <si>
    <t>Distributions, sources, and transformations of dissolved and particulate iron on the Ross Sea continental shelf during summer</t>
  </si>
  <si>
    <t>Ross Sea; iron; manganese; particles; continental shelf</t>
  </si>
  <si>
    <t>ANTARCTIC CIRCUMPOLAR CURRENT; NORTH-ATLANTIC OCEAN; SOUTHERN-OCEAN; DEEP-WATER; PHYTOPLANKTON GROWTH; MESOSCALE VARIABILITY; BIOLOGICAL RESPONSE; DRAKE PASSAGE; AMUNDSEN SEA; ICE SHELF</t>
  </si>
  <si>
    <t>We report water column dissolved iron (dFe) and particulate iron (pFe) concentrations from 50 stations sampled across the Ross Sea during austral summer (January-February) of 2012. Concentrations of dFe and pFe were measured in each of the major Ross Sea water masses, including the Ice Shelf Water and off-shelf Circumpolar Deep Water. Despite significant lateral variations in hydrography, macronutrient depletion, and primary productivity across several different regions on the continental shelf, dFe concentrations were consistently low (&lt;0.1 nM) in surface waters, with only a handful of stations showing elevated concentrations (0.20-0.45 nM) in areas of melting sea ice and near the Franklin Island platform. Across the study region, pFe associated with suspended biogenic material approximately doubled the inventory of bioavailable iron in surface waters. Our data reveal that the majority of the summertime iron inventory in the Ross Sea resides in dense shelf waters, with highest concentrations within 50 m of the seafloor. Higher dFe concentrations near the seafloor are accompanied by an increased contribution to pFe from authigenic and/or scavenged iron. Particulate manganese is also influenced by sediment resuspension near the seafloor but, unlike pFe, is increasingly associated with authigenic material higher in the water column. Together, these results suggest that following depletion of the dFe derived from wintertime convective mixing and sea ice melt, recycling of pFe in the upper water column plays an important role in sustaining the summertime phytoplankton bloom in the Ross Sea polynya.</t>
  </si>
  <si>
    <t>[Marsay, Chris M.; Sedwick, Peter N.] Old Dominion Univ, Ocean Earth &amp; Atmospher Sci, Norfolk, VA 23529 USA; [Marsay, Chris M.] Univ Georgia, Skidaway Inst Oceanog, Savannah, GA 31411 USA; [Barrett, Pamela M.] Univ Washington, Sch Oceanog, Seattle, WA 98195 USA; [Barrett, Pamela M.] NOAA PMEL, Seattle, WA USA; [McGillicuddy, Dennis J., Jr.] Woods Hole Oceanog Inst, Woods Hole, MA 02543 USA</t>
  </si>
  <si>
    <t>Old Dominion University; University System of Georgia; University of Georgia; Skidaway Institute of Oceanography; University of Washington; University of Washington Seattle; National Oceanic Atmospheric Admin (NOAA) - USA; Woods Hole Oceanographic Institution</t>
  </si>
  <si>
    <t>Marsay, CM (corresponding author), Old Dominion Univ, Ocean Earth &amp; Atmospher Sci, Norfolk, VA 23529 USA.;Marsay, CM (corresponding author), Univ Georgia, Skidaway Inst Oceanog, Savannah, GA 31411 USA.</t>
  </si>
  <si>
    <t>christopher.marsay@skio.uga.edu</t>
  </si>
  <si>
    <t>Barrett, Pamela Louise/JEZ-8259-2023</t>
  </si>
  <si>
    <t>Barrett, Pamela/0000-0003-3405-5328; Marsay, Christopher/0000-0003-1244-0444; Sedwick, Peter/0000-0003-0663-8323; McGillicuddy, Dennis/0000-0002-1437-2425</t>
  </si>
  <si>
    <t>National Science Foundation's United States Antarctic Program [ANT-0944174, ANT-0944165]; National Science Foundation [OCE-0649505]</t>
  </si>
  <si>
    <t>National Science Foundation's United States Antarctic Program; National Science Foundation(National Science Foundation (NSF))</t>
  </si>
  <si>
    <t>All data used herein are available at the Biological and Chemical Oceanography Data Management Office: http://www.bco-dmo.org/project/2155. Support of this research by the National Science Foundation's United States Antarctic Program is gratefully acknowledged (awards ANT-0944174 to P.N.S. and ANT-0944165 to D.J.M.). P.M.B. was also funded by National Science Foundation award OCE-0649505 to J. Resing. This is JISAO publication #2017-073 and PMEL publication #4652. The authors gratefully acknowledge Bettina Sohst, Candace Wall, and Jennifer Bennett for assistance with collection, processing, and analysis of water samples, and Walker Smith Jr., for chlorophyll measurements and constructive comments. We also thank the other members of the PRISM science team, the officers and crew of the RVIB Nathaniel B. Palmer, and the support personnel of Raytheon Polar Services Company for their contributions to this work. Ocean Data View [Schlitzer, 2017] was used to produce several of the figures and for data analysis in this manuscript.</t>
  </si>
  <si>
    <t>10.1002/2017JC013068</t>
  </si>
  <si>
    <t>WOS:000410790600019</t>
  </si>
  <si>
    <t>Ryan, S; Hattermann, T; Darelius, E; Schröder, M</t>
  </si>
  <si>
    <t>Ryan, S.; Hattermann, T.; Darelius, E.; Schroeder, M.</t>
  </si>
  <si>
    <t>Seasonal cycle of hydrography on the eastern shelf of the Filchner Trough, Weddell Sea, Antarctica</t>
  </si>
  <si>
    <t>Filchner Trough; seasonal cycle; warm inflow; Ice Shelf Water; Modified Warm Deep Water</t>
  </si>
  <si>
    <t>RONNE ICE SHELF; CONTINENTAL-SHELF; WARM WATER; INFLOW; CIRCULATION; WIND; TOPOGRAPHY; CAVITY; IMPACT</t>
  </si>
  <si>
    <t>New 2 year long records from three moorings, located at 76 degrees S along the eastern flank and shelf of the Filchner Trough, give insight in the seasonal cycle of hydrography to a region where Modified Warm Deep Water (MWDW) enters the southern Weddell Sea continental shelf, possibly reaching the Filchner Ronne Ice Shelf, the biggest ice shelf (by volume) in Antarctica. A persistent northward flow of Ice Shelf Water (ISW) is found along the eastern flank of the trough at 400 m depth, while the data on the eastern shelf indicate a seasonal cycle, characterized by four phases. A distinct warm inflow period (separated in two phases), with maximum temperatures of -1 degrees C, appears to be related to the seasonal heaving of the Antarctic Slope Front thermocline along the continental shelf break further north and a seasonal extension of the ISW layer onto the eastern shelf. The density gradients between the ISW in the trough and the MWDW on the adjacent shelf drive the southward flow during these phases. A flow reversal is found in winter, ceasing the southward flow along the eastern flank of the trough. Weaker density gradients between the trough and the shelf during winter allow a westward flow, partly driven by a N-S density gradient, existing across the eastern shelf during this time. From spring through to summer, the ISW layer in the trough extends onto the eastern shelf where it occupies the bottom layer at our moorings, associated with northward flow.</t>
  </si>
  <si>
    <t>[Ryan, S.; Hattermann, T.; Schroeder, M.] Alfred Wegener Inst, Helmholtz Ctr Polar &amp; Marine Res, Bremerhaven, Germany; [Hattermann, T.] Akvaplan Niva AS, High North Res Ctr, Tromso, Norway; [Darelius, E.] UNI Res KLIMA, Bergen, Norway; [Darelius, E.] Bjerknes Ctr Climate Res, Bergen, Norway; [Darelius, E.] Univ Bergen, Geophys Inst, Bergen, Norway</t>
  </si>
  <si>
    <t>Helmholtz Association; Alfred Wegener Institute, Helmholtz Centre for Polar &amp; Marine Research; Akvaplan-niva; Bjerknes Centre for Climate Research; University of Bergen</t>
  </si>
  <si>
    <t>Ryan, S (corresponding author), Alfred Wegener Inst, Helmholtz Ctr Polar &amp; Marine Res, Bremerhaven, Germany.</t>
  </si>
  <si>
    <t>svenja.ryan@awi.de</t>
  </si>
  <si>
    <t>; Darelius, Elin/O-4096-2015</t>
  </si>
  <si>
    <t>Ryan, Svenja/0000-0001-9427-2127; Darelius, Elin/0000-0003-3060-0317; Hattermann, Tore/0000-0002-5538-2267</t>
  </si>
  <si>
    <t>Norwegian Research council through the project WARM [231549]; [AWI_PS82_02]; [AWI_PS96_01]</t>
  </si>
  <si>
    <t>Norwegian Research council through the project WARM(Research Council of Norway); ;</t>
  </si>
  <si>
    <t>The authors would like to express their gratitude to the officers and crew of RV Polarstern for their efficient assistance during PS82 (grant AWI_PS82_02) and PS96 (grant AWI_PS96_01). Also thank you to the officers and crew of RRS Ernest Shackleton during the cruise ES060. Special thanks to Andreas Wisotzki and Gerd Rohardt for the outstanding care with the data sampling and processing. Thank you to Ralph Timmermann for his detailed and constructive comments on the manuscript. The authors thank Keith Makinson and one anonymous reviewer for their insightful comments and suggestions that have contributed to improve this paper. E. Darelius and T. Hattermann were funded by the Norwegian Research council through the project WARM (project 231549). All CTD data, as well as mooring data from M31.5W, M31W, M30.5W, M775, and M3, used in this paper is properly cited and referred to in the reference list. Data from S4E are available from Keith Nicholls (kwni@bas.ac.uk) on request. The B1 and B3 mooring data are available at the British Oceanographic Data Centre on request (https://www.bodc.ac.uk). Daily SSMI-SSMIS sea ice concentration data are available from the Integrated Climate Data Center (icdc.cen.uni-hamburg.de).</t>
  </si>
  <si>
    <t>10.1002/2017JC012916</t>
  </si>
  <si>
    <t>WOS:000410790600022</t>
  </si>
  <si>
    <t>Liu, X; Köhl, A; Stammer, D</t>
  </si>
  <si>
    <t>Liu, Xin; Koehl, Armin; Stammer, Detlef</t>
  </si>
  <si>
    <t>Dynamical ocean response to projected changes of the global water cycle</t>
  </si>
  <si>
    <t>REGIONAL SEA-LEVEL; WORLD OCEAN; CIRCULATION; SALINITY; CLIMATE; HEAT; FLUX; EVAPORATION; MECHANISMS; TRANSPORTS</t>
  </si>
  <si>
    <t>Over the next century substantial changes will occur in the ocean as a consequence of an accelerated global hydrological cycle and the associated net surface freshwater flux change is projected to result from global warming. This paper is concerned with the dynamical response to the associated surface volume flux anomalies. Based on ocean model runs driven by RCP8.5 surface freshwater flux anomalies over the period 2081-2100 relative to 1986-2005, we show that the adjustment of the circulation involves a barotropic circulation response as predicted from the Goldsbrough-Stommel theory. The corresponding barotropic circulation intensifies by approximately 20% with a stronger intensification of about 50% in the Southern Ocean, comparing to the present-day Goldsbrough-Stommel Circulation. The barotropic circulation anomaly induced by intensified freshwater flux reaches to 0.6 Sv in the Antarctic Circumpolar Current region. The adjustment also involves changes in the meridional overturning circulation mirroring the basin-wide averages of changes in the convergence and divergence of the mass transport driven by the surface volume flux. The subsequent pathways of fresh water match with the spreading of volume flux in the shallow cells but diverge substantially with depth. Associated with changes of the flow field are the changes in meridional heat and freshwater transports. Changes in the circulation also lead to a redistribution of temperature and salinity from which a significant contribution results in form of regional steric sea level changes. These changes are of the order of 0.5 cm and can be largely attributed to the displacement of the isopycnals.</t>
  </si>
  <si>
    <t>[Liu, Xin; Koehl, Armin; Stammer, Detlef] Univ Hamburg, Inst Meereskunde, Ctr Erdsyst Forsch &amp; Nachhaltigkeit, Hamburg, Germany</t>
  </si>
  <si>
    <t>University of Hamburg</t>
  </si>
  <si>
    <t>Liu, X (corresponding author), Univ Hamburg, Inst Meereskunde, Ctr Erdsyst Forsch &amp; Nachhaltigkeit, Hamburg, Germany.</t>
  </si>
  <si>
    <t>xin.liu@uni-hamburg.de</t>
  </si>
  <si>
    <t>Kohl, Armin/I-9378-2014</t>
  </si>
  <si>
    <t>Deutsche Forschungsgemeinschaft (DFG) [1740]</t>
  </si>
  <si>
    <t>We thank the Deutsche Forschungsgemeinschaft (DFG) funded Forschergruppe 1740 for supporting this work. All model simulations were performed at the German highperformance computing center DKRZ. All the publicly available data used in this study are gratefully acknowledged and are cited in the References. This work is a contribution to the DFG funded Excellence Initiative CLISAP at the Universitat Hamburg.</t>
  </si>
  <si>
    <t>10.1002/2017JC013061</t>
  </si>
  <si>
    <t>WOS:000410790600027</t>
  </si>
  <si>
    <t>Yu, LS; Jin, XZ; Schulz, EW; Josey, SA</t>
  </si>
  <si>
    <t>Yu, Lisan; Jin, Xiangze; Schulz, Eric W.; Josey, Simon A.</t>
  </si>
  <si>
    <t>Air-sea interaction regimes in the sub-Antarctic Southern Ocean and Antarctic marginal ice zone revealed by icebreaker measurements</t>
  </si>
  <si>
    <t>ATMOSPHERIC BOUNDARY-LAYER; ARCTIC PACK ICE; BERING-SEA; DRAG COEFFICIENT; GREENLAND SEA; WIND STRESS; SURFACE HEAT; FLUX; EXCHANGE; PARAMETERIZATION</t>
  </si>
  <si>
    <t>This study analyzed shipboard air-sea measurements acquired by the icebreaker Aurora Australis during its off-winter operation in December 2010 to May 2012. Mean conditions over 7 months (October-April) were compiled from a total of 22 ship tracks. The icebreaker traversed the water between Hobart, Tasmania, and the Antarctic continent, providing valuable in situ insight into two dynamically important, yet poorly sampled, regimes: the sub-Antarctic Southern Ocean and the Antarctic marginal ice zone (MIZ) in the Indian Ocean sector. The transition from the open water to the ice-covered surface creates sharp changes in albedo, surface roughness, and air temperature, leading to consequential effects on air-sea variables and fluxes. Major effort was made to estimate the air-sea fluxes in the MIZ using the bulk flux algorithms that are tuned specifically for the sea-ice effects, while computing the fluxes over the sub-Antarctic section using the COARE3.0 algorithm. The study evidenced strong sea-ice modulations on winds, with the southerly airflow showing deceleration (convergence) in the MIZ and acceleration (divergence) when moving away from the MIZ. Marked seasonal variations in heat exchanges between the atmosphere and the ice margin were noted. The monotonic increase in turbulent latent and sensible heat fluxes after summer turned the MIZ quickly into a heat loss regime, while at the same time the sub-Antarctic surface water continued to receive heat from the atmosphere. The drastic increase in turbulent heat loss in the MIZ contrasted sharply to the nonsignificant and seasonally invariant turbulent heat loss over the sub-Antarctic open water.</t>
  </si>
  <si>
    <t>[Yu, Lisan; Jin, Xiangze] Woods Hole Oceanog Inst, Dept Phys Oceanog, Woods Hole, MA 02543 USA; [Schulz, Eric W.] Australian Bur Meteorol, Ctr Australian Weather &amp; Climate Res, Melbourne, Vic, Australia; [Josey, Simon A.] Natl Oceanog Ctr, Southampton, Hants, England</t>
  </si>
  <si>
    <t>Woods Hole Oceanographic Institution; Bureau of Meteorology - Australia; Commonwealth Scientific &amp; Industrial Research Organisation (CSIRO); NERC National Oceanography Centre</t>
  </si>
  <si>
    <t>Yu, LS (corresponding author), Woods Hole Oceanog Inst, Dept Phys Oceanog, Woods Hole, MA 02543 USA.</t>
  </si>
  <si>
    <t>lyu@whoi.edu</t>
  </si>
  <si>
    <t>Yu, Lisan/AIB-2264-2022</t>
  </si>
  <si>
    <t>Yu, Lisan/0000-0003-4157-9154</t>
  </si>
  <si>
    <t>NOAA Climate Observation Division (COD) [NA09OAR4320129]; UK Natural Environment Research Council; NERC [noc010010] Funding Source: UKRI; Natural Environment Research Council [noc010012, noc010010] Funding Source: researchfish</t>
  </si>
  <si>
    <t>NOAA Climate Observation Division (COD); 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</si>
  <si>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L. Yu acknowledges the support of the NOAA Climate Observation Division (COD) grant NA09OAR4320129 for this study. Data were sourced from the Integrated Marine Observing System (IMOS)- IMOS is a national collaborative research infrastructure, supported by Australian Government. We wish to acknowledge the Australian Antarctic Division (AAD) that manages the icebreaker Aurora Australis used in the collection of the observations and in making the data accessible from the IMOS website at http:// imos. org. au/ flux_ data. html. NSIDC sea- ice concentration data are downloaded from https:// nsidc. org. S. Josey is funded by the UK Natural Environment Research Council. We thank the late Edgar Andreas for providing the FORTRAN code for the SHEBA algorithm at the website http:// www. nwra. com/ resumes/ andreas/.</t>
  </si>
  <si>
    <t>10.1002/2016JC012281</t>
  </si>
  <si>
    <t>WOS:000410790600029</t>
  </si>
  <si>
    <t>Haëntjens, N; Boss, E; Talley, LD</t>
  </si>
  <si>
    <t>Haentjens, Nils; Boss, Emmanuel; Talley, Lynne D.</t>
  </si>
  <si>
    <t>Revisiting Ocean Color algorithms for chlorophyll a and particulate organic carbon in the Southern Ocean using biogeochemical floats</t>
  </si>
  <si>
    <t>OPTICAL-PROPERTIES; ELEPHANT SEALS; FLUORESCENCE; VALIDATION; SPACE</t>
  </si>
  <si>
    <t>The Southern Ocean (SO) ecosystem plays a key role in the carbon cycle by sinking a major part (43%) of the ocean uptake of anthropogenic CO2, and being an important source of nutrients for primary producers. However, undersampling of SO biogeochemical properties limits our understanding of the mechanisms taking place in this remote area. The Southern Ocean Carbon and Climate Observations and Modeling (SOCCOM) project has been deploying a large number of autonomous biogeochemical floats to study the SO (as of December 2016, 74 floats out of 200 have been deployed). SOCCOM floats measurements can be used to extend remote sensing chlorophyll a (chl a) and particulate organic carbon (POC) products under clouds or during the polar night as well as adding the depth dimension to the satellite-based view of the SO. Chlorophyll a concentrations measured by a sensor embedded on the floats and POC concentrations derived from backscattering coefficients were calibrated with samples collected during the floats' deployment cruise. Float chl a and POC were compared with products derived from observations of MODIS and VIIRS sensors. We find the Ocean Color Index (OCI) global algorithm to agree well with the matchups (within 9%, on average, for the Visible Infrared Imaging Radiometer Suite (VIIRS) and 12%, on average, for the Moderate Resolution Imaging Spectroradiometer Aqua (MODIS)). SO-specific algorithms estimating chl a are offset by similar to 45% south of the Sea Ice Extent Front (similar to 60 degrees S). In addition, POC estimates based on floats agree well with NASA's POC algorithm.</t>
  </si>
  <si>
    <t>[Haentjens, Nils; Boss, Emmanuel] Univ Maine, Sch Marine Sci, Orono, ME 04469 USA; [Talley, Lynne D.] Univ Calif San Diego, Scripps Inst Oceanog, La Jolla, CA 92093 USA</t>
  </si>
  <si>
    <t>University of Maine System; University of Maine Orono; University of California System; University of California San Diego; Scripps Institution of Oceanography</t>
  </si>
  <si>
    <t>Haëntjens, N (corresponding author), Univ Maine, Sch Marine Sci, Orono, ME 04469 USA.</t>
  </si>
  <si>
    <t>nils.haentjens@maine.edu</t>
  </si>
  <si>
    <t>Boss, Emmanuel/C-5765-2009; Boss, Emmanuel/AAF-2336-2019</t>
  </si>
  <si>
    <t>Boss, Emmanuel/0000-0002-8334-9595; Haentjens, Nils/0000-0002-7155-2721; Talley, Lynne/0000-0003-1574-729X</t>
  </si>
  <si>
    <t>National Science Foundation (NSF), Division of Polar Programs [PLR1425989]; NOAA US Argo biology and biogeochemistry program; NASA [NNX14AP49G, NNX15AC08G]; U. S. National Science Foundation through the U. S. Antarctic Program; NASA [NNX15AC08G, 809338, NNX14AP49G, 675912] Funding Source: Federal RePORTER</t>
  </si>
  <si>
    <t>National Science Foundation (NSF), Division of Polar Programs(National Science Foundation (NSF)NSF - Directorate for Geosciences (GEO)); NOAA US Argo biology and biogeochemistry program(National Oceanic Atmospheric Admin (NOAA) - USA); NASA(National Aeronautics &amp; Space Administration (NASA)); U. S. National Science Foundation through the U. S. Antarctic Program(National Science Foundation (NSF)); NASA(National Aeronautics &amp; Space Administration (NASA))</t>
  </si>
  <si>
    <t>We thank the SOCCOM community for their amazing work and for providing the data set used in this study, as well as Stephen Riser and Ken Johnson for the pre-SOCCOM data set, the many colleagues who helped with shipboard sampling, and analysis by SIO, CSIRO, UCSB, and NASA Ocean Biology and Biogeochemistry group. We thank Ryan Weatherbee for helping to process satellite imagery and useful comments from Magdalena Carranza and Sarah Gille as well as Andrew Thomas for comments on an earlier version of this manuscript. We also thank Dana Swift for integration of optical sensors and dark values measurement. We thank Mati Kahru and B. Greg Mitchell for valuable discussions and help with SPGANT. We thank our reviewers, Pete Strutton and Toby K. Westberry for constructive comments on the manuscript. SOCCOM is supported by the National Science Foundation (NSF), Division of Polar Programs under NSF Award PLR1425989, with additional support from NOAA US Argo biology and biogeochemistry program supplying profiling floats, and NASA grant NNX14AP49G and NNX15AC08G supplying bio-optical sensors for the SOCCOM floats and supporting the current work. Logistical support for this project in Antarctica was provided by the U. S. National Science Foundation through the U. S. Antarctic Program. We acknowledge NASA Goddard Space Flight Center, Ocean Ecology Laboratory, and Ocean Biology Processing Group for making and sharing Ocean Color data from MODIS and VIIRS Reprocessing 2014.0 [ NASA Goddard Space Flight Center et al., 2014, 2015]. Float data used in the paper are available at http:// www3. mbari. org/soccom/SOCCOM _ Data_ Archive/Floats_ LoResQC_ 28Nov2016. zip and are processed according to Johnson et al. [ 2017]. MODIS and VIIRS images level 2 are available at https://oceandata. sci. gsfc. nasa. gov. The HPLC data set used in the discussion is available on SeaBASS (https://seabass. gsfc. nasa. gov/search) using the filters: date measured51930-01-01 to 2017-0201; data archived52000-01-01 to 2017-02-01; North5230; South5290; West52180; East5180; Products5HPLC.</t>
  </si>
  <si>
    <t>10.1002/2017JC012844</t>
  </si>
  <si>
    <t>WOS:000410790600031</t>
  </si>
  <si>
    <t>Johnson, KS; Plant, JN; Dunne, JP; Talley, LD; Sarmiento, JL</t>
  </si>
  <si>
    <t>Johnson, Kenneth S.; Plant, Joshua N.; Dunne, John P.; Talley, Lynne D.; Sarmiento, Jorge L.</t>
  </si>
  <si>
    <t>Annual nitrate drawdown observed by SOCCOM profiling floats and the relationship to annual net community production</t>
  </si>
  <si>
    <t>TIME-SERIES OBSERVATIONS; SEA-SURFACE TEMPERATURE; SOUTHERN-OCEAN; CARBON-DIOXIDE; NUTRIENT CONCENTRATIONS; EXPORT PRODUCTION; INORGANIC CARBON; OXYGEN SENSORS; EUPHOTIC ZONE; GLOBAL OCEAN</t>
  </si>
  <si>
    <t>Annual nitrate cycles have been measured throughout the pelagic waters of the Southern Ocean, including regions with seasonal ice cover and southern hemisphere subtropical zones. Vertically resolved nitrate measurements were made using in situ ultraviolet spectrophotometer (ISUS) and submersible ultraviolet nitrate analyzer (SUNA) optical nitrate sensors deployed on profiling floats. Thirty-one floats returned 40 complete annual cycles. The mean nitrate profile from the month with the highest winter nitrate minus the mean profile from the month with the lowest nitrate yields the annual nitrate drawdown. This quantity was integrated to 200 m depth and converted to carbon using the Redfield ratio to estimate annual net community production (ANCP) throughout the Southern Ocean south of 30 degrees S. A well-defined, zonal mean distribution is found with highest values (3-4 mol C m(-2) yr(-1)) from 40 to 50 degrees S. Lowest values are found in the subtropics and in the seasonal ice zone. The area weighted mean was 2.9 mol C m(-2) yr(-1) for all regions south of 40 degrees S. Cumulative ANCP south of 50 degrees S is 1.3 Pg C yr(-1). This represents about 13% of global ANCP in about 14% of the global ocean area. Plain Language Summary This manuscript reports on 40 annual cycles of nitrate observed by chemical sensors on SOCCOM profiling floats. The annual drawdown in nitrate concentration by phytoplankton is used to assess the spatial variability of annual net community production in the Southern Ocean. This ANCP is a key component of the global carbon cycle and it exerts an important control on atmospheric carbon dioxide. We show that the results are consistent with our prior understanding of Southern Ocean ANCP, which has required decades of observations to accumulate. The profiling floats now enable annual resolution of this key process. The results also highlight spatial variability in ANCP in the Southern Ocean.</t>
  </si>
  <si>
    <t>[Johnson, Kenneth S.; Plant, Joshua N.] Monterey Bay Aquarium Res Inst, Moss Landing, CA 95039 USA; [Dunne, John P.] NOAA, Geophys Fluid Dynam Lab, Princeton, NJ USA; [Talley, Lynne D.] Univ Calif San Diego, Scripps Inst Oceanog, La Jolla, CA 92093 USA; [Sarmiento, Jorge L.] Princeton Univ, Program Atmospher &amp; Ocean Sci, Princeton, NJ 08544 USA</t>
  </si>
  <si>
    <t>Monterey Bay Aquarium Research Institute; National Oceanic Atmospheric Admin (NOAA) - USA; University of California System; University of California San Diego; Scripps Institution of Oceanography; Princeton University; National Oceanic Atmospheric Admin (NOAA) - USA</t>
  </si>
  <si>
    <t>Johnson, KS (corresponding author), Monterey Bay Aquarium Res Inst, Moss Landing, CA 95039 USA.</t>
  </si>
  <si>
    <t>johnson@mbari.org</t>
  </si>
  <si>
    <t>Dunne, John/F-8086-2012; Johnson, Kenneth/F-9742-2011</t>
  </si>
  <si>
    <t>Dunne, John/0000-0002-8794-0489; Johnson, Kenneth/0000-0001-5513-5584; Talley, Lynne/0000-0003-1574-729X</t>
  </si>
  <si>
    <t>US National Science Foundation; Southern Ocean Carbon and Climate Observations and Modeling (SOCCOM) Project under the NSF [PLR-1425989]; NASA; International Argo Program; NOAA programs; David and Lucile Packard Foundation</t>
  </si>
  <si>
    <t>US National Science Foundation(National Science Foundation (NSF)); Southern Ocean Carbon and Climate Observations and Modeling (SOCCOM) Project under the NSF; NASA(National Aeronautics &amp; Space Administration (NASA)); International Argo Program; NOAA programs(National Oceanic Atmospheric Admin (NOAA) - USA); David and Lucile Packard Foundation(The David &amp; Lucile Packard Foundation)</t>
  </si>
  <si>
    <t>This work, including data collection, was sponsored by the US National Science Foundation, Southern Ocean Carbon and Climate Observations and Modeling (SOCCOM) Project under the NSF award PLR-1425989 with additional support from NASA and by the International Argo Program and the NOAA programs that contribute to it. Logistical support for this project in Antarctica was provided by the U.S. National Science Foundation through the U.S. Antarctic Program. Work at MBARI was also supported by the David and Lucile Packard Foundation. We thank all of the people involved in the construction, calibration, and deployment of SOCCOM floats and sensors and the crews of the ships that carried them to sea. All data used in this paper are available at the locations specified in section 3.</t>
  </si>
  <si>
    <t>10.1002/2017JC012839</t>
  </si>
  <si>
    <t>WOS:000410790600036</t>
  </si>
  <si>
    <t>Buckingham, CE; Khaleel, Z; Lazar, A; Martin, AP; Allen, JT; Garabato, ACN; Thompson, AF; Vic, C</t>
  </si>
  <si>
    <t>Buckingham, Christian E.; Khaleel, Zammath; Lazar, Ayah; Martin, Adrian P.; Allen, John T.; Garabato, Alberto C. Naveira; Thompson, Andrew F.; Vic, Clement</t>
  </si>
  <si>
    <t>Testing Munk's hypothesis for submesoscale eddy generation using observations in the North Atlantic</t>
  </si>
  <si>
    <t>SEA-SURFACE TEMPERATURE; GEOSTROPHIC BAROCLINIC STABILITY; OCEAN MIXED-LAYER; FOURIER-TRANSFORM; BOUNDARY-LAYER; INSTABILITY; TURBULENCE; VIIRS; SPIRALS; EDDIES</t>
  </si>
  <si>
    <t>A high-resolution satellite image that reveals a train of coherent, submesoscale (6 km) vortices along the edge of an ocean front is examined in concert with hydrographic measurements in an effort to understand formation mechanisms of the submesoscale eddies. The infrared satellite image consists of ocean surface temperatures at similar to 390 m resolution over the midlatitude North Atlantic (48.69 degrees N, 16.19 degrees W). Concomitant altimetric observations coupled with regular spacing of the eddies suggest the eddies result from mesoscale stirring, filamentation, and subsequent frontal instability. While horizontal shear or barotropic instability (BTI) is one mechanism for generating such eddies (Munk's hypothesis), we conclude from linear theory coupled with the in situ data that mixed layer or submesoscale baroclinic instability (BCI) is a more plausible explanation for the observed submesoscale vortices. Here we assume that the frontal disturbance remains in its linear growth stage and is accurately described by linear dynamics. This result likely has greater applicability to the open ocean, i.e., regions where the gradient Rossby number is reduced relative to its value along coasts and within strong current systems. Given that such waters comprise an appreciable percentage of the ocean surface and that energy and buoyancy fluxes differ under BTI and BCI, this result has wider implications for open-ocean energy/buoyancy budgets and parameterizations within ocean general circulation models. In summary, this work provides rare observational evidence of submesoscale eddy generation by BCI in the open ocean. Plain Language Summary Here, we test Munk's theory for small-scale eddy generation using a unique set of satellite- and ship-based observations. We find that for one particular set of observations in the North Atlantic, the mechanism for eddy generation is not pure horizontal shear, as proposed by Munk et al. (2000) and Munk (2000), but is instead vertical shear, or baroclinic instability. While by itself, this is not a globally important result, taken in the context of mesoscale eddies which are ubiquitous in the World Ocean, this suggests energy exchanges in the more ambient, open ocean are the result of the latter mechanism. In conclusion, submesoscale eddy generation is poorly understood in the ocean and we need to better constrain our geographical and temporal understanding of these processes for representation in coarse-resolution models.</t>
  </si>
  <si>
    <t>[Buckingham, Christian E.; Khaleel, Zammath; Garabato, Alberto C. Naveira; Vic, Clement] Univ Southampton, Natl Oceanog Ctr, Southampton, Hants, England; [Buckingham, Christian E.] British Antarctic Survey, Cambridge, England; [Khaleel, Zammath] Minist Environm &amp; Energy, Male, Maldives; [Lazar, Ayah; Thompson, Andrew F.] CALTECH, Pasadena, CA 91125 USA; [Lazar, Ayah] Israel Oceanog &amp; Limnol Res, Haifa, Israel; [Martin, Adrian P.] Natl Oceanog Ctr, Southampton, Hants, England; [Allen, John T.] Univ Portsmouth, Portsmouth, Hants, England; [Allen, John T.] VECTis Environm Consultants LLP, Portsmouth, Hants, England</t>
  </si>
  <si>
    <t>University of Southampton; NERC National Oceanography Centre; UK Research &amp; Innovation (UKRI); Natural Environment Research Council (NERC); NERC British Antarctic Survey; California Institute of Technology; Israel Oceanographic &amp; Limnological Research Institute; NERC National Oceanography Centre; University of Portsmouth</t>
  </si>
  <si>
    <t>Buckingham, CE (corresponding author), Univ Southampton, Natl Oceanog Ctr, Southampton, Hants, England.;Buckingham, CE (corresponding author), British Antarctic Survey, Cambridge, England.</t>
  </si>
  <si>
    <t>c.e.buckingham@bas.ac.uk</t>
  </si>
  <si>
    <t>Allen, John Taylor/AHB-3419-2022; Buckingham, Christian E./ABC-7842-2020; Garabato, Alberto Naveira/AAQ-1114-2020</t>
  </si>
  <si>
    <t>Allen, John Taylor/0000-0001-7357-6623; Buckingham, Christian E./0000-0001-9355-9038; Garabato, Alberto Naveira/0000-0001-6071-605X; Vic, Clement/0000-0003-1290-9353; Martin, Adrian/0000-0002-1202-8612</t>
  </si>
  <si>
    <t>Natural Environmental Research Council [NE/I019999/1, NE/I019905/1]; National Science Foundation [NSF-OCE 1155676]; Ministry of Environment and Energy, Maldives; University of Southampton; NERC [NE/I019999/1, bas0100033, NE/I019905/1, noc010009] Funding Source: UKRI; Natural Environment Research Council [NE/I019999/1, noc010009, NE/I019905/1, bas0100033] Funding Source: researchfish</t>
  </si>
  <si>
    <t>Natural Environmental Research Council(UK Research &amp; Innovation (UKRI)Natural Environment Research Council (NERC)); National Science Foundation(National Science Foundation (NSF)); Ministry of Environment and Energy, Maldives; University of Southampton; NERC(UK Research &amp; Innovation (UKRI)Natural Environment Research Council (NERC)); Natural Environment Research Council(UK Research &amp; Innovation (UKRI)Natural Environment Research Council (NERC))</t>
  </si>
  <si>
    <t>We wish to thank the Editor and two reviewers for superb feedback. We are grateful to P. Cornillon, S. Saux Picart, and H. Roquet for help locating NRT MSG-3 SST measurements. We also thank J. Vasquez, T. McKnight, and E. Maturi for discussions regarding data dropouts in MSG-2 data. We thank L. Brannigan and N. Lucas for access to processed ADCP measurements. We thank D. Mountfield of NMF for discussions regarding SeaSoar. Finally, the following individuals provided helpful feedback: S. Henson, Y. Firing, J. Callies, M. Bell, K. Nicholls, S. Griffies, S. Smith, J. Taylor, and D. Whitt. C.B. would also like to thank G. Roullet and colleagues for conversations in Brest, France (November 2015) and S. Belcher for encouragement to work on this project. We would like to specifically acknowledge the contributions of Z.K. His efforts to obtain the satellite imagery and initial analysis during his MSc paved the way for this and subsequent studies. C.B. and Z.K. conducted the linear instability analysis and wrote much of the manuscript. A. M. and J. A. collected, processed, and analyzed the SeaSoar II data. All other authors contributed to ideas central to the manuscript and helped frame the study. Lastly, we congratulate Walter Munk on 100 years. Amazing. VIIRS data were obtained from NOAA Comprehensive Large Array-Data Stewardship System (CLASS), MSG-03 SST were obtained from CERSAT/IFREMER, and SSH measurements were obtained from AVISO/CNES. SeaSoar II specifications are available from Chelsea Technologies Group (http://www.chelsea.co.uk). This research was made possible by grants from the Natural Environmental Research Council (NE/I019999/1, NE/I019905/1) and National Science Foundation (NSF-OCE 1155676), support for ZK from the Ministry of Environment and Energy, Maldives, and a small computing grant from the University of Southampton.</t>
  </si>
  <si>
    <t>10.1002/2017JC012910</t>
  </si>
  <si>
    <t>WOS:000410790600040</t>
  </si>
  <si>
    <t>Foppert, A; Donohue, KA; Watts, DR; Tracey, KL</t>
  </si>
  <si>
    <t>Foppert, Annie; Donohue, Kathleen A.; Watts, D. Randolph; Tracey, Karen L.</t>
  </si>
  <si>
    <t>Eddy heat flux across the Antarctic Circumpolar Current estimated from sea surface height standard deviation</t>
  </si>
  <si>
    <t>SOUTHERN ANNULAR MODE; DRAKE PASSAGE; MEAN FLOW; OCEAN; TRANSPORT; VARIABILITY; ENHANCEMENT; DIFFUSIVITY; TOPOGRAPHY; DYNAMICS</t>
  </si>
  <si>
    <t>Eddy heat flux EHF) is a predominant mechanism for heat transport across the zonally unbounded mean flow of the Antarctic Circumpolar Current ACC). Observations of dynamically relevant, divergent, 4 year mean EHF in Drake Passage from the cDrake project, as well as previous studies of atmospheric and oceanic storm tracks, motivates the use of sea surface height SSH) standard deviation, H*, as a proxy for depth-integrated, downgradient, time-mean EHF ([(EHF) over bar]) in the ACC. Statistics from the Southern Ocean State Estimate corroborate this choice and validate throughout the ACC the spatial agreement between H* and [(EHF) over bar] seen locally in Drake Passage. Eight regions of elevated[(EHF) over bar ]are identified from nearly 23.5 years of satellite altimetry data. Elevated cross-front exchange usually does not span the full latitudinal width of the ACC in each region, implying a hand-off of heat between ACC fronts and frontal zones as they encounter the different [(EHF) over bar] hot spots along their circumpolar path. Integrated along circumpolar streamlines, defined by mean SSH contours, there is a convergence of [(EHF) over bar] in the ACC: 1.06 PW enters from the north and 0.02 PW exits to the south. Temporal trends in low-frequency [EHF] are calculated in a running-mean sense using H* from overlapping 4 year subsets of SSH. Significant increases in downgradient [EHF] magnitude have occurred since 1993 at Kerguelen Plateau, Southeast Indian Ridge, and the Brazil-Malvinas Confluence, whereas the other five [(EHF) over bar] hot spots have insignificant trends of varying sign.</t>
  </si>
  <si>
    <t>[Foppert, Annie; Donohue, Kathleen A.; Watts, D. Randolph; Tracey, Karen L.] Univ Rhode Isl, Grad Sch Oceanog, Narragansett, RI 02882 USA</t>
  </si>
  <si>
    <t>University of Rhode Island</t>
  </si>
  <si>
    <t>Foppert, A (corresponding author), Univ Rhode Isl, Grad Sch Oceanog, Narragansett, RI 02882 USA.</t>
  </si>
  <si>
    <t>annie_foppert@uri.edu</t>
  </si>
  <si>
    <t>Foppert, Annie/0000-0003-2958-1454; Watts, D Randolph/0000-0002-6738-5916</t>
  </si>
  <si>
    <t>National Science Foundation [OCE1141802, OCE1358470]; NSF XSEDE [OCE130007]; Directorate For Geosciences; Division Of Ocean Sciences [1358470] Funding Source: National Science Foundation; Directorate For Geosciences; Office of Polar Programs (OPP) [1141802, 1141922] Funding Source: National Science Foundation</t>
  </si>
  <si>
    <t>National Science Foundation(National Science Foundation (NSF)); NSF XSEDE(National Science Foundation (NSF)); Directorate For Geosciences; Division Of Ocean Sciences(National Science Foundation (NSF)NSF - Directorate for Geosciences (GEO)); Directorate For Geosciences; Office of Polar Programs (OPP)(National Science Foundation (NSF)NSF - Directorate for Geosciences (GEO))</t>
  </si>
  <si>
    <t>The authors are grateful for support from the National Science Foundation grants OCE1141802 and OCE1358470. The cDrake data are available at the National Centers for Environmental Information, online at http://www.nodc.noaa.gov.We thank M. Mazloff for his helpful comments and for providing us with auxiliary SOSE data; computational resources for the SOSE were provided by NSF XSEDE resource grant OCE130007. MATLAB codes and files for this manuscript can be found online at http://digitalcommons.uri.edu/physical_oceanography_techrpts/9/. We also thank two reviewers whose constructive comments helped to greatly improve this manuscript.</t>
  </si>
  <si>
    <t>10.1002/2017JC012837</t>
  </si>
  <si>
    <t>Bronze, Green Submitted, Green Published</t>
  </si>
  <si>
    <t>WOS:000410790600052</t>
  </si>
  <si>
    <t>Béhagle, N; Cotté, C; Lebourges-Dhaussy, A; Roudaut, G; Duhamel, G; Brehmer, P; Josse, E; Cherel, Y</t>
  </si>
  <si>
    <t>Behagle, Nolwenn; Cotte, Cedric; Lebourges-Dhaussy, Anne; Roudaut, Gildas; Duhamel, Guy; Brehmer, Patrice; Josse, Erwan; Cherel, Yves</t>
  </si>
  <si>
    <t>Acoustic distribution of discriminated micronektonic organisms from a bi-frequency processing: The case study of eastern Kerguelen oceanic waters</t>
  </si>
  <si>
    <t>Euphausiid; Kerguelen; Myctophid; Southern Ocean; Acoustics</t>
  </si>
  <si>
    <t>POLAR FRONTAL ZONE; MESOPELAGIC FISH; ANTARCTIC KRILL; BACKSCATTERING STRENGTH; VERTICAL-DISTRIBUTION; SPECIES COMPOSITION; ZOOPLANKTON GROUPS; SOUND-SCATTERING; MARINE RESOURCES; INDIAN-OCEAN</t>
  </si>
  <si>
    <t>Despite its ecological importance, micronekton remains one of the least investigated components of the open-ocean ecosystems. Our main goal was to characterize micronektonic organisms using bi-frequency acoustic data (38 and 120 kHz) by calibrating an algorithm tool that discriminates groups of scatterers in the top 300 m of the productive oceanic zone east of Kerguelen Islands (Indian sector of the Southern Ocean). The bi-frequency algorithm was calibrated from acoustic properties of mono-specific biological samples collected with trawls, thus allowing to discriminate three acoustic groups of micronekton: (i) gas-bearing (Delta Sv.120-38 &lt; -1 dB), (ii) fluid-like (Delta S-v,S-120-38 &gt; 2 dB), and (iii) undetermined scatterers (-1 &lt; Delta S-v,S-120-38 &lt; 2 dB). The three groups likely correspond biologically to gas-filled swimbladder fish (myctophids), crustaceans (euphausiids and hyperiid amphipods), and other marine organisms potentially present in these waters and containing either lipid-filled or no inclusion (e.g. other myctophids), respectively. The Nautical Area Scattering Coefficient (NASC) was used (echo-integration cells of 10 m long and 1 m deep) between 30 and 300 m depth as a proxy of relative biomass of acoustic targets. The distribution of NASC values showed a complex pattern according to: (i) the three acoustically defined groups, (ii) the type of structures (patch vs. layers) and (iii) the timing of the day (day/night cycle). NASC values were higher at night than during the day. A large proportion of scatterers occurred in layers while patches, that mainly encompass gas-bearing organisms, are especially observed during daytime. This method provided an essential descriptive baseline of the spatial distribution of micronekton and a relevant approach to (i) link micronektonic group to physical parameters to define their habitats, (ii) investigate trophic interactions by combining active acoustic and top predator satellite tracking, and (iii) study the functioning of the pelagic ecosystems at various spatio-temporal scales. (C) 2017 Elsevier Ltd. All rights reserved.</t>
  </si>
  <si>
    <t>[Behagle, Nolwenn; Lebourges-Dhaussy, Anne; Roudaut, Gildas; Josse, Erwan] UBO, IRD, UMR LEMAR 6539, CNRS,IFREMER, BP70, F-29280 Plouzane, France; [Behagle, Nolwenn] UPMC, CNRS, UMR LOCEAN 7159, IRD,MNHN, 4 Pl Jussieu, F-75005 Paris, France; [Cotte, Cedric] UPMC, MNHN, UMR LOCEAN 7159, CNRS,IRD, 4 Pl Jussieu, F-75005 Paris, France; [Duhamel, Guy] UPMC, MNHN, UMR BOREA 7208, CNRS,IRD,UCBN,UAG, 43 Rue Cuvier,CP 26, F-75231 Paris 05, France; [Brehmer, Patrice] ISRA CRODT, IRD, UMR Lemar 195, Pole Rech Hann, BP221, Dakar, Senegal; [Cherel, Yves] Univ La Rochelle, CNRS, UMR CEBC 7372, F-79360 Villiers En Bois, France</t>
  </si>
  <si>
    <t>Centre National de la Recherche Scientifique (CNRS); Ifremer; Institut de Recherche pour le Developpement (IRD); CNRS - Institute of Ecology &amp; Environment (INEE); Universite de Bretagne Occidentale; Institut Universitaire Europeen de la Mer (IUEM); Museum National d'Histoire Naturelle (MNHN); Centre National de la Recherche Scientifique (CNRS); Institut de Recherche pour le Developpement (IRD); Sorbonne Universite; Museum National d'Histoire Naturelle (MNHN); Centre National de la Recherche Scientifique (CNRS); Sorbonne Universite; Institut de Recherche pour le Developpement (IRD); Centre National de la Recherche Scientifique (CNRS); Institut de Recherche pour le Developpement (IRD); Museum National d'Histoire Naturelle (MNHN); Sorbonne Universite; Centre National de la Recherche Scientifique (CNRS); Ifremer; Institut de Recherche pour le Developpement (IRD); La Rochelle Universite; Centre National de la Recherche Scientifique (CNRS)</t>
  </si>
  <si>
    <t>Béhagle, N (corresponding author), UBO, IRD, UMR LEMAR 6539, CNRS,IFREMER, BP70, F-29280 Plouzane, France.</t>
  </si>
  <si>
    <t>nolwennbehagle@ntymail.com</t>
  </si>
  <si>
    <t>Cotté, Cédric/AAX-6120-2021; Brehmer, Patrice/K-2285-2016; Cotté, Cédric/Z-3243-2019; Cotte, Cedric/C-3296-2013</t>
  </si>
  <si>
    <t>Cotté, Cédric/0000-0002-8307-6435; Brehmer, Patrice/0000-0001-8949-9095; Cotté, Cédric/0000-0002-8307-6435;</t>
  </si>
  <si>
    <t>Agence Nationale de la Recherche (ANR MyctO-3D-MAP, Programme Blanc SVSE); Institut Polaire Francais Paul Emile Victor; Terres Australes et Antarctiques Francaises</t>
  </si>
  <si>
    <t>Agence Nationale de la Recherche (ANR MyctO-3D-MAP, Programme Blanc SVSE)(Agence Nationale de la Recherche (ANR)); Institut Polaire Francais Paul Emile Victor; Terres Australes et Antarctiques Francaises</t>
  </si>
  <si>
    <t>The authors thank the officers, crew and scientists of the R/V Marion Dufresne II for their assistance during the research cruise LOGIPEV197. This work was supported financially and logistically by the Agence Nationale de la Recherche (ANR MyctO-3D-MAP, Programme Blanc SVSE 7 2011, Y. Cherel), the Institut Polaire Francais Paul Emile Victor, and the Terres Australes et Antarctiques Francaises.</t>
  </si>
  <si>
    <t>1873-4472</t>
  </si>
  <si>
    <t>10.1016/j.pocean.2017.06.004</t>
  </si>
  <si>
    <t>FI2LO</t>
  </si>
  <si>
    <t>WOS:000411770600017</t>
  </si>
  <si>
    <t>Stern, AA; Adcroft, A; Sergienko, O; Marques, G</t>
  </si>
  <si>
    <t>Stern, A. A.; Adcroft, A.; Sergienko, O.; Marques, G.</t>
  </si>
  <si>
    <t>Modeling tabular icebergs submerged in the ocean</t>
  </si>
  <si>
    <t>JOURNAL OF ADVANCES IN MODELING EARTH SYSTEMS</t>
  </si>
  <si>
    <t>ANTARCTIC ICEBERGS; SOUTHERN-OCEAN; ICE-SHELF; SEA-ICE; INTERACTIVE ICEBERGS; CLIMATE MODEL; IMPACT; SIMULATION; DYNAMICS; POLYNYA</t>
  </si>
  <si>
    <t>Large tabular icebergs calved from Antarctic ice shelves have long lifetimes (due to their large size), during which they drift across large distances, altering ambient ocean circulation, bottom-water formation, sea-ice formation, and biological primary productivity in the icebergs' vicinity. However, despite their importance, the current generation of ocean circulation models usually do not represent large tabular icebergs. In this study, we develop a novel framework to model large tabular icebergs submerged in the ocean. In this framework, tabular icebergs are represented by pressure-exerting Lagrangian elements that drift in the ocean. The elements are held together and interact with each other via bonds. A breaking of these bonds allows the model to emulate calving events (i.e., detachment of a tabular iceberg from an ice shelf) and tabular icebergs breaking up into smaller pieces. Idealized simulations of a calving tabular iceberg, its drift, and its breakup demonstrate capabilities of the developed framework. Plain Language Summary Large tabular icebergs break away from ice shelves around Antarctica, and drift into the ocean. As the icebergs move, they melt, which injects freshwater into the ocean. This freshwater can promote sea-ice growth, affect deep-water formation and alter ocean temperatures and salinities. In this way icebergs play an important part in the climate system, and need to be modeled accurately. However, the current generation of iceberg models is unable to model large tabular icebergs. In this paper, we develop a new model which can simulate the movement of large tabular icebergs drifting in the ocean. Most previous iceberg models treat iceberg as point particles which do not occupy any physical space. In our model, we represent iceberg using element which do occupy physical space, and can interact with the ocean and other elements more realistically. We then create large tabular icebergs by bonding together many smaller elements to form large structures. This allows us to simulate the movement of larger tabular icebergs in the ocean. An advantage of this approach is that by breaking the bonds between elements, we can simulate an iceberg calving away from an ice shelf, or an iceberg breaking into two or more parts.</t>
  </si>
  <si>
    <t>[Stern, A. A.; Adcroft, A.; Sergienko, O.; Marques, G.] Princeton Univ, Geophys Fluid Dynam Lab, Princeton, NJ 08544 USA</t>
  </si>
  <si>
    <t>National Oceanic Atmospheric Admin (NOAA) - USA; Princeton University</t>
  </si>
  <si>
    <t>Stern, AA (corresponding author), Princeton Univ, Geophys Fluid Dynam Lab, Princeton, NJ 08544 USA.</t>
  </si>
  <si>
    <t>sternalon@gmail.com</t>
  </si>
  <si>
    <t>Sergienko, Olga/HII-8500-2022; Adcroft, Alistair/E-5949-2010</t>
  </si>
  <si>
    <t>Sergienko, Olga/0000-0002-5764-8815; Adcroft, Alistair/0000-0001-9413-1017; Marques, Gustavo/0000-0001-7238-0290; Stern, Alon/0000-0002-3875-2406</t>
  </si>
  <si>
    <t>National Oceanic and Atmospheric Administration, U.S. Department of Commerce [NA08OAR4320752, NA13OAR439]</t>
  </si>
  <si>
    <t>National Oceanic and Atmospheric Administration, U.S. Department of Commerce(National Oceanic Atmospheric Admin (NOAA) - USA)</t>
  </si>
  <si>
    <t>This study is supported by awards NA08OAR4320752 and NA13OAR439 from the National Oceanic and Atmospheric Administration, U.S. Department of Commerce. Special thanks to Robert Hallberg who contributed to this study through many helpful conversations. The statements, findings, conclusions, and recommendations are those of the authors and do not necessarily reflect the views of the National Oceanic and Atmospheric Administration, or the U.S. Department of Commerce. The simulations in this paper can be reproduced using the experimental setups found at https://github.com/sternalon/Iceberg_repository. The iceberg model source code can be found at https://github.com/NOAAGFDL/icebergs. The source code for the other model components can be found at https://github.com/NOAAGFDL.</t>
  </si>
  <si>
    <t>1942-2466</t>
  </si>
  <si>
    <t>J ADV MODEL EARTH SY</t>
  </si>
  <si>
    <t>J. Adv. Model. Earth Syst.</t>
  </si>
  <si>
    <t>10.1002/2017MS001002</t>
  </si>
  <si>
    <t>FH7QG</t>
  </si>
  <si>
    <t>WOS:000411384800011</t>
  </si>
  <si>
    <t>Lim, YK; Kim, JY; Kim, JR; Ha, JH</t>
  </si>
  <si>
    <t>Lim, Young-Kwan; Kim, Ji-Yeon; Kim, Jong-Ryeol; Ha, Jong-Han</t>
  </si>
  <si>
    <t>Study of Alternative Fuel Suitability for Special Antarctic Blend Diesel</t>
  </si>
  <si>
    <t>APPLIED CHEMISTRY FOR ENGINEERING</t>
  </si>
  <si>
    <t>alternative fuel; SAB (special antarctic blend diesel); lubricity; cold fuel characteristics</t>
  </si>
  <si>
    <t>The common petroleum can make precipitation such as a wax in a polar region due to severely cold weather condition, which can cause problems to fuel supply system. The petroleum product used in the polar region has thus been manufactured and sold suitable for the cold environment. However it is difficult to supply such petroleum products on time since these were mainly supplied abroad. In this article, the original fuel properties were first analyzed in order to find alternative fuel products for polar region. Jet fuel which is excellent cold characteristics was chosen and the fuel properties was tested by adding a constant concentration of lubricant additives to the jet fuel. As a result, the lubricant additive R621 showed the best lubricity, and adding 1000 mg/L of R621 content to the jet fuel was sufficient to enhance the lubricity. We envision that the jet fuel added 1000 mg/L of R621A can be suitable for alternative special antarctic blend diesel (SAB) in an severe polar environment.</t>
  </si>
  <si>
    <t>[Lim, Young-Kwan; Kim, Ji-Yeon; Kim, Jong-Ryeol; Ha, Jong-Han] Korea Petr Qual &amp; Distribut Author, Cheongju 28115, Chungcheongbuk, South Korea</t>
  </si>
  <si>
    <t>Lim, YK (corresponding author), Korea Petr Qual &amp; Distribut Author, Cheongju 28115, Chungcheongbuk, South Korea.</t>
  </si>
  <si>
    <t>yklim92001@yahoo.co.kr</t>
  </si>
  <si>
    <t>KOREAN SOC INDUSTRIAL &amp; ENGINEERING CHEMISTRY</t>
  </si>
  <si>
    <t>RM 905, ORYX BLDG, 755-5 BANGBAE-DONG, SEOCHO-GU, SEOUL, 137-828, SOUTH KOREA</t>
  </si>
  <si>
    <t>1225-0112</t>
  </si>
  <si>
    <t>1228-4505</t>
  </si>
  <si>
    <t>APPL CHEM ENG</t>
  </si>
  <si>
    <t>Appl. Chem. Eng.</t>
  </si>
  <si>
    <t>10.14478/ace.2017.1044</t>
  </si>
  <si>
    <t>Engineering, Chemical</t>
  </si>
  <si>
    <t>FH3DD</t>
  </si>
  <si>
    <t>WOS:000411024000013</t>
  </si>
  <si>
    <t>Duan, PS; Liu, GY; Tu, Y; Huang, CL</t>
  </si>
  <si>
    <t>Duan, Pengshuo; Liu, Genyou; Tu, Yi; Huang, Chengli</t>
  </si>
  <si>
    <t>Detection of Antarctic oscillation signals in Earth's oblateness variations</t>
  </si>
  <si>
    <t>ACTA GEOPHYSICA</t>
  </si>
  <si>
    <t>Antarctic oscillation; Earth's oblateness; 4-6 Year scales; Cross wavelet spectrum; Wavelet coherence spectrum</t>
  </si>
  <si>
    <t>ATMOSPHERIC MASS REDISTRIBUTION; NINO-SOUTHERN-OSCILLATION; SURFACE-TEMPERATURE; GRAVITATIONAL-FIELD; SEASONAL-VARIATIONS; WAVELET COHERENCE; ANNULAR MODE; SEA; VARIABILITY; PRESSURE</t>
  </si>
  <si>
    <t>Variations of Earth's oblateness (J(2)) reflect a large scale mass redistribution within the Earth system. The climate effect causing J(2) interannual variations is still not clear, though previous studies indicated it may be related to EI Nino-Southern Oscillation (ENSO) and Pacific Decadal Oscillation (PDO). However, we have a new discovery of the significant Antarctic oscillation (AAO) signals in J(2) interannual variations, especially on 4-6 year scales based on cross wavelet and wavelet coherence analysis with 95% confidence test during 1979-2012. The results additionally indicate that the close phase relationship between J(2) and AAO (AAO leading J(2) variations by 3 +/- 2 months in phase) is far superior to that between J(2) and ENSO/PDO on 4-6 year scales. In this work, we discuss, for the first time, a possible geophysical mechanism of AAO effecting J(2) variations. The investigations are based on the definition of AAO and its spatial-temporal behavior influencing the large-scale mass movement. Finally, an approximate quantitative estimate of the AAO imprint on J(2) with an emphasis on the atmospheric contribution is</t>
  </si>
  <si>
    <t>[Duan, Pengshuo; Huang, Chengli] Chinese Acad Sci, Shanghai Astron Observ, Shanghai 200030, Peoples R China; [Liu, Genyou] Chinese Acad Sci, Inst Geodesy &amp; Geophys, State Key Lab Geodesy &amp; Earths Dynam, Wuhan 430077, Hubei, Peoples R China; [Tu, Yi] China Three Gorges Univ, Minist Educ, Key Lab Geol Hazards Three Gorges Reservori Area, Yichang 443002, Peoples R China; [Huang, Chengli] Univ Chinese Acad Sci, Beijing 100049, Peoples R China</t>
  </si>
  <si>
    <t>Chinese Academy of Sciences; Shanghai Astronomical Observatory, CAS; Chinese Academy of Sciences; Innovation Academy for Precision Measurement Science &amp; Technology, CAS; China Three Gorges University; Chinese Academy of Sciences; University of Chinese Academy of Sciences, CAS</t>
  </si>
  <si>
    <t>Duan, PS (corresponding author), Chinese Acad Sci, Shanghai Astron Observ, Shanghai 200030, Peoples R China.</t>
  </si>
  <si>
    <t>duanpengshuo12@163.com</t>
  </si>
  <si>
    <t>Huang, Chengli/B-1389-2009</t>
  </si>
  <si>
    <t>National Natural Science Foundation of China [Y41321063, Y346991001, Y466501001]; State Key Laboratory of Geodesy and Earth's Dynamics Foundation [SKLGED 2013-4-1-Z]</t>
  </si>
  <si>
    <t>National Natural Science Foundation of China(National Natural Science Foundation of China (NSFC)); State Key Laboratory of Geodesy and Earth's Dynamics Foundation</t>
  </si>
  <si>
    <t>This work was supported by National Natural Science Foundation of China (grant Y41321063, Y346991001, Y466501001) and the State Key Laboratory of Geodesy and Earth's Dynamics Foundation (Grant SKLGED 2013-4-1-Z).</t>
  </si>
  <si>
    <t>1895-7455</t>
  </si>
  <si>
    <t>ACTA GEOPHYS</t>
  </si>
  <si>
    <t>Acta Geophys.</t>
  </si>
  <si>
    <t>10.1007/s11600-017-0067-0</t>
  </si>
  <si>
    <t>FG8YS</t>
  </si>
  <si>
    <t>WOS:000410725400005</t>
  </si>
  <si>
    <t>Ciaglia, E; Malfitano, AM; Laezza, C; Fontana, A; Nuzzo, G; Cutignano, A; Abate, M; Pelin, M; Sosa, S; Bifulco, M; Gazzerro, P</t>
  </si>
  <si>
    <t>Ciaglia, Elena; Malfitano, Anna Maria; Laezza, Chiara; Fontana, Angelo; Nuzzo, Genoveffa; Cutignano, Adele; Abate, Mario; Pelin, Marco; Sosa, Silvio; Bifulco, Maurizio; Gazzerro, Patrizia</t>
  </si>
  <si>
    <t>Immuno-Modulatory and Anti-Inflammatory Effects of Dihydrogracilin A, a Terpene Derived from the Marine Sponge Dendrilla membranosa</t>
  </si>
  <si>
    <t>INTERNATIONAL JOURNAL OF MOLECULAR SCIENCES</t>
  </si>
  <si>
    <t>marine sponge; natural compound; inflammation; lymphocytes</t>
  </si>
  <si>
    <t>CORAL LOBOPHYTUM-CRASSUM; NATURAL-PRODUCTS; NK CELLS; PSEUDOPTEROGORGIA-ELISABETHAE; BRIARANE DITERPENOIDS; GLYCOSIDES; N6-ISOPENTENYLADENOSINE; BIOSYNTHESIS; DISCOVERY; OCTOCORAL</t>
  </si>
  <si>
    <t>We assessed the immunomodulatory and anti-inflammatory effects of 9,11-dihydrogracilin A (DHG), a molecule derived from the Antarctic marine sponge Dendrilla membranosa. We used in vitro and in vivo approaches to establish DHG properties. Human peripheral blood mononuclear cells (PBMC) and human keratinocytes cell line (HaCaT cells) were used as in vitro system, whereas a model of murine cutaneous irritation was adopted for in vivo studies. We observed that DHG reduces dose dependently the proliferative response and viability of mitogen stimulated PBMC. In addition, DHG induces apoptosis as revealed by AnnexinV staining and downregulates the phosphorylation of nuclear factor kappa-light-chain-enhancer of activated B cells (NF-B), signal transducer and activator of transcription (STAT) and extracellular signal-regulated kinase (ERK) at late time points. These effects were accompanied by down-regulation of interleukin 6 (IL-6) production, slight decrease of IL-10 and no inhibition of tumor necrosis factor-alpha (TNF-) secretion. To assess potential properties of DHG in epidermal inflammation we used HaCaT cells; this compound reduces cell growth, viability and migration. Finally, we adopted for the in vivo study the croton oil-induced ear dermatitis murine model of inflammation. Of note, topical use of DHG significantly decreased mouse ear edema. These results suggest that DHG exerts anti-inflammatory effects and its anti-edema activity in vivo strongly supports its potential therapeutic application in inflammatory cutaneous diseases.</t>
  </si>
  <si>
    <t>[Ciaglia, Elena; Abate, Mario; Bifulco, Maurizio] Univ Salerno, Dept Med Surg &amp; Dent Scuola Med Salernitana, Via Salvatore Allende, I-84081 Baronissi, Italy; [Malfitano, Anna Maria; Gazzerro, Patrizia] Univ Salerno, Dept Pharm, Via Giovanni Paolo 2, I-84084 Salerno, Italy; [Laezza, Chiara] Univ Naples Federico II, Dept Biol &amp; Cellular &amp; Mol Pathol, Via Pansini, I-80131 Naples, Italy; [Laezza, Chiara] CNR, IEOS, Via Pansini 5, I-80131 Naples, Italy; [Fontana, Angelo; Nuzzo, Genoveffa; Cutignano, Adele] CNR, Inst Biomol Chem, Bioorgan Chem Unit, Via Campi Flegrei 34, I-80131 Naples, Italy; [Pelin, Marco; Sosa, Silvio] Univ Trieste, Dept Life Sci, I-34127 Trieste, Italy; [Bifulco, Maurizio] CORPOREA, Fdn Idis Citta Sci, Via Coroglio 104 &amp; 57, I-80124 Naples, Italy</t>
  </si>
  <si>
    <t>University of Salerno; University of Salerno; University of Naples Federico II; Consiglio Nazionale delle Ricerche (CNR); Istituto per Endocrinologia e Oncologia Gaetano Salvatore (IEOS-CNR); Consiglio Nazionale delle Ricerche (CNR); University of Trieste</t>
  </si>
  <si>
    <t>Bifulco, M (corresponding author), Univ Salerno, Dept Med Surg &amp; Dent Scuola Med Salernitana, Via Salvatore Allende, I-84081 Baronissi, Italy.;Gazzerro, P (corresponding author), Univ Salerno, Dept Pharm, Via Giovanni Paolo 2, I-84084 Salerno, Italy.;Bifulco, M (corresponding author), CORPOREA, Fdn Idis Citta Sci, Via Coroglio 104 &amp; 57, I-80124 Naples, Italy.</t>
  </si>
  <si>
    <t>eciaglia@unisa.it; amalfitano@unisa.it; chiara.laezza@cnr.it; afontana@icb.cnr.it; nuzzo.genoveffa@icb.cnr.it; acutignano@icb.cnr.it; m.abate23@studenti.unisa.it; mpelin@units.it; ssosa@units.it; mbifulco@unisa.it; pgazzerro@unisa.it</t>
  </si>
  <si>
    <t>Fontana, Angelo/AAO-2741-2021; Ciaglia, E/AAA-7924-2019; Fontana, Angelo/C-3354-2012; Cutignano, Adele/C-3343-2012; laez, chi/AAW-4437-2020; Abate, Mario/AAI-4684-2021; Bifulco, Maurizio/HOA-6546-2023</t>
  </si>
  <si>
    <t>Fontana, Angelo/0000-0002-5453-461X; Ciaglia, E/0000-0002-8035-4583; Cutignano, Adele/0000-0003-3035-9252; Abate, Mario/0000-0003-0578-4812; Bifulco, Maurizio/0000-0002-1771-4531; SOSA, SILVIO/0000-0002-2909-6603; Malfitano, Anna Maria/0000-0002-6193-2835; Pelin, Marco/0000-0002-4306-7411</t>
  </si>
  <si>
    <t>Italian Ministry of Education, University and Research [PON01_02093]; Associazione Italiana Ricerca sul Cancro (AIRC) [IG 13312, IG18999]; Fondazione Umberto Veronesi (FUV) [1072]</t>
  </si>
  <si>
    <t>Italian Ministry of Education, University and Research(Ministry of Education, Universities and Research (MIUR)); Associazione Italiana Ricerca sul Cancro (AIRC)(Fondazione AIRC per la ricerca sul cancro); Fondazione Umberto Veronesi (FUV)(Fondazione Umberto Veronesi)</t>
  </si>
  <si>
    <t>This study was supported by: National project PON01_02093 from the Italian Ministry of Education, University and Research; Associazione Italiana Ricerca sul Cancro (AIRC; IG 13312 and IG18999 to Maurizio Bifulco); Elena Ciaglia was supported by a fellowship from Fondazione Umberto Veronesi (FUV 2017, cod.1072); Anna Maria Malfitano was supported by fellowships from the Italian Ministry of Education, University and Research (PON01_02093).</t>
  </si>
  <si>
    <t>1422-0067</t>
  </si>
  <si>
    <t>INT J MOL SCI</t>
  </si>
  <si>
    <t>Int. J. Mol. Sci.</t>
  </si>
  <si>
    <t>10.3390/ijms18081643</t>
  </si>
  <si>
    <t>Biochemistry &amp; Molecular Biology; Chemistry, Multidisciplinary</t>
  </si>
  <si>
    <t>FF4HB</t>
  </si>
  <si>
    <t>WOS:000408897400044</t>
  </si>
  <si>
    <t>Gogliettino, M; Cocca, E; Fusco, C; Agrillo, B; Riccio, A; Balestrieri, M; Facchiano, A; Pepe, A; Palmieri, G</t>
  </si>
  <si>
    <t>Gogliettino, Marta; Cocca, Ennio; Fusco, Carmela; Agrillo, Bruna; Riccio, Alessia; Balestrieri, Marco; Facchiano, Angelo; Pepe, Antonio; Palmieri, Gianna</t>
  </si>
  <si>
    <t>Unusual Antioxidant Properties of 26S Proteasome Isolated from Cold-Adapted Organisms</t>
  </si>
  <si>
    <t>oxidative stress; 26S proteasome; oxidized protein degradation; cold-adaptation; antioxidant functions; Antarctic fish</t>
  </si>
  <si>
    <t>ANTARCTIC NOTOTHENIOID FISHES; HEAT-SHOCK RESPONSE; OXIDATIVE STRESS; PROTEIN OXIDATION; OXIDIZED PROTEINS; MAMMALIAN-CELLS; DEGRADATION; PURIFICATION; 20S; REVEAL</t>
  </si>
  <si>
    <t>The oxidative challenge represents an important factor affecting the adaptive strategies in Antarctic fish, but their impact on the protein degradation machinery still remains unclear. The previous analysis of the first 26S proteasome from the Antarctic red-blooded fish Trematomus bernacchii, evidenced improved antioxidant functions necessary to counteract the environmental pro-oxidant conditions. The purpose of this work was to carry out a study on 26S proteasomes from the temperate red-blooded Dicenthrarcus labrax and the icefish Chionodraco hamatus in comparison with the isoform already described from T. bernacchii, to better elucidate the cold-adapted physiological functions of this complex. Therefore, the 26S isoforms were isolated and the complementary DNAs (cDNAs) codifying the catalytic subunits were cloned. The biochemical characterization of Antarctic 26S proteasomes revealed their significantly higher structural stability and resistance to H2O2 with respect to that of the temperate counterpart, as also suggested by a comparative modeling analysis of the catalytic subunits. Moreover, in contrast to that observed in T. bernacchii, the 26S systems from C. hamatus and D. labrax were incapable to hydrolyze oxidized proteins in a ubiquitin-independent manner. Therefore, the uncommon' properties displayed by the Antarctic 26S proteasomes can mirror the impact exercised by evolutionary pressure in response to richly oxygenated environments.</t>
  </si>
  <si>
    <t>[Gogliettino, Marta; Cocca, Ennio; Fusco, Carmela; Agrillo, Bruna; Riccio, Alessia; Balestrieri, Marco; Pepe, Antonio; Palmieri, Gianna] CNR, Inst Biosci &amp; BioResources, CNR, Via Pietro Castellino 111, I-80131 Naples, Italy; [Facchiano, Angelo] CNR, Inst Food Sci, ISA, CNR, Via Roma 64, CI-83100 Avellino, Italy</t>
  </si>
  <si>
    <t>Consiglio Nazionale delle Ricerche (CNR); Istituto di Bioscienze e Biorisorse (IBBR-CNR); Consiglio Nazionale delle Ricerche (CNR); Istituto di Scienze dell' Alimentazione (ISA-CNR)</t>
  </si>
  <si>
    <t>Cocca, E (corresponding author), CNR, Inst Biosci &amp; BioResources, CNR, Via Pietro Castellino 111, I-80131 Naples, Italy.</t>
  </si>
  <si>
    <t>marta.gogliettino@ibbr.cnr.it; ennio.cocca@ibbr.cnr.it; carmela.fusco@ibbr.cnr.it; bruna.agrillo@ibbr.cnr.it; alessia.riccio@ibbr.cnr.it; marco.balestrieri@ibbr.cnr.it; angelo.facchiano@isa.cnr.it; antonio.pepe@ibbr.cnr.it; gianna.palmieri@ibbr.cnr.it</t>
  </si>
  <si>
    <t>Fusco, Carmela Ca/H-2964-2016; Facchiano, Angelo/K-3375-2012; Palmieri, Gianna/S-4872-2017; Palmieri, Gianna/AAW-6176-2020; Facchiano, Angelo/IVH-4978-2023; Balestrieri, Marco/G-1847-2011; Cocca, Ennio/AAY-3817-2020</t>
  </si>
  <si>
    <t>Facchiano, Angelo/0000-0002-7077-4912; Palmieri, Gianna/0000-0002-9007-4075; Balestrieri, Marco/0000-0003-4343-2148; Cocca, Ennio/0000-0003-2432-9663; FUSCO, CARMELA/0000-0002-0622-529X</t>
  </si>
  <si>
    <t>project The emergent role of new globins of Antarctic fish in the defense against oxidative and nitrosative stress [PNRA 2013/AZ1.20]; Ministero dello Sviluppo Economico (MISE) within the European project SUstainable PLant-based Production of Extremozymes (SUPPLE) [F/0004/02/X29, D.D.C. 3665 02/02/2016]</t>
  </si>
  <si>
    <t>project The emergent role of new globins of Antarctic fish in the defense against oxidative and nitrosative stress; Ministero dello Sviluppo Economico (MISE) within the European project SUstainable PLant-based Production of Extremozymes (SUPPLE)</t>
  </si>
  <si>
    <t>This work was supported by the PNRA 2013/AZ1.20 project The emergent role of new globins of Antarctic fish in the defense against oxidative and nitrosative stress, and by Ministero dello Sviluppo Economico (MISE) within the European project SUstainable PLant-based Production of Extremozymes (SUPPLE) (F/0004/02/X29; D.D.C. 3665 02/02/2016).</t>
  </si>
  <si>
    <t>10.3390/ijms18081605</t>
  </si>
  <si>
    <t>WOS:000408897400008</t>
  </si>
  <si>
    <t>Jiménez, S; Xavier, JC; Domingo, A; Brazeiro, A; Defeo, O; Viera, M; Lorenzo, MI; Phillips, RA</t>
  </si>
  <si>
    <t>Jimenez, Sebastian; Xavier, Jose C.; Domingo, Andres; Brazeiro, Alejandro; Defeo, Omar; Viera, Martina; Lorenzo, Maria Ines; Phillips, Richard A.</t>
  </si>
  <si>
    <t>Inter-specific niche partitioning and overlap in albatrosses and petrels: dietary divergence and the role of fishing discards</t>
  </si>
  <si>
    <t>PELAGIC LONGLINE FISHERIES; BODY-SIZE RELATIONSHIPS; STABLE-ISOTOPE ANALYSES; DE-LA-PLATA; SEABIRD BYCATCH; SYMPATRIC ALBATROSSES; WANDERING ALBATROSSES; FORAGING SEGREGATION; HABITAT PREFERENCES; ROUND DISTRIBUTION</t>
  </si>
  <si>
    <t>Although fisheries discards are recognized as a key food source for many seabirds, there have been few thorough assessments of their importance relative to natural prey, and of their influence on the trophic structure of pelagic seabird communities during the non-breeding period. Competition for resources in Procellariiformes appears to be reduced mainly by avoiding spatial overlap, which is supposed to influence diet composition. However, artificial food sources provided by fisheries might relax niche partitioning, increasing trophic niche overlap. Using bycaught birds from pelagic longline fisheries, we combined the conventional diet and stable isotope analyses to assess the importance of fishing discards in the diet of eight species of Procellariiformes. Both methods revealed the high contribution of trawl discards to the non-breeding diet of three neritic species and a moderate contribution in several other species; discards from pelagic and demersal longline fisheries were considerably less important. There was a clear contrast in diets of neritic vs. oceanic species, which are closely related taxonomically, but segregate at sea. Niche partitioning was less clear among neritic species. They showed an unexpectedly high level of diet overlap, presumably related to the large volume of trawl discards available. This is the first study combining the conventional diet and stable isotope analyses to quantify the importance of fishery discards for a community of non-breeding seabirds, and demonstrates how the super-abundance of supplementary food generates high levels of overlap in diets and allows the coexistence of species.</t>
  </si>
  <si>
    <t>[Jimenez, Sebastian; Domingo, Andres] Direcc Nacl Recursos Acuat, Lab Recursos Pelag, Montevideo 11200, Uruguay; [Jimenez, Sebastian; Xavier, Jose C.; Phillips, Richard A.] British Antarctic Survey, Nat Environm Res Council, Madingley Rd, Cambridge CB3 0ET, England; [Xavier, Jose C.] Univ Coimbra, Fac Life Sci, Fac Sci &amp; Technol, MARE Marine &amp; Environm Sci Ctr, P-3004517 Coimbra, Portugal; [Brazeiro, Alejandro] Univ Republica, Fac Ciencias, Inst Ecol &amp; Ciencias Ambientales, Montevideo 11400, Uruguay; [Defeo, Omar] Univ Republica, Fac Ciencias, Dept Ecol &amp; Evoluc, UNDECIMAR, Montevideo 11400, Uruguay; [Viera, Martina; Lorenzo, Maria Ines] Direcc Nacl Recursos Acuaticos, Lab Edad &amp; Crecimiento, Montevideo 11200, Uruguay</t>
  </si>
  <si>
    <t>UK Research &amp; Innovation (UKRI); Natural Environment Research Council (NERC); NERC British Antarctic Survey; Universidade de Coimbra; Universidad de la Republica, Uruguay; Universidad de la Republica, Uruguay</t>
  </si>
  <si>
    <t>Jiménez, S (corresponding author), Direcc Nacl Recursos Acuat, Lab Recursos Pelag, Montevideo 11200, Uruguay.;Jiménez, S (corresponding author), British Antarctic Survey, Nat Environm Res Council, Madingley Rd, Cambridge CB3 0ET, England.</t>
  </si>
  <si>
    <t>jimenezpsebastian@gmail.com</t>
  </si>
  <si>
    <t>Jimenez, Sebastian Jimenez S/K-6168-2017; Xavier, José/KFB-6739-2024; Jimenez, Sebastian/JMC-9419-2023</t>
  </si>
  <si>
    <t>/0000-0002-9621-6660; Jimenez, Sebastian/0000-0003-3945-4619; Brazeiro, Alejandro/0000-0001-8352-9900</t>
  </si>
  <si>
    <t>Direccion Nacional de Recursos Acuaticos (DINARA); Agencia Nacional de Investigacion e Innovacion (ANII); Comision Academica de Posgrado (CAP); NERC [bas0100035] Funding Source: UKRI; Natural Environment Research Council [bas0100035] Funding Source: researchfish</t>
  </si>
  <si>
    <t>Direccion Nacional de Recursos Acuaticos (DINARA); Agencia Nacional de Investigacion e Innovacion (ANII); Comision Academica de Posgrado (CAP); NERC(UK Research &amp; Innovation (UKRI)Natural Environment Research Council (NERC)); Natural Environment Research Council(UK Research &amp; Innovation (UKRI)Natural Environment Research Council (NERC))</t>
  </si>
  <si>
    <t>This study was funded in part by Direccion Nacional de Recursos Acuaticos (DINARA), Agencia Nacional de Investigacion e Innovacion (ANII) and Comision Academica de Posgrado (CAP).</t>
  </si>
  <si>
    <t>10.1007/s00227-017-3205-y</t>
  </si>
  <si>
    <t>FG6JX</t>
  </si>
  <si>
    <t>WOS:000410485700002</t>
  </si>
  <si>
    <t>Arndt, DS; Blunden, J; Dunn, RJH</t>
  </si>
  <si>
    <t>Arndt, D. S.; Blunden, J.; Dunn, R. J. H.</t>
  </si>
  <si>
    <t>INTRODUCTION</t>
  </si>
  <si>
    <t>SEA-SURFACE TEMPERATURE; MADDEN-JULIAN OSCILLATION; PACIFIC TROPICAL CYCLONE; WESTERN NORTH PACIFIC; MERIDIONAL OVERTURNING CIRCULATION; COUPLED KELVIN WAVES; OCEAN HEAT-CONTENT; LONG-TERM TRENDS; MASS-BALANCE OBSERVATIONS; ORGANIC-CARBON POOLS</t>
  </si>
  <si>
    <t>In 2016, the dominant greenhouse gases released into Earth's atmosphere-carbon dioxide, methane, and nitrous oxide-continued to increase and reach new record highs. The 3.5 +/- 0.1 ppm rise in global annual mean carbon dioxide from 2015 to 2016 was the largest annual increase observed in the 58-year measurement record. The annual global average carbon dioxide concentration at Earth's surface surpassed 400 ppm (402.9 +/- 0.1 ppm) for the first time in the modern atmospheric measurement record and in ice core records dating back as far as 800 000 years. One of the strongest El Nino events since at least 1950 dissipated in spring, and a weak La Nina evolved later in the year. Owing at least in part to the combination of El Nino conditions early in the year and a long-term upward trend, Earth's surface observed record warmth for a third consecutive year, albeit by a much slimmer margin than by which that record was set in 2015. Above Earth's surface, the annual lower troposphere temperature was record high according to all datasets analyzed, while the lower stratospheric temperature was record low according to most of the in situ and satellite datasets. Several countries, including Mexico and India, reported record high annual temperatures while many others observed near-record highs. A week-long heat wave at the end of April over the northern and eastern Indian peninsula, with temperatures surpassing 44 degrees C, contributed to a water crisis for 330 million people and to 300 fatalities. In the Arctic the 2016 land surface temperature was 2.0 degrees C above the 1981-2010 average, breaking the previous record of 2007, 2011, and 2015 by 0.8 degrees C, representing a 3.5 degrees C increase since the record began in 1900. The increasing temperatures have led to decreasing Arctic sea ice extent and thickness. On 24 March, the sea ice extent at the end of the growth season saw its lowest maximum in the 37-year satellite record, tying with 2015 at 7.2% below the 1981-2010 average. The September 2016 Arctic sea ice minimum extent tied with 2007 for the second lowest value on record, 33% lower than the 1981-2010 average. Arctic sea ice cover remains relatively young and thin, making it vulnerable to continued extensive melt. The mass of the Greenland Ice Sheet, which has the capacity to contribute similar to 7 m to sea level rise, reached a record low value. The onset of its surface melt was the second earliest, after 2012, in the 37-year satellite record. Sea surface temperature was record high at the global scale, surpassing the previous record of 2015 by about 0.01 degrees C. The global sea surface temperature trend for the 21st centuryto- date of +0.162 degrees C decade-1 is much higher than the longer term 1950-2016 trend of +0.100 degrees C decade-1. Global annual mean sea level also reached a new record high, marking the sixth consecutive year of increase. Global annual ocean heat content saw a slight drop compared to the record high in 2015. Alpine glacier retreat continued around the globe, and preliminary data indicate that 2016 is the 37th consecutive year of negative annual mass balance. Across the Northern Hemisphere, snow cover for each month from February to June was among its four least extensive in the 47-year satellite record. Continuing a pattern below the surface, record high temperatures at 20-m depth were measured at all permafrost observatories on the North Slope of Alaska and at the Canadian observatory on northernmost Ellesmere Island. In the Antarctic, record low monthly surface pressures were broken at many stations, with the southern annular mode setting record high index values in March and June. Monthly high surface pressure records for August and November were set at several stations. During this period, record low daily and monthly sea ice extents were observed, with the November mean sea ice extent more than 5 standard deviations below the 1981-2010 average. These record low sea ice values contrast sharply with the record high values observed during 2012-14. Over the region, springtime Antarctic stratospheric ozone depletion was less severe relative to the 1991-2006 average, but ozone levels were still low compared to pre-1990 levels. Closer to the equator, 93 named tropical storms were observed during 2016, above the 1981-2010 average of 82, but fewer than the 101 storms recorded in 2015. Three basins-the North Atlantic, and eastern and western North Pacific-experienced above-normal activity in 2016. The Australian basin recorded its least active season since the beginning of the satellite era in 1970. Overall, four tropical cyclones reached the Saffir-Simpson category 5 intensity level. The strong El Nino at the beginning of the year that transitioned to a weak La Nina contributed to enhanced precipitation variability around the world. Wet conditions were observed throughout the year across southern South America, causing repeated heavy flooding in Argentina, Paraguay, and Uruguay. Wetter-than-usual conditions were also observed for eastern Europe and central Asia, alleviating the drought conditions of 2014 and 2015 in southern Russia. In the United States, California had its first wetter-than-average year since 2012, after being plagued by drought for several years. Even so, the area covered by drought in 2016 at the global scale was among the largest in the post-1950 record. For each month, at least 12% of land surfaces experienced severe drought conditions or worse, the longest such stretch in the record. In northeastern Brazil, drought conditions were observed for the fifth consecutive year, making this the longest drought on record in the region. Dry conditions were also observed in western Bolivia and Peru; it was Bolivia's worst drought in the past 25 years. In May, with abnormally warm and dry conditions already prevailing over western Canada for about a year, the human-induced Fort McMurray wildfire burned nearly 590 000 hectares and became the costliest disaster in Canadian history, with $3 billion (U.S. dollars) in insured losses.</t>
  </si>
  <si>
    <t>Dunn, Robert/O-5910-2016; Arndt, Derek S/J-3022-2013</t>
  </si>
  <si>
    <t>Dunn, Robert/0000-0003-2469-5989; Arndt, Derek S/0000-0001-7698-6740</t>
  </si>
  <si>
    <t>S277</t>
  </si>
  <si>
    <t>FF9WD</t>
  </si>
  <si>
    <t>WOS:000409368200001</t>
  </si>
  <si>
    <t>Hunt, BJ; Ozkaya, O; Davies, NJ; Gaten, E; Seear, P; Kyriacou, CP; Tarling, G; Rosato, E</t>
  </si>
  <si>
    <t>Hunt, Benjamin J.; Ozkaya, Ozge; Davies, Nathaniel J.; Gaten, Edward; Seear, Paul; Kyriacou, Charalambos P.; Tarling, Geraint; Rosato, Ezio</t>
  </si>
  <si>
    <t>The Euphausia superba transcriptome database, SuperbaSE: An online, open resource for researchers</t>
  </si>
  <si>
    <t>Antarctic; circadian; crustacean; database; krill; transcriptome</t>
  </si>
  <si>
    <t>RNA-SEQ DATA; CALANUS-FINMARCHICUS CRUSTACEA; NOVO ASSEMBLED TRANSCRIPTOME; GENERATION SEQUENCING DATA; ANTARCTIC KRILL; VERTICAL MIGRATION; LATITUDINAL CLINE; CONCEPTUAL-MODEL; GENE-EXPRESSION; DAPHNIA-PULEX</t>
  </si>
  <si>
    <t>Antarctic krill (Euphausia superba) is a crucial component of the Southern Ocean ecosystem, acting as the major link between primary production and higher trophic levels with an annual predator demand of up to 470 million tonnes. It also acts as an ecosystem engineer, affecting carbon sequestration and recycling iron and nitrogen, and has increasing importance as a commercial product in the aquaculture and health industries. Here we describe the creation of a de novo assembled head transcriptome for E. superba. As an example of its potential as a molecular resource, we relate its exploitation in identifying and characterizing numerous genes related to the circadian clock in E. superba, including the major components of the central feedback loop. We have made the transcriptome openly accessible for a wider audience of ecologists, molecular biologists, evolutionary geneticists, and others in a user-friendly format at SuperbaSE, hosted at www.krill.le.ac.uk.</t>
  </si>
  <si>
    <t>[Hunt, Benjamin J.; Ozkaya, Ozge; Davies, Nathaniel J.; Gaten, Edward; Kyriacou, Charalambos P.; Rosato, Ezio] Univ Leicester, Coll Med Biol Sci &amp; Psychol, Dept Genet, Univ Rd, Leicester, Leics, England; [Seear, Paul; Tarling, Geraint] NERC, British Antarctic Survey, Cambridge, England</t>
  </si>
  <si>
    <t>University of Leicester; UK Research &amp; Innovation (UKRI); Natural Environment Research Council (NERC); NERC British Antarctic Survey</t>
  </si>
  <si>
    <t>Rosato, E (corresponding author), Univ Leicester, Coll Med Biol Sci &amp; Psychol, Dept Genet, Univ Rd, Leicester, Leics, England.</t>
  </si>
  <si>
    <t>er6@le.ac.uk</t>
  </si>
  <si>
    <t>Hunt, Benjamin James/IQS-3328-2023</t>
  </si>
  <si>
    <t>Hunt, Benjamin James/0000-0003-3825-9723; Seear, Paul/0000-0003-4303-5943; Rosato, Ezio/0000-0001-7297-4697</t>
  </si>
  <si>
    <t>Natural Environment Research Council (NERC) UK [NE/D008719/1]; NERC [bas0100035, NE/D008719/1, NE/D010314/1] Funding Source: UKRI; Natural Environment Research Council [NE/D008719/1, NE/D010314/1, bas0100035] Funding Source: researchfish</t>
  </si>
  <si>
    <t>Natural Environment Research Council (NERC) UK(UK Research &amp; Innovation (UKRI)Natural Environment Research Council (NERC)); NERC(UK Research &amp; Innovation (UKRI)Natural Environment Research Council (NERC)); Natural Environment Research Council(UK Research &amp; Innovation (UKRI)Natural Environment Research Council (NERC))</t>
  </si>
  <si>
    <t>We thank the officers and the crew of the RRV James Clark Ross and the participants of cruise JR177, and two anonymous reviewers whose comments improved this manuscript. This work was funded by the Natural Environment Research Council (NERC) UK through an Antarctic Funding Initiative grant NE/D008719/1 (OO, PS, EG, CPK, GT, ER) and a PhD studentship (BJH). This research used the ALICE High Performance Computing Facility at the University of Leicester.</t>
  </si>
  <si>
    <t>10.1002/ece3.3168</t>
  </si>
  <si>
    <t>FG1BQ</t>
  </si>
  <si>
    <t>WOS:000409528000001</t>
  </si>
  <si>
    <t>Prebble, JG; Bostock, HC; Cortese, G; Lorrey, AM; Hayward, BW; Calvo, E; Northcote, LC; Scott, GH; Neil, HL</t>
  </si>
  <si>
    <t>Prebble, J. G.; Bostock, H. C.; Cortese, G.; Lorrey, A. M.; Hayward, B. W.; Calvo, E.; Northcote, L. C.; Scott, G. H.; Neil, H. L.</t>
  </si>
  <si>
    <t>Evidence for a Holocene Climatic Optimum in the southwest Pacific: A multiproxy study</t>
  </si>
  <si>
    <t>SEA-SURFACE TEMPERATURE; SOUTHERN-OCEAN FRONTS; LAST GLACIAL PERIOD; NEW-ZEALAND; SUBTROPICAL FRONT; DINOFLAGELLATE CYSTS; CHATHAM RISE; ANTARCTIC PENINSULA; FORAMINIFERAL FLUX; SOUTHLAND CURRENT</t>
  </si>
  <si>
    <t>The early Holocene sea surface temperature (SST) gradient across the subtropical front (STF) to the east of New Zealand was similar to 2 degrees C (measured between core sites MD97-2121 and MD97-2120): considerably less than the similar to 6 degrees C modern gradient between the two core sites. We document the surface ocean temperatures east and south of New Zealand during the early and middle Holocene, to test and expand upon this reconstruction. This new study samples a latitudinal transect of seven sediment cores from 37 degrees S to 60 degrees S in the southwest Pacific from subtropical waters north of New Zealand to polar waters in the Southern Ocean. Our compilation of SST proxies consists of 525 SST estimates from five different methods and includes 243 new data points. We confirm that an early Holocene warm peak in this region was mostly restricted to the area immediately south of the STF, which resulted in a lower temperature gradient across the STF than in modern times. However, there is no change in Holocene SST south of the polar front. Faunal assemblages suggest an early Holocene meridional expansion of fauna characteristic of the modern subtropical front in the Bounty Gyre. We suggest that such an expansion could be achieved by a reduced inflow of Subantarctic Surface Water into the Bounty Gyre. Results from a modern-analog matching platform called the Past Interpretation of Climate Tool (PICT) suggest that the early Holocene SST is most consistent with reduced westerly winds in the New Zealand sector of the Southern Ocean.</t>
  </si>
  <si>
    <t>[Prebble, J. G.; Cortese, G.; Scott, G. H.] GNS Sci, Lower Hutt, New Zealand; [Bostock, H. C.; Lorrey, A. M.; Northcote, L. C.; Neil, H. L.] NIWA, Wellington, New Zealand; [Hayward, B. W.] Geomarine Res, Auckland, New Zealand; [Calvo, E.] Inst Marine Sci, Barcelona, Spain</t>
  </si>
  <si>
    <t>GNS Science - New Zealand; National Institute of Water &amp; Atmospheric Research (NIWA) - New Zealand; Consejo Superior de Investigaciones Cientificas (CSIC); CSIC - Centro Mediterraneo de Investigaciones Marinas y Ambientales (CMIMA); CSIC - Instituto de Ciencias del Mar (ICM)</t>
  </si>
  <si>
    <t>Prebble, JG (corresponding author), GNS Sci, Lower Hutt, New Zealand.</t>
  </si>
  <si>
    <t>j.prebble@gns.cri.nz</t>
  </si>
  <si>
    <t>HAYWARD, BRUCE W/AAG-2597-2019; Bostock, Helen/A-6834-2013; Calvo, Eva/C-2618-2014</t>
  </si>
  <si>
    <t>Bostock, Helen/0000-0002-8903-8958; Calvo, Eva/0000-0003-3659-4499; Cortese, Giuseppe/0000-0003-1780-3371; Lorrey, Andrew/0000-0002-3923-3181; /0000-0002-2111-6817; Hayward, Bruce W./0000-0003-1302-7686</t>
  </si>
  <si>
    <t>New Zealand Antarctic Research Institute [NZARI 2014-2]; GNS Global Change Through Time Programme project 5; NIWA Coasts; Oceans Physical Resources (COPR) sediment processes project; NIWA Regional Climate Modeling core [CACV1702]</t>
  </si>
  <si>
    <t>New Zealand Antarctic Research Institute; GNS Global Change Through Time Programme project 5; NIWA Coasts; Oceans Physical Resources (COPR) sediment processes project; NIWA Regional Climate Modeling core</t>
  </si>
  <si>
    <t>We thank the scientists and crew who collected the suite of cores used in this study. The samples are currently archived at the National Institute of Water and Atmospheric Research (NIWA) and at the Integrated Ocean Drilling Program (IODP) core repositories. Funding for this project was provided by the New Zealand Antarctic Research Institute (NZARI 2014-2), the GNS Global Change Through Time Programme project 5 (J.P., G.C., and G.S.), the NIWA Coasts and Oceans Physical Resources (COPR) sediment processes project (H.B., H.N., and L.N.), and A.M.L. was supported by the NIWA Regional Climate Modeling core funded project contract CACV1702. We thank Marcus Vandergoes for comments on a draft. We thank journal Editors Ellen Thomas and Ryuji Tada, reviewer Stephen Gallagher, and an anonymous reviewer for comments that significantly improved the clarity of this manuscript. Data from this project are available in supporting information Tables S1-S6 from the journal website.</t>
  </si>
  <si>
    <t>10.1002/2016PA003065</t>
  </si>
  <si>
    <t>FG1SK</t>
  </si>
  <si>
    <t>WOS:000409811500002</t>
  </si>
  <si>
    <t>Warratz, G; Henrich, R; Voigt, I; Chiessi, CM; Kuhn, G; Lantzsch, H</t>
  </si>
  <si>
    <t>Warratz, Grit; Henrich, Ruediger; Voigt, Ines; Chiessi, Cristiano M.; Kuhn, Gerhard; Lantzsch, Hendrik</t>
  </si>
  <si>
    <t>Deglacial changes in the strength of deep southern component water and sediment supply at the Argentine continental margin</t>
  </si>
  <si>
    <t>MERIDIONAL OVERTURNING CIRCULATION; CALCIUM-CARBONATE CORROSIVENESS; ANTARCTIC INTERMEDIATE WATER; ATLANTIC-OCEAN; NORTH-ATLANTIC; TERRIGENOUS SEDIMENT; NEODYMIUM ISOTOPE; GLOBIGERINA-BULLOIDES; SURFACE SEDIMENTS; SORTABLE SILT</t>
  </si>
  <si>
    <t>The deep southern component water (SCW), comprising Lower Circumpolar Deep Water (LCDW) and Antarctic Bottom Water (AABW), is a major component of the global oceanic circulation. It has been suggested that the deep Atlantic water mass structure changed significantly during the last glacial/interglacial cycle. However, deep SCW source-proximal records remain sparse. Here we present three coherent deep SCW paleocurrent records from the deep Argentine continental margin shedding light on deep water circulation and deep SCW flow strength in the Southwest Atlantic since the Last Glacial Maximum (LGM). Based on increased sortable silt values, we propose enhanced deep SCW flow strength from 14 to 10 cal ka B.P. relative to the early deglacial/LGM and the Holocene. We propose a direct influence of deep northern component water (NCW) on deep SCW flow strength due to vertical narrowing of deep SCW spreading, concurrent with a migration of the high-energetic LCDW/AABW interface occupying our core sites. We suggest a shoaled NCW until 13 cal ka B.P., thereby providing space for deep SCW spreading that resulted in reduced carbonate preservation at our core sites. Increased carbonate content from 13 cal ka B.P. indicates that the NCW expanded changing deep water properties at our core sites in the deep Southwest Atlantic. However, southern sourced terrigenous sediments continued to be deposited at our core sites, suggesting that deep SCW flow was uninterrupted along the Argentine continental margin since the LGM.</t>
  </si>
  <si>
    <t>[Warratz, Grit; Henrich, Ruediger; Voigt, Ines; Lantzsch, Hendrik] Univ Bremen, MARUM, Ctr Marine Environm Sci, Bremen, Germany; [Warratz, Grit; Henrich, Ruediger; Voigt, Ines; Lantzsch, Hendrik] Fac Geosci, Bremen, Germany; [Chiessi, Cristiano M.] Univ Sao Paulo, Sch Arts Sci &amp; Humanities, Sao Paulo, Brazil; [Kuhn, Gerhard] Helmholtz Zentrum Polar &amp; Meeresforsch, Alfred Wegener Inst, Bremerhaven, Germany</t>
  </si>
  <si>
    <t>University of Bremen; Universidade de Sao Paulo; Helmholtz Association; Alfred Wegener Institute, Helmholtz Centre for Polar &amp; Marine Research</t>
  </si>
  <si>
    <t>Warratz, G (corresponding author), Univ Bremen, MARUM, Ctr Marine Environm Sci, Bremen, Germany.;Warratz, G (corresponding author), Fac Geosci, Bremen, Germany.</t>
  </si>
  <si>
    <t>warratz@uni-bremen.de</t>
  </si>
  <si>
    <t>Chiessi, Cristiano Mazur/E-1916-2012; Chiessi, Cristiano Mazur/JAZ-0806-2023</t>
  </si>
  <si>
    <t>Chiessi, Cristiano Mazur/0000-0003-3318-8022; Chiessi, Cristiano Mazur/0000-0003-3318-8022; Kuhn, Gerhard/0000-0001-6069-7485; Warratz, Grit/0000-0003-2853-6985</t>
  </si>
  <si>
    <t>DFG-Research Center/Cluster of Excellence The Ocean in the Earth System (MARUM); GLOMAR-Bremen International Graduate School for Marine Sciences; FAPESP [2012/17517-3]; CAPES [1976/2014, 564/2015]; CNPq [302607/2016-1, 422255/2016-5]; DFG [VO2094/1-1]</t>
  </si>
  <si>
    <t>DFG-Research Center/Cluster of Excellence The Ocean in the Earth System (MARUM)(German Research Foundation (DFG)); GLOMAR-Bremen International Graduate School for Marine Sciences; FAPESP(Fundacao de Amparo a Pesquisa do Estado de Sao Paulo (FAPESP)); CAPES(Coordenacao de Aperfeicoamento de Pessoal de Nivel Superior (CAPES)); CNPq(Conselho Nacional de Desenvolvimento Cientifico e Tecnologico (CNPQ)); DFG(German Research Foundation (DFG))</t>
  </si>
  <si>
    <t>We acknowledge Rainer Petschick, an anonymous reviewer and Associate Editor Helen Bostock for their helpful comments which significantly improved the content of this manuscript. This study was funded through the DFG-Research Center/Cluster of Excellence The Ocean in the Earth System (MARUM) and was supported by GLOMAR-Bremen International Graduate School for Marine Sciences. We acknowledge T. Schwenk for reprocessing the bathymetric data and S. Krastel for comments and discussion which improved the content of this manuscript. We thank B. Kockisch, J. Marquardt, and J. Klinckradt for lab assistance. We thank S. Wiebe and R. Frohlking (AWI Bremerhaven) for assistance during sample preparation and supply of clay mineral XRD measurements. This research used data acquired at the XRF Core Scanner Lab at the MARUM-Center for Marine Environmental Sciences, University of Bremen. In this respect we thank U. Rohl and her team for assistance. We thank the ETH Zurich for AMS radiocarbon dating of small samples and in particular L. Wacker for collaboration. C.M. Chiessi acknowledges the financial support from FAPESP (grant 2012/17517-3), CAPES (grants 1976/2014 and 564/2015), and CNPq (grants 302607/2016-1 and 422255/2016-5). G. Kuhn acknowledges the Alfred Wegener Institute (AWI) Helmholtz Center for Polar and Marine Research program Polar Regions and Coasts in the changing Earth System (PACES II). IV further acknowledges the support from DFG grant VO2094/1-1. Special thanks go to Captain and crew of R/V Meteor during cruise M78/3. The new data reported in this paper are archived in PANGAEA (doi:10.1594/PANGAEA.874957).</t>
  </si>
  <si>
    <t>10.1002/2016PA003079</t>
  </si>
  <si>
    <t>WOS:000409811500004</t>
  </si>
  <si>
    <t>Saavedra-Pellitero, M; Baumann, KH; Lamy, F; Köhler, P</t>
  </si>
  <si>
    <t>Saavedra-Pellitero, Mariem; Baumann, Karl-Heinz; Lamy, Frank; Koehler, Peter</t>
  </si>
  <si>
    <t>Coccolithophore variability across Marine Isotope Stage 11 in the Pacific sector of the Southern Ocean and its potential impact on the carbon cycle</t>
  </si>
  <si>
    <t>ANTARCTIC CIRCUMPOLAR CURRENT; ATMOSPHERIC CO2; PLEISTOCENE FLUCTUATIONS; EXPORT PRODUCTION; ATLANTIC SECTOR; SR/CA RATIOS; CLIMATE; SEA; ASSEMBLAGES; CHEMISTRY</t>
  </si>
  <si>
    <t>Proxy-based reconstructions of past changes in the marine biological carbon pumps are limited, especially in the Southern Ocean. This work provides new insights into the productivity variations in the Pacific sector of the Southern Ocean. We present new data derived from three sediment cores that show glacial/interglacial coccolithophore variability across Marine Isotope Stage 11 (MIS 11). The cores were retrieved during R/V Polarstern cruise PS75 from the Subantarctic Zone and Polar Front Zone at the western flank of the East Pacific Rise and in the vicinity of the Antarctic-Pacific Ridge. Coccolithophore assemblages were overwhelmingly dominated by the species Gephyrocapsa caribbeanica and small Gephyrocapsa. Total numbers of coccoliths, coccolith accumulation rates, coccolith fraction (CF; &lt;20 mu m fraction) Sr/Ca data, and temperature-corrected CF Sr/Ca records consistently showed an increase in coccolithophore productivity during Termination V (MIS 12-11 boundary), highest productivity throughout MIS 11 (similar to 424-374 kyr), and a decrease during late MIS 11 in all the cores. We end with a discussion of back-calculated coccolith calcification rate in the surface ocean and its potential contribution to changes in the concentration of atmospheric CO2.</t>
  </si>
  <si>
    <t>[Saavedra-Pellitero, Mariem; Baumann, Karl-Heinz] Univ Bremen, Dept Geosci, Bremen, Germany; [Lamy, Frank; Koehler, Peter] Helmholtz Zentrum Polar &amp; Meeresforsch, Alfred Wegener Inst, Bremerhaven, Germany</t>
  </si>
  <si>
    <t>University of Bremen; Helmholtz Association; Alfred Wegener Institute, Helmholtz Centre for Polar &amp; Marine Research</t>
  </si>
  <si>
    <t>Saavedra-Pellitero, M (corresponding author), Univ Bremen, Dept Geosci, Bremen, Germany.</t>
  </si>
  <si>
    <t>msaavedr@uni-bremen.de</t>
  </si>
  <si>
    <t>Saavedra-Pellitero, Mariem/I-7468-2019; Köhler, Peter/F-7293-2010; Lamy, Frank/H-3611-2014</t>
  </si>
  <si>
    <t>Saavedra-Pellitero, Mariem/0000-0003-0621-7932; Köhler, Peter/0000-0003-0904-8484;</t>
  </si>
  <si>
    <t>DFG [SA 2593/1-1]; Polarstern expedition PS75 through the Alfred Wegener Institute, Helmholtz Centre for Polar and Marine Research</t>
  </si>
  <si>
    <t>DFG(German Research Foundation (DFG)); Polarstern expedition PS75 through the Alfred Wegener Institute, Helmholtz Centre for Polar and Marine Research</t>
  </si>
  <si>
    <t>The authors are indebted to Johannes Ullermann for the data provided and for helpful discussions. We thank Rainer Gersonde as well as the captain and crew of R/V Polarstern for their support during expedition PS75. Thoughtful comments from two anonymous reviewers helped to improve this manuscript during the review process. Technical support and laboratory assistance from Nele Vollmar, Catarina Cavaleiro, Martin Koelling, and Silvana Pape are greatly appreciated. Baptiste Sucheras-Marx and Raul Tapia are thanked for their suggestions, as well as Deborah Tangunan for reading and commenting on a previous draft. We acknowledge Heather Johnstone for proofreading the manuscript. This work was funded by DFG Fellowship SA 2593/1-1 awarded to Mariem Saavedra-Pellitero. We acknowledge funding of Polarstern expedition PS75 through the Alfred Wegener Institute, Helmholtz Centre for Polar and Marine Research. Data are available in Pangaea database (https://doi.org/10.1594/PANGAEA.878116).</t>
  </si>
  <si>
    <t>10.1002/2017PA003156</t>
  </si>
  <si>
    <t>WOS:000409811500008</t>
  </si>
  <si>
    <t>Banakar, VK; Baidya, S; Piotrowski, AM; Shankar, D</t>
  </si>
  <si>
    <t>Banakar, Virupaxa K.; Baidya, Sweta; Piotrowski, Alexander M.; Shankar, D.</t>
  </si>
  <si>
    <t>Indian summer monsoon forcing on the deglacial polar cold reversals</t>
  </si>
  <si>
    <t>JOURNAL OF EARTH SYSTEM SCIENCE</t>
  </si>
  <si>
    <t>Paleoclimate; polar cold reversals; ITCZ; Indian monsoon; Arabian Sea; sediment core</t>
  </si>
  <si>
    <t>NORTH-ATLANTIC CLIMATE; LAST GLACIAL PERIOD; ICE CORE; TROPICAL PACIFIC; CARBON-DIOXIDE; HEAT-TRANSPORT; GREENLAND; OCEAN; ITCZ; PRECIPITATION</t>
  </si>
  <si>
    <t>The deglacial transition from the last glacial maximum at similar to 20 kiloyears before present (ka) to the Holocene (11.7 ka to Present) was interrupted by millennial-scale cold reversals, viz., Antarctic Cold Reversal (similar to 14.5-12.8 ka) and Greenland Younger Dryas (similar to 12.8-11.8 ka) which had different timings and extent of cooling in each hemisphere. The cause of this synchronously initiated, but different hemispheric cooling during these cold reversals (Antarctic Cold Reversal similar to 3 degrees C and Younger Dryas similar to 10 degrees C) is elusive because CO2, the fundamental forcing for deglaciation, and Atlantic meridional overturning circulation, the driver of antiphased bipolar climate response, both fail to explain this asymmetry. We use centennial-resolution records of the local surface water delta O-18 of the Eastern Arabian Sea, which constitutes a proxy for the precipitation associated with the Indian Summer Monsoon, and other tropical precipitation records to deduce the role of tropical forcing in the polar cold reversals. We hypothesize a mechanism for tropical forcing, via the Indian Summer Monsoons, of the polar cold reversals by migration of the Inter-Tropical Convergence Zone and the associated cross-equatorial heat transport.</t>
  </si>
  <si>
    <t>[Banakar, Virupaxa K.; Baidya, Sweta; Shankar, D.] Natl Inst Oceanog, CSIR, Panaji 403004, Goa, India; [Banakar, Virupaxa K.; Baidya, Sweta] CSIR NIO, Acad Sci &amp; Innovat Res AcSIR, Panaji, Goa, India; [Piotrowski, Alexander M.] Univ Cambridge, Dept Earth Sci, Cambridge CB2 3EQ, England</t>
  </si>
  <si>
    <t>Council of Scientific &amp; Industrial Research (CSIR) - India; CSIR - National Institute of Oceanography (NIO); Council of Scientific &amp; Industrial Research (CSIR) - India; CSIR - National Institute of Oceanography (NIO); Academy of Scientific &amp; Innovative Research (AcSIR); University of Cambridge</t>
  </si>
  <si>
    <t>Banakar, VK (corresponding author), Natl Inst Oceanog, CSIR, Panaji 403004, Goa, India.;Banakar, VK (corresponding author), CSIR NIO, Acad Sci &amp; Innovat Res AcSIR, Panaji, Goa, India.</t>
  </si>
  <si>
    <t>virupaxa56@gmail.com</t>
  </si>
  <si>
    <t>CSIR; NERC [NE/F006047/1, NE/K005235/1] Funding Source: UKRI; Natural Environment Research Council [NE/F006047/1, NE/K005235/1] Funding Source: researchfish</t>
  </si>
  <si>
    <t>CSIR(Council of Scientific &amp; Industrial Research (CSIR) - India); NERC(UK Research &amp; Innovation (UKRI)Natural Environment Research Council (NERC)); Natural Environment Research Council(UK Research &amp; Innovation (UKRI)Natural Environment Research Council (NERC))</t>
  </si>
  <si>
    <t>This work is the part of the GEOSINKS Program funded by the CSIR. DS thanks MoES for funding through their CTCZ program. The sediment core was collected with the assistance of crew on board RV Boris Petrov chartered by the MoES for Cobalt- Crust Exploration program. SB thanks CSIR for her research fellowship. We thank Mike Hall and James Rolfe for oxygen isotope measurements at Godwin Laboratory, University of Cambridge, UK and DeMartino Mitzi of the Arizona University, USA for AMS- radiocarbon measurements. The constructive reviews by anonymous reviewers were of great help while revising the manuscript. This is NIO contribution No. 6024.</t>
  </si>
  <si>
    <t>0253-4126</t>
  </si>
  <si>
    <t>0973-774X</t>
  </si>
  <si>
    <t>J EARTH SYST SCI</t>
  </si>
  <si>
    <t>J. Earth Syst. Sci.</t>
  </si>
  <si>
    <t>10.1007/s12040-017-0864-5</t>
  </si>
  <si>
    <t>Geosciences, Multidisciplinary; Multidisciplinary Sciences</t>
  </si>
  <si>
    <t>Geology; Science &amp; Technology - Other Topics</t>
  </si>
  <si>
    <t>FF6HH</t>
  </si>
  <si>
    <t>WOS:000409107200011</t>
  </si>
  <si>
    <t>Ward, R; Gavrilov, AN; McCauley, RD</t>
  </si>
  <si>
    <t>Ward, Rhianne; Gavrilov, Alexander N.; McCauley, Robert D.</t>
  </si>
  <si>
    <t>Spot call: A common sound from an unidentified great whale in Australian temperate waters</t>
  </si>
  <si>
    <t>PYGMY BLUE WHALES; BALAENOPTERA-MUSCULUS; PACIFIC; OCEANS</t>
  </si>
  <si>
    <t>Underwater passive acoustic recordings in the Southern and Indian Oceans off Australia from 2002 to 2016 have regularly captured a tonal signal of about 10 s duration at 22-28 Hz with a symmetrical bell-shaped envelope. The sound is often accompanied by short, higher frequency downsweeps and repeated at irregular intervals varying from 120 to 200 s. It is termed the spot call according to its appearance in spectrograms of long-time averaging. Although similar to the first part of an Antarctic blue whale Z-call, evidence suggests the call is produced by another great whale, with the source as yet not identified. (C) 2017 Acoustical Society of America</t>
  </si>
  <si>
    <t>[Ward, Rhianne; Gavrilov, Alexander N.; McCauley, Robert D.] Curtin Univ, Ctr Marine Sci &amp; Technol, Kent St, Bentley, WA 6102, Australia</t>
  </si>
  <si>
    <t>Curtin University</t>
  </si>
  <si>
    <t>Ward, R (corresponding author), Curtin Univ, Ctr Marine Sci &amp; Technol, Kent St, Bentley, WA 6102, Australia.</t>
  </si>
  <si>
    <t>rhiward@hotmail.com; a.gavrilov@curtin.edu.au; r.mccauley@cmst.curtin.edu.au</t>
  </si>
  <si>
    <t>Gavrilov, Alexander N/B-2812-2013</t>
  </si>
  <si>
    <t>Ward, Rhianne/0000-0001-8766-6523; Gavrilov, Alexander/0000-0003-1907-458X</t>
  </si>
  <si>
    <t>IMOS; BP Australia</t>
  </si>
  <si>
    <t>Alec Duncan and Frank Thomas of Curtin University were instrumental in designing, building, and putting up with all the tribulations of proving the sea noise loggers used in this study. Mal Perry and RPSMetOcean have been of tremendous help in preparing and deploying moorings. The work would not have eventuated without the excellent and professional vessel crews required, in particular Curt and Micheline Jenner and their RV Whale Song vessels. Rod and Simone Keogh of Fowlers Bay Eco Whale Tours provided in-kind support and vessel use, as well as invaluable assistance during logger deployment and retrieval at Fowlers Bay in 2014-2016. IMOS supported Australia wide sea noise logger deployments from 2009. BP Australia provided funding for sea noise recordings in the GAB. Geoscience Australia and CTBT Organization provided access to data from the H01 IMS hydroacoustic station.</t>
  </si>
  <si>
    <t>EL231</t>
  </si>
  <si>
    <t>EL236</t>
  </si>
  <si>
    <t>10.1121/1.4998608</t>
  </si>
  <si>
    <t>FF6PK</t>
  </si>
  <si>
    <t>WOS:000409135800012</t>
  </si>
  <si>
    <t>Sattley, WM; Burchell, BM; Conrad, SD; Madigan, MT</t>
  </si>
  <si>
    <t>Sattley, W. Matthew; Burchell, Brad M.; Conrad, Stephen D.; Madigan, Michael T.</t>
  </si>
  <si>
    <t>Design, Construction, and Application of an Inexpensive, High-Resolution Water Sampler</t>
  </si>
  <si>
    <t>WATER</t>
  </si>
  <si>
    <t>water sampler; limnology; water column sampling; water monitoring; stratified lake</t>
  </si>
  <si>
    <t>FROZEN LAKE FRYXELL; MCMURDO DRY VALLEYS; ICE-COVERED LAKE; ANTARCTICA; BACTERIA; DIVERSITY</t>
  </si>
  <si>
    <t>The cost of high-resolution water sampling devices for ecological studies and water quality analyses can be prohibitive. Moreover, the potential for operator error in the use of complicated sampling equipment can lead to inaccuracies. Here we describe the construction and operation of an inexpensive and easy-to-use water sampler that achieves a water column sampling resolution of approximately 1 cm. The device is driven by a peristaltic pump and is constructed entirely of non-corrosive and non-reactive materials. The sampler has no moving parts and was completely reliable in fieldwork on temperate and Antarctic lakes. The device is especially suited for the collection of water samples from calm or stagnant surface waters, such as lakes, ponds, reservoirs, and deep swamps or other wetlands. In addition, because its components are unaffected by corrosive salts and sulfides, the device is suitable for sampling calm inlet waters, including shallow bays and estuaries. Because of its low cost, simple construction, compact design, and precision performance, this water sampler is an excellent option for studying and monitoring shallow to moderately deep (&lt;50 m) natural waters.</t>
  </si>
  <si>
    <t>[Sattley, W. Matthew; Burchell, Brad M.; Conrad, Stephen D.] Indiana Wesleyan Univ, Div Nat Sci, Marion, IN 46953 USA; [Madigan, Michael T.] Southern Illinois Univ, Dept Microbiol, Carbondale, IL 62901 USA</t>
  </si>
  <si>
    <t>Southern Illinois University System; Southern Illinois University</t>
  </si>
  <si>
    <t>Sattley, WM (corresponding author), Indiana Wesleyan Univ, Div Nat Sci, Marion, IN 46953 USA.</t>
  </si>
  <si>
    <t>matthew.sattley@indwes.edu; brad.burchell@myemail.indwes.edu; stephen.conrad@indwes.edu; madigan@siu.edu</t>
  </si>
  <si>
    <t>Indiana Wesleyan University Division of Natural Sciences; U.S. National Science Foundation [OPP008581, MCB0237576]</t>
  </si>
  <si>
    <t>Indiana Wesleyan University Division of Natural Sciences; U.S. National Science Foundation(National Science Foundation (NSF))</t>
  </si>
  <si>
    <t>We thank the Indiana Wesleyan University Division of Natural Sciences for financial support for this project. We also thank John C. Priscu, Montana State University, for helpful advice in the design of our water sampler, John P. Buffat for assistance in its construction, and Larry Cramer for kindly providing convenient access to Little Crooked Lake. Use of the prototype of this sampler in Antarctica was supported by U.S. National Science Foundation grants OPP008581 and MCB0237576 to Michael T. Madigan.</t>
  </si>
  <si>
    <t>2073-4441</t>
  </si>
  <si>
    <t>WATER-SUI</t>
  </si>
  <si>
    <t>Water</t>
  </si>
  <si>
    <t>10.3390/w9080578</t>
  </si>
  <si>
    <t>Environmental Sciences; Water Resources</t>
  </si>
  <si>
    <t>Environmental Sciences &amp; Ecology; Water Resources</t>
  </si>
  <si>
    <t>FF2LP</t>
  </si>
  <si>
    <t>WOS:000408729200025</t>
  </si>
  <si>
    <t>Zhang, MM; Marandino, CA; Chen, LQ; Sun, H; Gao, ZY; Park, KH; Kim, IT; Yang, B; Zhu, TT; Yan, JP; Wang, JJ</t>
  </si>
  <si>
    <t>Zhang, Miming; Marandino, C. A.; Chen, Liqi; Sun, Heng; Gao, Zhongyong; Park, Keyhong; Kim, Intae; Yang, Bo; Zhu, Tingting; Yan, Jinpei; Wang, Jianjun</t>
  </si>
  <si>
    <t>Characteristics of the surface water DMS and pCO2 distributions and their relationships in the Southern Ocean, southeast Indian Ocean, and northwest Pacific Ocean</t>
  </si>
  <si>
    <t>MARGINAL ICE-ZONE; NET COMMUNITY PRODUCTION; ANTARCTIC SEA-ICE; EAST CHINA SEA; DIMETHYLSULFIDE DMS; DIMETHYLSULFONIOPROPIONATE DMSP; SULFUR-COMPOUNDS; CARBON-DIOXIDE; WEDDELL SEA; CO2 FLUX</t>
  </si>
  <si>
    <t>Oceanic dimethyl sulfide (DMS) is of interest due to its critical influence on atmospheric sulfur compounds in the marine atmosphere and its hypothesized significant role in global climate. High-resolution shipboard underway measurements of surface seawater DMS and the partial pressure of carbon dioxide (pCO(2)) were conducted in the Atlantic Ocean and Indian Ocean sectors of the Southern Ocean (SO), the southeast Indian Ocean, and the northwest Pacific Ocean from February to April 2014 during the 30th Chinese Antarctic Research Expedition. The SO, particularly in the region south of 58 degrees S, had the highest mean surface seawater DMS concentration of 4.1 +/- 8.3 nM (ranged from 0.1 to 73.2 nM) and lowest mean seawater pCO(2) level of 337 +/- 50 mu atm (ranged from 221 to 411 mu atm) over the entire cruise. Significant variations of surface seawater DMS and pCO(2) in the seasonal ice zone (SIZ) of SO were observed, which are mainly controlled by biological process and sea ice activity. We found a significant negative relationship between DMS and pCO(2) in the SO SIZ using 0.1 degrees resolution, [DMS](seawater) = -0.160 [pCO(2)](seawater) + 61.3 (r(2) = 0.594, n = 924, p &lt; 0.001). We anticipate that the relationship may possibly be utilized to reconstruct the surface seawater DMS climatology in the SO SIZ. Further studies are necessary to improve the universality of this approach.</t>
  </si>
  <si>
    <t>[Zhang, Miming; Chen, Liqi; Sun, Heng; Gao, Zhongyong; Yan, Jinpei; Wang, Jianjun] State Ocean Adm, Inst Oceanog 3, Key Lab Global Change &amp; Marine Atmospher Chem, Xiamen, Peoples R China; [Marandino, C. A.] GEOMAR Helmholtz Zentrum Ozeanforsch, Forsch Berech Marine Biogeochem, Kiel, Germany; [Park, Keyhong] Korea Polar Res Inst, Div Polar Ocean Sci, Incheon, South Korea; [Kim, Intae] Korea Inst Ocean Sci &amp; Technol, Marine Radionuclide Res Ctr, Ansan, South Korea; [Yang, Bo] Univ Washington, Sch Oceanog, Seattle, WA 98195 USA; [Zhu, Tingting] Wuhan Univ, State Key Lab Informat Engn Surveying Mapping &amp; R, Wuhan, Hubei, Peoples R China</t>
  </si>
  <si>
    <t>Third Institute of Oceanography, Ministry of Natural Resources; Helmholtz Association; GEOMAR Helmholtz Center for Ocean Research Kiel; Korea Polar Research Institute (KOPRI); Korea Institute of Ocean Science &amp; Technology (KIOST); University of Washington; University of Washington Seattle; Wuhan University</t>
  </si>
  <si>
    <t>Zhang, MM; Chen, LQ (corresponding author), State Ocean Adm, Inst Oceanog 3, Key Lab Global Change &amp; Marine Atmospher Chem, Xiamen, Peoples R China.</t>
  </si>
  <si>
    <t>zhangmiming@tio.org.cn; liqichen@tio.org.cn</t>
  </si>
  <si>
    <t>Marandino, Christa/HLX-5973-2023</t>
  </si>
  <si>
    <t>Yang, Bo/0000-0001-5617-5748; Marandino, Christa/0000-0001-9947-4377; Zhang, Miming/0000-0001-5848-3672</t>
  </si>
  <si>
    <t>National Natural Science Foundation of China (NSFC) [41476172, 41230529, 41106168, 41406221, 41476173]; Qingdao National Laboratory for marine science and technology foundation [QNLM2016ORP0109]; Scientific Research Foundation of Third Institute of Oceanography, State Oceanic Administration [2015031]; Chinese Projects for Investigations and Assessments of the Arctic and Antarctica (CHINARE) [01-04-02, 02-01, 04-04, 04-03, 03-04-02]; Chinese International Cooperation Programs [2015DFG22010, IC201201, IC201308, IC201513]; Korea Polar Research Institute [PE17060]; foundation of International Organizations and Conferences and Bilateral Cooperation of Maritime Affairs</t>
  </si>
  <si>
    <t>National Natural Science Foundation of China (NSFC)(National Natural Science Foundation of China (NSFC)); Qingdao National Laboratory for marine science and technology foundation; Scientific Research Foundation of Third Institute of Oceanography, State Oceanic Administration; Chinese Projects for Investigations and Assessments of the Arctic and Antarctica (CHINARE); Chinese International Cooperation Programs; Korea Polar Research Institute(Korea Polar Research Institute of Marine Research Placement (KOPRI)); foundation of International Organizations and Conferences and Bilateral Cooperation of Maritime Affairs</t>
  </si>
  <si>
    <t>We thank the Chinese Arctic and Antarctic Administration (CAA) of State Oceanic Administration (SOA) and the crew of R/V Xue Long for support with field operations. Furthermore, we would like to extend our thanks to PhD student Yanfang Wu of the University of New South Wales for his assistance with English, discussion and revision of the paper, as well Tobias Steinhoff (GEOMAR, Germany) for his valuable input. This work was supported by the National Natural Science Foundation of China (NSFC) (41476172, 41230529, 41106168, 41406221, and 41476173) and Qingdao National Laboratory for marine science and technology foundation (QNLM2016ORP0109), the Scientific Research Foundation of Third Institute of Oceanography, State Oceanic Administration under contract 2015031, Chinese Projects for Investigations and Assessments of the Arctic and Antarctica (CHINARE2015-16 for 01-04-02, 02-01, 04-04, 04-03 and 03-04-02), and the Chinese International Cooperation Programs (2015DFG22010, IC201201, IC201308, and IC201513), and Korea Polar Research Institute grant PE17060. The study was also supported by the foundation of International Organizations and Conferences and Bilateral Cooperation of Maritime Affairs. Please see the original DMS data in the supporting information or directly contact the author for requesting (zhangmiming@tio.org.cn).</t>
  </si>
  <si>
    <t>10.1002/2017GB005637</t>
  </si>
  <si>
    <t>FG0ST</t>
  </si>
  <si>
    <t>Green Submitted, Green Accepted, Green Published</t>
  </si>
  <si>
    <t>WOS:000409481500007</t>
  </si>
  <si>
    <t>Gaelens, J; Van Torre, P; Verhaevert, J; Rogier, H</t>
  </si>
  <si>
    <t>Gaelens, Johnny; Van Torre, Patrick; Verhaevert, Jo; Rogier, Hendrik</t>
  </si>
  <si>
    <t>LoRa Mobile-To-Base-Station Channel Characterization in the Antarctic</t>
  </si>
  <si>
    <t>SENSORS</t>
  </si>
  <si>
    <t>LoRa; antenna; propagation; measurement; Antarctic</t>
  </si>
  <si>
    <t>Antarctic conditions demand that wireless sensor nodes are operational all year round and that they provide a large communication range of several tens of kilometers. LoRa technology operating in sub-GHz frequency bands implements these wireless links with minimal power consumption. The employed chirp spread spectrum modulation provides a large link budget, combined with the excellent radio-wave propagation characteristics in these bands. In this paper, an experimental wireless link from a mobile vehicle which transmits sensor data to a base station is measured and analyzed in terms of signal-to-noise ratio and packet loss. These measurements confirm the usefulness of LoRa technology for wireless sensor systems in polar regions. By deploying directional antennas at the base station, a range of up to 30 km is covered in case of Line-of-Sight radio propagation in both the 434 and 868 MHz bands. Varying terrain elevation is shown to be the dominating factor influencing the propagation, sometimes causing the Line-of-Sight path to be obstructed. Tropospheric radio propagation effects were not apparent in the measurements.</t>
  </si>
  <si>
    <t>[Gaelens, Johnny; Van Torre, Patrick; Verhaevert, Jo; Rogier, Hendrik] Univ Ghent, IMEC, Dept Informat Technol, Technol Pk Zwijnaarde 15, B-9052 Ghent, Belgium</t>
  </si>
  <si>
    <t>Ghent University; IMEC</t>
  </si>
  <si>
    <t>Van Torre, P (corresponding author), Univ Ghent, IMEC, Dept Informat Technol, Technol Pk Zwijnaarde 15, B-9052 Ghent, Belgium.</t>
  </si>
  <si>
    <t>johnny.gaelens@UGent.be; Patrick.VanTorre@UGent.be; Jo.Verhaevert@UGent.be; hendrik.rogier@UGent.be</t>
  </si>
  <si>
    <t>Verhaevert, Jo/I-2963-2019; Rogier, Hendrik/E-2086-2011</t>
  </si>
  <si>
    <t>Verhaevert, Jo/0000-0003-4003-0098; Rogier, Hendrik/0000-0001-8139-2736; Van Torre, Patrick/0000-0002-0633-0815</t>
  </si>
  <si>
    <t>BELSPO through the IAP Phase VII BESTCOM project</t>
  </si>
  <si>
    <t>This research was possible thanks to International Polar Foundation (www.polarfoundation.org/www.antarcticstation.org). Funding of the part of research infrastructure used in this paper was made available by BELSPO through the IAP Phase VII BESTCOM project.</t>
  </si>
  <si>
    <t>1424-8220</t>
  </si>
  <si>
    <t>SENSORS-BASEL</t>
  </si>
  <si>
    <t>Sensors</t>
  </si>
  <si>
    <t>10.3390/s17081903</t>
  </si>
  <si>
    <t>Chemistry, Analytical; Engineering, Electrical &amp; Electronic; Instruments &amp; Instrumentation</t>
  </si>
  <si>
    <t>Chemistry; Engineering; Instruments &amp; Instrumentation</t>
  </si>
  <si>
    <t>FF0FF</t>
  </si>
  <si>
    <t>WOS:000408576900206</t>
  </si>
  <si>
    <t>Truzzi, C; Annibaldi, A; Illuminati, S; Mantini, C; Scarponi, G</t>
  </si>
  <si>
    <t>Truzzi, C.; Annibaldi, A.; Illuminati, S.; Mantini, C.; Scarponi, G.</t>
  </si>
  <si>
    <t>Chemical fractionation by sequential extraction of Cd, Pb, and Cu in Antarctic atmospheric particulate for the characterization of aerosol composition, sources, and summer evolution at Terra Nova Bay, Victoria Land</t>
  </si>
  <si>
    <t>AIR QUALITY ATMOSPHERE AND HEALTH</t>
  </si>
  <si>
    <t>Antarctic aerosol composition; Metal fractionation; Sequential extraction; Cadmium; Lead; Copper</t>
  </si>
  <si>
    <t>ANODIC-STRIPPING VOLTAMMETRY; TRACE-ELEMENTS; SOURCE IDENTIFICATION; ATLANTIC-OCEAN; SOUTH-POLE; CAPILLARY-ELECTROPHORESIS; MASS CONCENTRATION; COASTAL SEAWATER; ROSS SEA; METALS</t>
  </si>
  <si>
    <t>Insights in the knowledge of the Antarctic atmospheric composition of Cd, Pb, and Cu are obtained by chemical fractionation of metals in the aerosol to obtain water-soluble (soluble), dilute HCl-extractable (extractable), and inert fractions. The aim is to correlate chemical fractions to metal sources. A three-step sequential extraction and square wave anodic stripping voltammetry were applied to analyze aerosol samples (PM10) collected during summer near the M. Zucchelli Italian Station (Victoria Land). Metal mass fractions varied as follows (min-max, average, in mu g g(-1)): Cd 1.4-38 (11), Pb 26-83 (47), and Cu 150-840 (490). In terms of atmospheric concentrations, the values were as follows (pg m(-3)): Cd 0.93-39 (9.5), Pb 17-60 (33), and Cu 88-480 (340). The soluble fraction relates to the marine contribution. The extractable fraction refers mainly to local human activity. The inert fraction is associated with the crustal dust. Soluble, extractable, and inert metal fractions changed very much during the Austral summer according to changes of source types and strengths. The observations on the temporal trends, the relationships with wind direction and speed, and the correlations between the same fractions of different metals, together with results of principal component analysis, agreed with the stated associations between chemical fractions and major sources. Fractionated data are among the first even published in Antarctic research.</t>
  </si>
  <si>
    <t>[Truzzi, C.; Annibaldi, A.; Illuminati, S.; Mantini, C.; Scarponi, G.] Univ Politecn Marche, Dipartimento Sci Vita &amp; Ambiente, I-60131 Ancona, Italy</t>
  </si>
  <si>
    <t>Annibaldi, A; Illuminati, S (corresponding author), Univ Politecn Marche, Dipartimento Sci Vita &amp; Ambiente, I-60131 Ancona, Italy.</t>
  </si>
  <si>
    <t>a.annibaldi@univpm.it; s.illuminati@univpm.it</t>
  </si>
  <si>
    <t>Illuminati, Silvia/GXZ-5038-2022; Illuminati, Silvia/T-7873-2019; Scarponi, Giuseppe/AAQ-6394-2021</t>
  </si>
  <si>
    <t>Illuminati, Silvia/0000-0001-6465-5477; Scarponi, Giuseppe/0000-0003-2932-0596</t>
  </si>
  <si>
    <t>Italian Programma Nazionale di Ricerche in Antartide (PNRA) [PdR 2004/9.01, 2009/A2.11, 2013/AZ 3.04]</t>
  </si>
  <si>
    <t>Italian Programma Nazionale di Ricerche in Antartide (PNRA)</t>
  </si>
  <si>
    <t>Financial support from the Italian Programma Nazionale di Ricerche in Antartide (PNRA, Grants PdR 2004/9.01, 2009/A2.11, 2013/AZ 3.04) under the projects on Chemical Contamination, Study of sources and transfer processes of the Antarctic aerosol, and Air-snow exchanges and relationships for trace elements and organic compounds of climatic interest is gratefully acknowledged. Many thanks are due to the technical personnel of Ente Nazionale Energia e Ambiente (ENEA) at Terra Nova Bay and to the scientists of the Antarctic expedition for the sampling activities on site. The authors gratefully acknowledge the NOAA Air Resources Laboratory (ARL) for the provision of the HYSPLIT transport and dispersion model and READY website (http://www.ready.noaa.gov) used in this publication.</t>
  </si>
  <si>
    <t>1873-9318</t>
  </si>
  <si>
    <t>1873-9326</t>
  </si>
  <si>
    <t>AIR QUAL ATMOS HLTH</t>
  </si>
  <si>
    <t>Air Qual. Atmos. Health</t>
  </si>
  <si>
    <t>10.1007/s11869-017-0470-3</t>
  </si>
  <si>
    <t>FF5MX</t>
  </si>
  <si>
    <t>WOS:000409036700010</t>
  </si>
  <si>
    <t>Carvalho, EL; Wallau, GL; Rangel, DL; Machado, LC; Pereira, AB; Victoria, FD; Boldo, JT; Pinto, PM</t>
  </si>
  <si>
    <t>Carvalho, Evelise Leis; Wallau, Gabriel Luz; Rangel, Darlene Lopes; Machado, Lais Ceschini; Pereira, Antonio Batista; Victoria, Filipe De Carvalho; Boldo, Juliano Tomazzoni; Pinto, Paulo Marcos</t>
  </si>
  <si>
    <t>PHYLOGENETIC POSITIONING OF THE ANTARCTIC ALGA PRASIOLA CRISPA (TREBOUXIOPHYCEAE) USING ORGANELLAR GENOMES AND THEIR STRUCTURAL ANALYSIS</t>
  </si>
  <si>
    <t>JOURNAL OF PHYCOLOGY</t>
  </si>
  <si>
    <t>Antarctic algae; chloroplast genome; green algae phylogeny; mitochondrial genome; Prasiola crispa</t>
  </si>
  <si>
    <t>GREEN-ALGAE; CHLOROPLAST GENOMES; MITOCHONDRIAL GENOMES; CHLOROPHYTA; SEQUENCE; PERFORMANCE; ALIGNMENTS; SELECTION; REVEAL; MODELS</t>
  </si>
  <si>
    <t>Antarctica is one of the most difficult habitats for sustaining life on earth; organisms that live there have developed different strategies for survival. Among these organisms is the green alga Prasiola crispa, belonging to the class Trebouxiophyceae. The literature on P. crispa taxonomy is scarce, and many gaps in the evolutionary relationship with its closest relatives remain. The goal of this study was to analyze the evolutionary relationships between P. crispa and other green algae using plastid and mitochondrial genomes. In addition, we analyzed the synteny conservation of these genomes of P. crispa with those of closely related species. Based on the plastid genome, P. crispa grouped with Prasiolopsis sp. SAG 84.81, another Trebouxiophyceaen species from the Prasiola clade. Based on the mitochondrial genome analysis, P. crispa grouped with other Trebouxiophyceaen species but had a basal position. The structure of the P. crispa chloroplast genome had low synteny with Prasiolopsis sp. SAG 84.81, despite some conserved gene blocks. The same was observed in the mitochondrial genome compared with Coccomyxa subellipsoidea C-169. We were able to establish the phylogenetic position of P. crispa with other species of Trebouxiophyceae using its genomes. In addition, we described the plasticity of these genomes using a structural analysis. The plastid and mitochondrial genomes of P. crispa will be useful for further genetic studies, phylogenetic analysis and resource protection of P. crispa as well as for further phylogenetic analysis of Trebouxiophyceaen green algae.</t>
  </si>
  <si>
    <t>[Carvalho, Evelise Leis; Rangel, Darlene Lopes; Machado, Lais Ceschini; Boldo, Juliano Tomazzoni; Pinto, Paulo Marcos] Univ Pampa, Appl Prote Lab, BR-97300000 Sao Gabriel, RS, Brazil; [Wallau, Gabriel Luz] Ctr Pesquisas Aggeu Magalhaes, Dept Entomol, BR-50740465 Recife, PE, Brazil; [Pereira, Antonio Batista; Victoria, Filipe De Carvalho] Univ Pampa, NEVA, BR-97300000 Sao Gabriel, RS, Brazil</t>
  </si>
  <si>
    <t>Fundacao Oswaldo Cruz</t>
  </si>
  <si>
    <t>Pinto, PM (corresponding author), Univ Pampa, Appl Prote Lab, BR-97300000 Sao Gabriel, RS, Brazil.</t>
  </si>
  <si>
    <t>paulopinto@unipampa.edu.br</t>
  </si>
  <si>
    <t>Wallau, Gabriel/B-5911-2008; Pinto, Paulo Marcos/O-4358-2019; Victoria, Filipe C/E-1890-2012; Pinto, Paulo Marcos/JCD-9191-2023; Pereira, Antonio B/I-8201-2014; Victoria, Filipe/F-6066-2013</t>
  </si>
  <si>
    <t>Wallau, Gabriel/0000-0002-1419-5713; Pinto, Paulo Marcos/0000-0002-8513-0335; Pereira, Antonio B/0000-0003-0368-4594; Victoria, Filipe/0000-0002-8580-1813</t>
  </si>
  <si>
    <t>National Council for Scientific and Technological Development (CNPq-Brazil); Coordination for the Improvement of Higher Education Personnel (CAPES-Brazil); Fundacao de Amparo a Pesquisa do Estado do Rio Grande do Sul (FAPERGS-Brazil); National Institute of Science and Technology-Antarctic Environmental Research (INCT-APA)</t>
  </si>
  <si>
    <t>National Council for Scientific and Technological Development (CNPq-Brazil)(Conselho Nacional de Desenvolvimento Cientifico e Tecnologico (CNPQ)); Coordination for the Improvement of Higher Education Personnel (CAPES-Brazil)(Coordenacao de Aperfeicoamento de Pessoal de Nivel Superior (CAPES)); Fundacao de Amparo a Pesquisa do Estado do Rio Grande do Sul (FAPERGS-Brazil)(Fundacao de Amparo a Ciencia e Tecnologia do Estado do Rio Grande do Sul (FAPERGS)); National Institute of Science and Technology-Antarctic Environmental Research (INCT-APA)</t>
  </si>
  <si>
    <t>This work was supported by the National Council for Scientific and Technological Development (CNPq-Brazil), the Coordination for the Improvement of Higher Education Personnel (CAPES-Brazil), the Fundacao de Amparo a Pesquisa do Estado do Rio Grande do Sul (FAPERGS-Brazil) and the National Institute of Science and Technology-Antarctic Environmental Research (INCT-APA). E.L.C. received research fellowships from the Fundacao de Amparo a Pesquisa do Estado do Rio Grande do Sul (FAPERGS-Brazil).</t>
  </si>
  <si>
    <t>0022-3646</t>
  </si>
  <si>
    <t>1529-8817</t>
  </si>
  <si>
    <t>J PHYCOL</t>
  </si>
  <si>
    <t>J. Phycol.</t>
  </si>
  <si>
    <t>10.1111/jpy.12541</t>
  </si>
  <si>
    <t>FF8CF</t>
  </si>
  <si>
    <t>WOS:000409242000014</t>
  </si>
  <si>
    <t>Kan, GF; Wen, H; Wang, XF; Zhou, T; Shi, CJ</t>
  </si>
  <si>
    <t>Kan, Guangfeng; Wen, Hua; Wang, Xiaofei; Zhou, Ting; Shi, Cuijuan</t>
  </si>
  <si>
    <t>Cloning and characterization of iron-superoxide dismutase in Antarctic yeast strain Rhodotorula mucilaginosa AN5</t>
  </si>
  <si>
    <t>gene cloning; heavy metal tolerance; iron superoxide dismutase; protein characterization; Rhodotorula mucilaginosa</t>
  </si>
  <si>
    <t>MOLECULAR-CLONING; OXIDATIVE STRESS; BIOCHEMICAL-CHARACTERIZATION; ESCHERICHIA-COLI; MANGANESE; EXPRESSION; PURIFICATION; STABILITY; RESPONSES; TOXICITY</t>
  </si>
  <si>
    <t>A novel superoxide dismutase gene from Antarctic yeast Rhodotorula mucilaginosa AN5 was cloned, sequenced, and then expressed in Escherichia coli. The R. mucilaginosa AN5 SOD (RmFeSOD) gene was 639 bp open reading frame in length, which encoded a protein of 212 amino acids with a deduced molecular mass of 23.5 kDa and a pI of 7.89. RmFeSOD was identified as iron SOD type with a natural status of homodimer. The recombinant RmFeSOD showed good pH stability in the pH 1.0-9.0 after 1 h incubation. Meanwhile, it was found to behave relatively high thermostability, and maintained more than 80% activity at 50 degrees C for 1 h. By addition of 1 mM metal ions, the enzyme activity increased by Zn2+, Cu2+, Mn2+, and Fe3+, and inhibited only by Mg2+. RmFeSOD showed relatively low tolerance to some compounds, such as PMSF, SDS, Tween-80, Triton X-100, DMSO, beta-ME, and urea. However, DTT showed no inhibition to enzyme activity. Using copper stress experiment, the RmFeSOD recombinant E. coli exhibited better growth than nonrecombinant bacteria, which revealed that RmFeSOD might play an important role in the adaptability of heavy metals.</t>
  </si>
  <si>
    <t>[Kan, Guangfeng; Wen, Hua; Wang, Xiaofei; Zhou, Ting; Shi, Cuijuan] Harbin Inst Technol Weihai, Sch Marine Sci &amp; Technol, Weihai 264209, Peoples R China</t>
  </si>
  <si>
    <t>Harbin Institute of Technology</t>
  </si>
  <si>
    <t>Shi, CJ (corresponding author), Harbin Inst Technol Weihai, Sch Marine Sci &amp; Technol, Weihai 264209, Peoples R China.</t>
  </si>
  <si>
    <t>cjshi@hit.edu.cn</t>
  </si>
  <si>
    <t>Liu, Liu/JXM-8208-2024</t>
  </si>
  <si>
    <t>kan, Guangfeng/0000-0002-5357-7204</t>
  </si>
  <si>
    <t>Key Technologies R &amp; D Program of Shandong [2013G0021502, 2016ZDJQ0206]; Natural Scientific Research Innovation Foundation in Harbin Institute of Technology [HIT. IBRSEM. 2013037, HIT. NSRIF. 2016085]; Science and Technology Project of Weihai</t>
  </si>
  <si>
    <t>Key Technologies R &amp; D Program of Shandong; Natural Scientific Research Innovation Foundation in Harbin Institute of Technology(Harbin Institute of Technology); Science and Technology Project of Weihai</t>
  </si>
  <si>
    <t>Key Technologies R &amp; D Program of Shandong, Grant numbers: 2013G0021502, 2016ZDJQ0206; Science and Technology Project of Weihai and Natural Scientific Research Innovation Foundation in Harbin Institute of Technology, Grant numbers: HIT. IBRSEM. 2013037, HIT. NSRIF. 2016085</t>
  </si>
  <si>
    <t>10.1002/jobm.201700165</t>
  </si>
  <si>
    <t>FF5LM</t>
  </si>
  <si>
    <t>WOS:000409031400005</t>
  </si>
  <si>
    <t>Moss, PT; Dunbar, GB; Thomas, Z; Turney, C; Kershaw, AP; Jacobsen, GE</t>
  </si>
  <si>
    <t>Moss, Patrick T.; Dunbar, Gavin B.; Thomas, Zoe; Turney, Chris; Kershaw, A. Peter; Jacobsen, Geraldine E.</t>
  </si>
  <si>
    <t>A 60 000-year record of environmental change for the Wet Tropics of north-eastern Australia based on the ODP 820 marine core</t>
  </si>
  <si>
    <t>biomass burning; marine isotope stages; marine sediments; pollen concentrate; vegetation change</t>
  </si>
  <si>
    <t>GREAT-BARRIER-REEF; HUMID TROPICS; MEGAFAUNAL EXTINCTION; NORTHEASTERN AUSTRALIA; CLIMATIC VARIABILITY; MANGROVE POLLEN; SHELF EDGE; SEA; QUEENSLAND; VEGETATION</t>
  </si>
  <si>
    <t>Palynomorphs from the ODP Site 820 marine core have provided a detailed record of terrestrial environmental responses to glacial-interglacial forcing over the last 250 000 years in the Australian Wet Tropics. The development of an accurate geochronological framework for this key sequence has proved challenging. Consequently, different dominant forcing mechanism(s) have been proposed to drive environmental change in the low latitudes. A new chronology for the last 60 000 years, based on accelerator mass spectrometry radiocarbon (C-14) dates of pollen concentrate material and the existing Marine Isotope Stage boundaries (MIS 4 to 1) has been produced. This new chronology provides a robust geochronological framework for interpreting environmental records across the region. In particular, our age model helps to resolve several debates concerning the timing of climatic changes and their impacts on both the marine and the terrestrial systems, as well as possible human arrival and associated impacts on the region's ecosystems. Our findings suggest C-14 dating of terrestrial pollen concentrate in marine sediments is a valuable tool for resolving major chronological uncertainties in potentially diagenetically altered marine CaCO3 sediments and should play a role in future multi-dating strategies. Copyright (C) 2017 John Wiley &amp; Sons, Ltd.</t>
  </si>
  <si>
    <t>[Moss, Patrick T.] Univ Queensland, Sch Earth &amp; Environm Sci, Brisbane, Qld 4072, Australia; [Dunbar, Gavin B.] Victoria Univ Wellington, Antarctic Res Ctr, Wellington 6140, New Zealand; [Thomas, Zoe; Turney, Chris] Univ New South Wales, Sch Biol Earth &amp; Environm Sci, ARC Ctr Excellence Australian Biodivers &amp; Heritag, Sydney, NSW 2052, Australia; [Thomas, Zoe; Turney, Chris] Univ New South Wales, Sch Biol Earth &amp; Environm Sci, Palaeontol Geobiol &amp; Earth Arch Res Ctr, Sydney, NSW 2052, Australia; [Thomas, Zoe; Turney, Chris] Univ New South Wales, Sch Biol Earth &amp; Environm Sci, Climate Change Res Ctr, Sydney, NSW 2052, Australia; [Kershaw, A. Peter] Monash Univ, Sch Earth Atmosphere &amp; Environm, Melbourne, Vic 3800, Australia; [Jacobsen, Geraldine E.] Australian Nucl Sci &amp; Technol Org, Kirrawee, NSW 2232, Australia</t>
  </si>
  <si>
    <t>University of Queensland; Victoria University Wellington; University of New South Wales Sydney; University of New South Wales Sydney; University of New South Wales Sydney; Melbourne Genomics Health Alliance; Monash University; Australian Nuclear Science &amp; Technology Organisation</t>
  </si>
  <si>
    <t>Moss, PT (corresponding author), Univ Queensland, Sch Earth &amp; Environm Sci, Brisbane, Qld 4072, Australia.</t>
  </si>
  <si>
    <t>patrick.moss@uq.edu.au</t>
  </si>
  <si>
    <t>Moss, Patrick/AFM-9408-2022; Turney, Chris S M/P-8701-2018; CABAH, ARC/T-6419-2019; Thomas, Zoe/D-1656-2016</t>
  </si>
  <si>
    <t>Kershaw, Peter/0000-0002-9478-0567; Moss, Patrick/0000-0003-1546-9242; Thomas, Zoe/0000-0002-2323-4366</t>
  </si>
  <si>
    <t>Australian Institute of Nuclear Science and Engineering (AINSE) [06129, 08050]</t>
  </si>
  <si>
    <t>Australian Institute of Nuclear Science and Engineering (AINSE)</t>
  </si>
  <si>
    <t>We thank the Integrated Ocean Drilling Program/International Ocean Discovery Program (IODP) for providing samples from the ODP 820 marine core for palynological analysis and the 14C dating of pollen concentrate samples. This research was supported by grants from the Australian Institute of Nuclear Science and Engineering (AINSE grants 06129 and 08050). We would also like to thank Helen Bostock, Matthew Ryan and an anonymous reviewer for their comments that greatly improved this paper. The authors have no conflicts of interest to declare.</t>
  </si>
  <si>
    <t>10.1002/jqs.2977</t>
  </si>
  <si>
    <t>FF5QC</t>
  </si>
  <si>
    <t>WOS:000409047100004</t>
  </si>
  <si>
    <t>Eaves, SR; Anderson, BM; Mackintosh, AN</t>
  </si>
  <si>
    <t>Eaves, Shaun R.; Anderson, Brian M.; Mackintosh, Andrew N.</t>
  </si>
  <si>
    <t>Glacier-based climate reconstructions for the last glacial-interglacial transition: Arthur's Pass, New Zealand (43°S)</t>
  </si>
  <si>
    <t>glacier modelling; Heinrich Stadial 1; last glacial termination; palaeoclimate; Southern Hemisphere</t>
  </si>
  <si>
    <t>NUCLIDE PRODUCTION-RATES; SOUTHERN ALPS; SCALE CHANGES; NORTH-ISLAND; MAXIMUM; BE-10; CHRONOLOGY; FLUCTUATIONS; SENSITIVITY; ADVANCE</t>
  </si>
  <si>
    <t>Geological records of mountain glacier fluctuations provide useful evidence for tracing the magnitude and rate of past temperature change. In this study, we present air temperature reconstructions for the last glacial termination in New Zealand derived using snowline reconstructions and numerical glacier modelling. We target the Arthur's Pass moraines in the Otira River catchment, which have previously been dated to the Lateglacial using cosmogenic Be-10. Recalculation of these exposure ages using a locally calibrated Be-10 production rate indicates that these moraines formed ca. 16-14 ka. Our glacier modelling experiments and snowline reconstructions exhibit good agreement and show that the Arthur's Pass moraines formed in a climate that was 2.2-3.5 degrees C colder than present. Combining our results with other, proximal glacier records shows that ice in this catchment retreated ca. 50km from the coastal plain to the main divide during the interval 17-15 ka, in response to a temperature increase of at least ca. 3 degrees C. Over half of this retreat occurred after the glacier had withdrawn from an overdeepened basin. Thus, we conclude that temperature increase was the primary driver of widespread and rapid glacier retreat in New Zealand at the onset of the last glacial termination. Copyright (C) 2016 John Wiley &amp; Sons, Ltd.</t>
  </si>
  <si>
    <t>[Eaves, Shaun R.; Anderson, Brian M.; Mackintosh, Andrew N.] Victoria Univ Wellington, Antarctic Res Ctr, POB 600, Wellington 6140, New Zealand; [Eaves, Shaun R.; Mackintosh, Andrew N.] Victoria Univ Wellington, Sch Geog Environm &amp; Earth Sci, POB 600, Wellington 6140, New Zealand</t>
  </si>
  <si>
    <t>Victoria University Wellington; Victoria University Wellington</t>
  </si>
  <si>
    <t>Eaves, SR (corresponding author), Victoria Univ Wellington, Antarctic Res Ctr, POB 600, Wellington 6140, New Zealand.;Eaves, SR (corresponding author), Victoria Univ Wellington, Sch Geog Environm &amp; Earth Sci, POB 600, Wellington 6140, New Zealand.</t>
  </si>
  <si>
    <t>shaun.eaves@vuw.ac.nz</t>
  </si>
  <si>
    <t>Mackintosh, Andrew/0000-0002-6430-4711; Eaves, Shaun/0000-0003-0444-631X</t>
  </si>
  <si>
    <t>New Zealand Antarctic Research Institute (NZARI); Leverhulme Trust</t>
  </si>
  <si>
    <t>New Zealand Antarctic Research Institute (NZARI); Leverhulme Trust(Leverhulme Trust)</t>
  </si>
  <si>
    <t>This work was funded by New Zealand Antarctic Research Institute (NZARI) and Leverhulme Trust. We thank reviewers Peter Almond and Tim Barrows for constructive feedback that helped to improve the manuscript.</t>
  </si>
  <si>
    <t>10.1002/jqs.2904</t>
  </si>
  <si>
    <t>WOS:000409047100015</t>
  </si>
  <si>
    <t>Fox, BRS; D'Andrea, WJ; Wilson, GS; Lee, DE; Wartho, JA</t>
  </si>
  <si>
    <t>Fox, B. R. S.; D'Andrea, W. J.; Wilson, G. S.; Lee, D. E.; Wartho, J. -A.</t>
  </si>
  <si>
    <t>Interaction of polar and tropical influences in the mid-latitudes of the Southern Hemisphere during the Mi-1 deglaciation</t>
  </si>
  <si>
    <t>Southern Hemisphere palaeoclimate; Early Miocene; Mi-1 event; Orbital forcing; Semi-precession; Westerly winds</t>
  </si>
  <si>
    <t>EARLY MIOCENE; MAAR LAKE; NEW-ZEALAND; ICE-SHEET; CLIMATE VARIABILITY; CARBON-CYCLE; OLIGOCENE; OTAGO; SEDIMENTS; OCEAN</t>
  </si>
  <si>
    <t>It is well-known from geologic archives that Pleistocene and Holocene climate is characterised by cyclical variation on a wide range of timescales, and that these cycles of variation interact in complex ways. However, it is rarely possible to reconstruct sub-precessional (&lt; 20 kyr) climate variations for periods predating the oldest ice-core records (c. 800 ka). Here we present an investigation of orbital to potentially sub-precessional cyclicity from an annually resolved lake sediment core dated to a 100-kyr period in the earliest Miocene (23.03-22.93 Ma) and spanning a period of major Antarctic deglaciation associated with the second half of the Mi-1 event. Principal component analysis (PCA) of sediment bulk density, magnetic susceptibility (MS), and CIELAB L* and b* with a resolution of 10 years indicates two major environmental processes governing the physical properties records, which we interpret as changes in wind strength and changes in precipitation. Spectral analysis of the principal components indicates that both processes are strongly influenced by obliquity (41 kyr). We interpret this 41-kyr cycle in wind strength and precipitation as related to the changing position and strength of the Southern Hemisphere westerly winds. Precipitation is also influenced by an 11-kyr cycle. The 11-kyr periodicity is potentially related to orbital cyclicity, representing the equatorial semis-precessional maximum insolation cycle. This semi-precession cycle has been identified in a number of records from the Pleistocene and Holocene and has recently been suggested to indicate that insolation in low-latitude regions may be an important driver of millennial-scale climate response to orbital forcing (Feretti et al., 2015). This is the first time this cycle has been identified in a mid-latitude Southern Hemisphere climate archive, as well as the first identification in pre-Pleistocene records. The 11-kyr cycle appears at around 23.01 Ma, which coincides with the initiation of a major phase of Antarctic deglaciation, and strengthens during the subsequent period of rapid ice decay. This pattern suggests that the westerly winds may have expanded north of 50 degrees S at the height of Mi-1, excluding tropical influence from the Foulden Maar site, and subsequently contracted polewards in tandem with warming deep-sea temperatures and Antarctic deglaciation, allowing the advection of tropical waters further south.</t>
  </si>
  <si>
    <t>[Fox, B. R. S.] Univ Waikato, Sch Sci, Private Bag 3105, Hamilton 3240, New Zealand; [D'Andrea, W. J.] Columbia Univ, Lamont Doherty Earth Observ, 61 Route 9W,POB 1000, Palisades, NY USA; [Wilson, G. S.] Univ Otago, Dept Marine Sci, POB 56, Dunedin 9054, New Zealand; [Lee, D. E.] Univ Otago, Dept Geol, POB 56, Dunedin 9054, New Zealand; [Wartho, J. -A.] GEOMAR Helmholtz Ctr Ocean Res Kiel, Wischhofstr 1-3, D-24148 Kiel, Germany</t>
  </si>
  <si>
    <t>University of Waikato; Columbia University; University of Otago; University of Otago; Helmholtz Association; GEOMAR Helmholtz Center for Ocean Research Kiel</t>
  </si>
  <si>
    <t>Fox, BRS (corresponding author), Univ Waikato, Sch Sci, Private Bag 3105, Hamilton 3240, New Zealand.</t>
  </si>
  <si>
    <t>bfox@waikato.ac.nz</t>
  </si>
  <si>
    <t>Wartho, Jo-Anne/B-5169-2016; Wilson, Gary S/B-3803-2010</t>
  </si>
  <si>
    <t>Wartho, Jo-Anne/0000-0001-8894-0328; Wilson, Gary/0000-0003-0025-3641; Fox, Bethany/0000-0001-9848-7838; D'Andrea, William/0000-0003-0182-8857</t>
  </si>
  <si>
    <t>Marsden Fund of the Royal Society of New Zealand [11-UOO-043]; University of Otago postgraduate scholarship; Vetlesen Foundation [NSF-EAR13-49659]</t>
  </si>
  <si>
    <t>Marsden Fund of the Royal Society of New Zealand(Royal Society of New ZealandMarsden Fund (NZ)); University of Otago postgraduate scholarship; Vetlesen Foundation</t>
  </si>
  <si>
    <t>The drilling operations and analyses were funded by the Marsden Fund of the Royal Society of New Zealand (Grant 11-UOO-043). BRSF was funded by a University of Otago postgraduate scholarship. Geochemical work was funded by NSF-EAR13-49659 and a Vetlesen Foundation grant to WJD. The Center for Climate and Life of Columbia University provided funding for technician support. Thanks are due to Webster Drilling Ltd., the Gibsons, the Macraes, Uwe Kaulfuss, Andy Clifford, and Daniel Jones. We are grateful to the Editor and two anonymous reviewers for their comments, which significantly improved the final version of this paper.</t>
  </si>
  <si>
    <t>10.1016/j.gloplacha.2017.06.008</t>
  </si>
  <si>
    <t>FF3GO</t>
  </si>
  <si>
    <t>WOS:000408783700010</t>
  </si>
  <si>
    <t>Suh, SS; Kim, TK; Kim, JE; Hong, JM; Nguyen, TTT; Han, SJ; Youn, UJ; Yim, JH; Kim, IC</t>
  </si>
  <si>
    <t>Suh, Sung-Suk; Kim, Tai Kyoung; Kim, Jung Eun; Hong, Ju-Mi; Trang Thu Thi Nguyen; Han, Se Jong; Youn, Ui Joung; Yim, Joung Han; Kim, Il-Chan</t>
  </si>
  <si>
    <t>Anticancer Activity of Ramalin, a Secondary Metabolite from the Antarctic Lichen Ramalina terebrata, against Colorectal Cancer Cells</t>
  </si>
  <si>
    <t>MOLECULES</t>
  </si>
  <si>
    <t>colorectal cancer; ramalin; Antarctic lichen; cell cycle arrest; HCT116</t>
  </si>
  <si>
    <t>MOLECULAR PATHOLOGICAL EPIDEMIOLOGY; COLON-CANCER; APOPTOSIS; INSTABILITY; METASTASIS; DISEASE; ROLES; P53</t>
  </si>
  <si>
    <t>Colorectal cancer is a leading cause of death worldwide and occurs through the highly complex coordination of multiple cellular pathways, resulting in carcinogenesis. Recent studies have increasingly revealed that constituents of lichen extracts exhibit potent pharmaceutical activities, including anticancer activity against various cancer cells, making them promising candidates for new anticancer therapeutic drugs. The main objective of this study was to evaluate the anticancer capacities of ramalin, a secondarymetabolite from the Antarctic lichen Ramalina terebrata, in the human colorectal cancer cell line HCT116. In this study, ramalin displayed concentration-dependent anticancer activity against HCT116 cells, significantly suppressing proliferation and inducing apoptosis. Furthermore, ramalin induced cell cycle arrest in the gap 2/mitosis (G2/M) phase through the modulation of hallmark genes involved in the G2/M phase transition, such as tumour protein p53 (TP53), cyclin-dependent kinase inhibitor 1A (CDKN1A), cyclin-dependent kinase 1 (CDK1) and cyclin B1 (CCNB1). At both the transcriptional and translational level, ramalin caused a gradual increase in the expression of TP53 and its downstream gene CDKN1A, while decreasing the expression of CDK1 and CCNB1 in a concentration-dependent manner. In addition, ramalin significantly inhibited the migration and invasion of colorectal cancer cells in a concentration-dependent manner. Taken together, these data suggest that ramalin may be a therapeutic candidate for the targeted therapy of colorectal cancer.</t>
  </si>
  <si>
    <t>[Suh, Sung-Suk; Kim, Tai Kyoung; Kim, Jung Eun; Hong, Ju-Mi; Han, Se Jong; Youn, Ui Joung; Yim, Joung Han; Kim, Il-Chan] Korea Polar Res Inst, Div Polar Life Sci, Incheon 21990, South Korea; [Han, Se Jong; Yim, Joung Han; Kim, Il-Chan] Univ Sci &amp; Technol, Dept Polar Life Sci, Incheon 21990, South Korea; [Kim, Jung Eun] Sungkyunkwan Univ, Dept Pharm, Grad Sch, Suwon 16419, South Korea; [Trang Thu Thi Nguyen] Univ Sci &amp; Technol Hanoi, Dept Pharmacol Med &amp; Agron Biotechnol, Hanoi 100000, Vietnam</t>
  </si>
  <si>
    <t>Korea Polar Research Institute (KOPRI); Sungkyunkwan University (SKKU); Vietnam Academy of Science &amp; Technology (VAST); University of Science &amp; Technology of Hanoi (USTH)</t>
  </si>
  <si>
    <t>Kim, IC (corresponding author), Korea Polar Res Inst, Div Polar Life Sci, Incheon 21990, South Korea.;Kim, IC (corresponding author), Univ Sci &amp; Technol, Dept Polar Life Sci, Incheon 21990, South Korea.</t>
  </si>
  <si>
    <t>sung-suk.suh@kopri.re.kr; tkkim@kopri.re.kr; je2202@kopri.re.kr; wnal5555@kopri.re.kr; buffson192@gmail.com; hansj@kopri.re.kr; ujyoun@kopri.re.kr; jhyim@kopri.re.kr; ickim@kopri.re.kr</t>
  </si>
  <si>
    <t>HAN, Se Jong/0000-0001-9576-2179</t>
  </si>
  <si>
    <t>Korea Polar Research Institute, Korea [PE17100]</t>
  </si>
  <si>
    <t>Korea Polar Research Institute, Korea</t>
  </si>
  <si>
    <t>This research was supported by the research project (PE17100) of Korea Polar Research Institute, Korea.</t>
  </si>
  <si>
    <t>1420-3049</t>
  </si>
  <si>
    <t>Molecules</t>
  </si>
  <si>
    <t>10.3390/molecules22081361</t>
  </si>
  <si>
    <t>FF0PF</t>
  </si>
  <si>
    <t>WOS:000408602900124</t>
  </si>
  <si>
    <t>Wille, JD; Bromwich, DH; Cassano, JJ; Nigro, MA; Mateling, ME; Lazzara, MA</t>
  </si>
  <si>
    <t>Wille, Jonathan D.; Bromwich, David H.; Cassano, John J.; Nigro, Melissa A.; Mateling, Marian E.; Lazzara, Matthew A.</t>
  </si>
  <si>
    <t>Evaluation of the AMPS Boundary Layer Simulations on the Ross Ice Shelf, Antarctica, with Unmanned Aircraft Observations</t>
  </si>
  <si>
    <t>JOURNAL OF APPLIED METEOROLOGY AND CLIMATOLOGY</t>
  </si>
  <si>
    <t>POLAR WEATHER RESEARCH; SEA-ICE; FORECASTING-MODEL; KATABATIC WINDS; WRF; PERFORMANCE; SUMMER; SYSTEM; FLOW</t>
  </si>
  <si>
    <t>Accurately predicting moisture and stability in the Antarctic planetary boundary layer (PBL) is essential for low-cloud forecasts, especially when Antarctic forecasters often use relative humidity as a proxy for cloud cover. These forecasters typically rely on the Antarctic Mesoscale Prediction System (AMPS) Polar Weather Research and Forecasting (Polar WRF) Model for high-resolution forecasts. To complement the PBL observations from the 30-m Alexander Tall Tower! (ATT) on the Ross Ice Shelf as discussed in a recent paper by Wille and coworkers, a field campaign was conducted at the ATT site from 13 to 26 January 2014 using Small Unmanned Meteorological Observer (SUMO) aerial systems to collect PBL data. The 3-km-resolution AMPS forecast output is combined with the global European Centre for Medium-Range Weather Forecasts interim reanalysis (ERAI), SUMO flights, and ATT data to describe atmospheric conditions on the Ross Ice Shelf. The SUMO comparison showed that AMPS had an average 2-3 ms(-1) high wind speed bias from the near surface to 600 m, which led to excessive mechanical mixing and reduced stability in the PBL. As discussed in previous Polar WRF studies, the Mellor-Yamada-Janjic PBL scheme is likely responsible for the high wind speed bias. The SUMO comparison also showed a near-surface 10-15-percentage-point dry relative humidity bias in AMPS that increased to a 25-30-percentage-point deficit from 200 to 400 m above the surface. A large dry bias at these critical heights for aircraft operations implies poor AMPS low-cloud forecasts. The ERAI showed that the katabatic flow from the Transantarctic Mountains is unrealistically dry in</t>
  </si>
  <si>
    <t>[Wille, Jonathan D.; Bromwich, David H.] Ohio State Univ, Polar Meteorol Grp, Byrd Polar &amp; Climate Res Ctr, Columbus, OH 43210 USA; [Cassano, John J.] Univ Colorado Boulder, Cooperat Inst Res Environm Sci, Boulder, CO USA; [Cassano, John J.; Nigro, Melissa A.] Univ Colorado Boulder, Dept Atmospher &amp; Ocean Sci, Boulder, CO USA; [Mateling, Marian E.; Lazzara, Matthew A.] Univ Wisconsin Madison, Antarctic Meteorol Res Ctr, Space Sci &amp; Engn Ctr, Madison, WI USA; [Mateling, Marian E.] Univ Wisconsin Madison, Dept Atmospher &amp; Ocean Sci, Madison, WI USA; [Lazzara, Matthew A.] Madison Area Tech Coll, Dept Phys Sci, Sch Arts &amp; Sci, Madison, WI USA</t>
  </si>
  <si>
    <t>University System of Ohio; Ohio State University; University of Colorado System; University of Colorado Boulder; University of Colorado System; University of Colorado Boulder; University of Wisconsin System; University of Wisconsin Madison; University of Wisconsin System; University of Wisconsin Madison</t>
  </si>
  <si>
    <t>Bromwich, DH (corresponding author), Ohio State Univ, Polar Meteorol Grp, Byrd Polar &amp; Climate Res Ctr, Columbus, OH 43210 USA.</t>
  </si>
  <si>
    <t>bromwich.1@osu.edu</t>
  </si>
  <si>
    <t>Cassano, John/HKW-8817-2023; Wille, Jonathan/KFQ-5871-2024</t>
  </si>
  <si>
    <t>Lazzara, Matthew/0000-0002-4343-498X</t>
  </si>
  <si>
    <t>National Science Foundation (NSF) Grant [ANT-1245663]; NSF via UCAR AMPS [GRT 0032749, ANT-1245737]</t>
  </si>
  <si>
    <t>National Science Foundation (NSF) Grant(National Science Foundation (NSF)); NSF via UCAR AMPS</t>
  </si>
  <si>
    <t>We thank Linda Keller, David Mikolajczyk, Jonathan Thom, George Weidner, and Lee Welhouse from the University of Wisconsin-Madison for their help with the ATT AWS equipment, installation, maintenance, and the data. Our gratitude also extends to the USAP contractors who ensure field work like the SUMO UAS campaign are conducted in a safe and well-supported environment. The ATT and SUMO UAS campaign are supported by National Science Foundation (NSF) Grant ANT-1245663. The NSF via UCAR AMPS Grant GRT 0032749 to The Ohio State University and Grant ANT-1245737 to the University of Colorado Boulder funded this research.</t>
  </si>
  <si>
    <t>1558-8424</t>
  </si>
  <si>
    <t>1558-8432</t>
  </si>
  <si>
    <t>J APPL METEOROL CLIM</t>
  </si>
  <si>
    <t>J. Appl. Meteorol. Climatol.</t>
  </si>
  <si>
    <t>10.1175/JAMC-D-16-0339.1</t>
  </si>
  <si>
    <t>FD6ZD</t>
  </si>
  <si>
    <t>WOS:000407675500007</t>
  </si>
  <si>
    <t>Zakharenkova, I; Cherniak, I; Shagimuratov, I</t>
  </si>
  <si>
    <t>Zakharenkova, Irina; Cherniak, Iurii; Shagimuratov, Irk</t>
  </si>
  <si>
    <t>Observations of the Weddell Sea Anomaly in the ground-based and space-borne TEC measurements</t>
  </si>
  <si>
    <t>Weddell Sea Anomaly; Swarm; TEC; Topside ionosphere</t>
  </si>
  <si>
    <t>TOTAL ELECTRON-CONTENT; MODEL</t>
  </si>
  <si>
    <t>The Weddell Sea Anomaly (WSA) is a summer ionospheric anomaly, which is characterized by a greater nighttime ionospheric density than that in daytime in the region near the Weddell Sea. We investigate the WSA signatures in the ground-based TEC (vertical total electron content) by using GPS and GLONASS measurements of the dense regional GNSS networks in South America. We constructed the high-resolution regional TEC maps for December 2014-January 2015. The WSA effects of the TEC exceed the noontime values are registered starting from 17 LT, it reaches its maximum at 01-05 LT and starts to disappear after 09 LT. Maximal TEC enhancements were as large as a factor of 2.5-3.5 and were registered at 03-04 LT. This effect was mainly localized in the geographical region of 55 degrees S-75 degrees S latitude and 80 degrees W-30 degrees W longitude, close to the Antarctic Peninsula. Further, we examined the WSA occurrence in the topside ionosphere by using GPS measurements from a zenith-looking GPS antenna on board three Swarm satellites to determine topside TEC (above similar to 500 km altitude) at the topside ionosphere-plasmasphere system. Global maps of the topside TEC indicated that the zone with significant WSA effect in the topside TEC (TEC increase similar to 2-4 times the noontime level) had a large spatial extent over southern Pacific and Atlantic Ocean. It was observed around 150 degrees W-20 degrees W and between 40 S and 70 S during 23 LT - 06 LT. For the first time, the WSA signatures were shown in the topside TEC data derived from the GPS measurements onboard the Swarm constellation. Independently, two other instruments - FORMOSAT-3/COSMIC radio occultation electron density profiles and in situ measurements by the Langmuir Probe instrument onboard Swarm satellites were able to confirm: (1) the same location of the WSA zone as revealed in Swami TEC; (2) the most-pronounced WSA effect, as a maximal electron density exceed over the noontime values, corresponds to altitudes above 400-500 km.</t>
  </si>
  <si>
    <t>[Zakharenkova, Irina; Cherniak, Iurii; Shagimuratov, Irk] Kaliningrad Dept IZMIRAN, 41 Pobeda Ave, Kaliningrad 236010, Russia; [Zakharenkova, Irina] Inst Phys Globe Paris, F-75013 Paris, France; [Cherniak, Iurii] Univ Corp Atmospher Res, COSMIC Program Off, Boulder, CO USA</t>
  </si>
  <si>
    <t>Universite Paris Cite; National Center Atmospheric Research (NCAR) - USA</t>
  </si>
  <si>
    <t>Zakharenkova, I (corresponding author), Kaliningrad Dept IZMIRAN, 41 Pobeda Ave, Kaliningrad 236010, Russia.</t>
  </si>
  <si>
    <t>zakharenkova@mail.ru; tcherniak@ukr.net; shagimuratov@mail.ru</t>
  </si>
  <si>
    <t>RFBR [16-05-01077a]; Div Atmospheric &amp; Geospace Sciences; Directorate For Geosciences [1522830] Funding Source: National Science Foundation</t>
  </si>
  <si>
    <t>RFBR(Russian Foundation for Basic Research (RFBR)); Div Atmospheric &amp; Geospace Sciences; Directorate For Geosciences(National Science Foundation (NSF)NSF - Directorate for Geosciences (GEO))</t>
  </si>
  <si>
    <t>We thank the European Space Agency (ESA) for providing the Swarm data (http://earth.esa.int/swarm) and the UCAR/CDAAC for COSMIC RO electron density profiles (http://cdaac-www.cosmic.ucar.edu/cdaac/products.html). We acknowledge the use of the raw GPS&amp;GLONASS data provided by IGS (ftp://cddis.gsfc.nasa.gov), UNAVCO (ftp://data-out. unavco.org), RAMSAC CORS of National Geographic Institute of Argentina (www.igm.gov.ar/NuestrasActividades/Geodesia/Ramsac/), and Brazilian network for continuous monitoring (ftp://geoftp.ibge.gov. br/RBMC/). We also thank IGS for providing orbits products. This work was funded by RFBR according to the research project N 16-05-01077a.</t>
  </si>
  <si>
    <t>10.1016/j.jastp.2017.06.014</t>
  </si>
  <si>
    <t>FE6CS</t>
  </si>
  <si>
    <t>WOS:000408298200012</t>
  </si>
  <si>
    <t>Eichhorn, G; Bil, W; Fox, JW</t>
  </si>
  <si>
    <t>Eichhorn, Goetz; Bil, Willem; Fox, James W.</t>
  </si>
  <si>
    <t>Individuality in northern lapwing migration and its link to timing of breeding</t>
  </si>
  <si>
    <t>JOURNAL OF AVIAN BIOLOGY</t>
  </si>
  <si>
    <t>RUSSIAN BARNACLE GEESE; VANELLUS-VANELLUS; CLIMATE-CHANGE; LIMOSA-LIMOSA; NETHERLANDS; SEASON; WINTER; BIRD</t>
  </si>
  <si>
    <t>We tracked eight adult northern lapwings Vanellus vanellus (six females and two males) from a Dutch breeding colony by light-level geolocation year-round, three of them for multiple years. We show that birds breeding virtually next to each other may choose widely separated wintering grounds, stretching from nearby the colony west towards the UK and Ireland, and southwest through France into Iberia and Morocco. However, individual lapwings appeared relatively faithful to a chosen wintering area, and timing of outward and homeward migration can be highly consistent between years. Movements of migratory individuals were usually direct and fast, with some birds covering distances of approximately 2000 km within 2 to 4 days of travel. The two males wintered closest and returned earliest to the breeding colony. The female lapwings returned well before the onset of breeding, spending a pre-laying period of 19 to 54 days in the wider breeding area. Despite the potential for high migration speeds, the duration that birds were absent from the breeding area increased with distance to wintering areas, a pattern which was mainly driven by an earlier outward migration of birds heading for more distant wintering grounds. Moreover, females that overwintered closer to colony bred earlier. A large variation in migration strategies found even within a single breeding colony has likely supported the species' responsiveness to recent climate change as evidenced by a shortened migration distance and an advanced timing of reproduction in Dutch lapwings since the middle of the 20th century.</t>
  </si>
  <si>
    <t>[Eichhorn, Goetz] Netherlands Inst Ecol NIOO KNAW, Wageningen, Netherlands; [Bil, Willem] Vogelringstat Menork, Lippenhuizen, Netherlands; [Fox, James W.] British Antarctic Survey, Cambridge, England; [Fox, James W.] Migrate Technol Ltd, Cambridge, England</t>
  </si>
  <si>
    <t>Royal Netherlands Academy of Arts &amp; Sciences; Netherlands Institute of Ecology (NIOO-KNAW); UK Research &amp; Innovation (UKRI); Natural Environment Research Council (NERC); NERC British Antarctic Survey</t>
  </si>
  <si>
    <t>Eichhorn, G (corresponding author), Netherlands Inst Ecol NIOO KNAW, Wageningen, Netherlands.</t>
  </si>
  <si>
    <t>g.eichhorn@nioo.knaw.nl</t>
  </si>
  <si>
    <t>Eichhorn, Götz/R-8136-2016; KNAW, NIOO-KNAW/A-4320-2012</t>
  </si>
  <si>
    <t>Eichhorn, Götz/0000-0003-2151-8856; KNAW, NIOO-KNAW/0000-0002-3835-159X; Fox, James W./0000-0002-3107-696X</t>
  </si>
  <si>
    <t>'Martina de Beukelaar en J. C. van der Hucht Fonds'; 'Van der Wiel Infra- Milieu BV'; NERC [bas010011] Funding Source: UKRI; Natural Environment Research Council [bas010011] Funding Source: researchfish</t>
  </si>
  <si>
    <t>'Martina de Beukelaar en J. C. van der Hucht Fonds'; 'Van der Wiel Infra- Milieu BV'; NERC(UK Research &amp; Innovation (UKRI)Natural Environment Research Council (NERC)); Natural Environment Research Council(UK Research &amp; Innovation (UKRI)Natural Environment Research Council (NERC))</t>
  </si>
  <si>
    <t>This study was sponsored by the 'Martina de Beukelaar en J. C. van der Hucht Fonds' and 'Van der Wiel Infra- &amp; Milieu BV'.</t>
  </si>
  <si>
    <t>0908-8857</t>
  </si>
  <si>
    <t>1600-048X</t>
  </si>
  <si>
    <t>J AVIAN BIOL</t>
  </si>
  <si>
    <t>J. Avian Biol.</t>
  </si>
  <si>
    <t>10.1111/jav.01374</t>
  </si>
  <si>
    <t>FF3OB</t>
  </si>
  <si>
    <t>WOS:000408813800010</t>
  </si>
  <si>
    <t>Cessi, P; Jones, CS</t>
  </si>
  <si>
    <t>Cessi, Paola; Jones, C. S.</t>
  </si>
  <si>
    <t>Warm-Route versus Cold-Route Interbasin Exchange in the Meridional Overturning Circulation</t>
  </si>
  <si>
    <t>ANTARCTIC CIRCUMPOLAR CURRENT; DEEP-WATER FORMATION; OCEAN CIRCULATION; THERMOHALINE CIRCULATION; SOUTH-ATLANTIC; NORTH PACIFIC; MODEL; TRANSPORT; THERMOCLINE; REGIMES</t>
  </si>
  <si>
    <t>The interbasin exchange of the meridional overturning circulation (MOC) is studied in an idealized domain with two basins connected by a circumpolar channel in the southernmost region. Gnanadesikan's conceptual model for the upper branch of the MOC is extended to include two basins of different widths connected by a reentrant channel at the southern edge and separated by two continents of different meridional extents. Its analysis illustrates the basic processes of interbasin flow exchange either through the connection at the southern tip of the long continent (cold route) or through the connection at the southern tip of the short continent (warm route). A cold-route exchange occurs when the short continent is poleward of the latitude separating the subpolar and subtropical gyre in the Southern Hemisphere (the zero Ekman pumping line); otherwise, there is warm-route exchange. The predictions of the conceptual model are compared to primitive equation computations in a domain with the same idealized geometry forced by wind stress, surface temperature relaxation, and surface salinity flux. Visualizations of the horizontal structure of the upper branch of the MOC illustrate the cold and warm routes of interbasin exchange flows. Diagnostics of the primitive equation computations show that the warm-route exchange flow is responsible for a substantial salinification of the basin where sinking occurs. This salinification is larger when the interbasin exchange is via the warm route, and it is more pronounced when the warm-route exchange flows from the wide to the narrow basin.</t>
  </si>
  <si>
    <t>[Cessi, Paola; Jones, C. S.] Univ Calif San Diego, Scripps Inst Oceanog, La Jolla, CA 92093 USA</t>
  </si>
  <si>
    <t>Cessi, P (corresponding author), Univ Calif San Diego, Scripps Inst Oceanog, La Jolla, CA 92093 USA.</t>
  </si>
  <si>
    <t>pcessi@ucsd.edu</t>
  </si>
  <si>
    <t>Jones, C Spencer/0000-0003-1094-0306</t>
  </si>
  <si>
    <t>National Science Foundation [OCE-1258887, OCE-1634128, ACI-1053575]</t>
  </si>
  <si>
    <t>CSJ and PC are supported by the National Science Foundation under Grants OCE-1258887 and OCE-1634128. Computational resources were provided by XSEDE consortium, which is supported by National Science Foundation Grant ACI-1053575. Alexandre Diet is gratefully acknowledged for providing preliminary solutions of the conceptual model. PC is grateful to Donata Giglio for help with the World Ocean Atlas. CSJ is grateful to Jinbo Wang, who contributed the particle trajectory code.</t>
  </si>
  <si>
    <t>10.1175/JPO-D-16-0249.1</t>
  </si>
  <si>
    <t>FD3GC</t>
  </si>
  <si>
    <t>WOS:000407420500006</t>
  </si>
  <si>
    <t>Chapman, C; Sallée, JB</t>
  </si>
  <si>
    <t>Chapman, Christopher; Sallee, Jean-Baptiste</t>
  </si>
  <si>
    <t>Isopycnal Mixing Suppression by the Antarctic Circumpolar Current and the Southern Ocean Meridional Overturning Circulation</t>
  </si>
  <si>
    <t>EULERIAN-MEAN THEORY; POTENTIAL VORTICITY; EDDY DIFFUSIVITY; SATELLITE ALTIMETRY; PROFILING FLOATS; GLOBAL OCEAN; WIND-DRIVEN; EDDIES; TRANSPORT; MODELS</t>
  </si>
  <si>
    <t>The meridional overturning circulation (MOC) in the Southern Ocean is investigated using hydrographic observations combined with satellite measurements of sea surface height. A three-dimensional (spatial and vertical) estimate of the isopycnal eddy diffusivity in the Southern Ocean is obtained using the theory of Ferrari and Nikurashin that includes the influence of suppression of the diffusivity by the strong, time-mean flows. It is found that the eddy diffusivity is enhanced at depth, reaching a maximum at the critical layer near 1000 m. The estimate of diffusivity is used with a simple diffusive parameterization to estimate the meridional eddy volume flux. This estimate of eddy volume flux is combined with an estimate of the Ekman transport to reconstruct the time-mean overturning circulation. By comparing the reconstruction with, and without, suppression of the eddy diffusivity by the mean flow, the influence of the suppression on the overturning is illuminated. It is shown that the suppression of the eddy diffusivity results in a large reduction of interior eddy transports and a more realistic eddy-induced overturning circulation. Finally, a simple conceptual model is used to show that the MOCis influenced not only by the existence of enhanced diffusivity at depth but also by the details of the vertical structure of the eddy diffusivity, such as the depth of the critical layer.</t>
  </si>
  <si>
    <t>[Chapman, Christopher; Sallee, Jean-Baptiste] IPSL, LOCEAN, Paris, France</t>
  </si>
  <si>
    <t>Universite Paris Cite; Museum National d'Histoire Naturelle (MNHN); Sorbonne Universite</t>
  </si>
  <si>
    <t>Chapman, C (corresponding author), IPSL, LOCEAN, Paris, France.</t>
  </si>
  <si>
    <t>chris.chapman.28@gmail.com</t>
  </si>
  <si>
    <t>SALLEE, Jean baptiste/HDO-5355-2022; Chapman, Christopher/AAV-2844-2021; SALLEE, Jean baptiste/A-5837-2010</t>
  </si>
  <si>
    <t>Chapman, Christopher/0000-0002-0877-4778; SALLEE, Jean baptiste/0000-0002-6109-5176</t>
  </si>
  <si>
    <t>NSF Division of Ocean Sciences postdoctoral fellowship Grant [1521508]; Agence Nationale de la Recherche (ANR) [ANR-12-PDOC-0001]; Agence Nationale de la Recherche (ANR) [ANR-12-PDOC-0001] Funding Source: Agence Nationale de la Recherche (ANR); Division Of Ocean Sciences; Directorate For Geosciences [1521508] Funding Source: National Science Foundation</t>
  </si>
  <si>
    <t>NSF Division of Ocean Sciences postdoctoral fellowship Grant; Agence Nationale de la Recherche (ANR)(Agence Nationale de la Recherche (ANR)); Agence Nationale de la Recherche (ANR)(Agence Nationale de la Recherche (ANR)); Division Of Ocean Sciences; Directorate For Geosciences(National Science Foundation (NSF)NSF - Directorate for Geosciences (GEO))</t>
  </si>
  <si>
    <t>The authors thank Dhruv Balwada, Jessica Masich, Andreas Klocker, and Christopher Roach for useful discussions and Christopher Roach for helpfully providing the diffusivity data from Roach et al. (2016) for comparison with our calculations. We also thank two anonymous reviewers for their comments on an earlier version of this manuscript. C. C. was supported by an NSF Division of Ocean Sciences postdoctoral fellowship Grant 1521508. J. B. S. received support from Agence Nationale de la Recherche (ANR) ANR-12-PDOC-0001.</t>
  </si>
  <si>
    <t>10.1175/JPO-D-16-0263.1</t>
  </si>
  <si>
    <t>WOS:000407420500008</t>
  </si>
  <si>
    <t>Schönau, MC; Rudnick, DL</t>
  </si>
  <si>
    <t>Schonau, Martha C.; Rudnick, Daniel L.</t>
  </si>
  <si>
    <t>Mindanao Current and Undercurrent: Thermohaline Structure and Transport from Repeat Glider Observations</t>
  </si>
  <si>
    <t>NORTH EQUATORIAL CURRENT; WESTERN BOUNDARY CURRENTS; SEA-SURFACE SALINITY; ANTARCTIC INTERMEDIATE WATER; TROPICAL PACIFIC-OCEAN; INTERANNUAL VARIABILITY; PHILIPPINE COAST; SUBTHERMOCLINE EDDIES; UNDERWATER GLIDERS; NUMERICAL-MODEL</t>
  </si>
  <si>
    <t>Autonomous underwater Spray gliders made repeat transects of the Mindanao Current (MC), a low-latitude western boundary current in the western tropical North Pacific Ocean, from September 2009 to October 2013. In the thermocline (&lt; 26 kgm(-3)), the MC has a maximum velocity core of -0.95 m s(-1), weakening with distance offshore until it intersects with the intermittent Mindanao Eddy (ME) at 129.25 degrees E. In the subthermocline (&gt; 26 kg m(-3)), a persistent Mindanao Undercurrent (MUC), with a velocity core of 0.2 m s(-1) and mean net transport, flows poleward. Mean transport and standard deviation integrated from the coast to 130 degrees E is -19 +/- 3.1 Sv (1 Sv equivalent to 10(6) m(3) s(-1)) in the thermocline and -3 +/- 12 Sv in the subthermocline. Subthermocline transport has an inverse linear relationship with the Nino-3.4 index and is the primary influence of total transport variability. Interannual anomalies during El Nino are greater than the annual cycle for sea surface salinity and thermocline depth. Water masses transported by the MC/MUC are identified by subsurface salinity extrema and are on isopycnals that have increased finescale salinity variance (spice variance) from eddy stirring. The MC/MUC spice variance is smaller in the thermocline and greater in the subthermocline when compared to the North Equatorial Current and its undercurrents.</t>
  </si>
  <si>
    <t>[Schonau, Martha C.; Rudnick, Daniel L.] Univ Calif San Diego, Scripps Inst Oceanog, La Jolla, CA 92093 USA</t>
  </si>
  <si>
    <t>Schönau, MC (corresponding author), Univ Calif San Diego, Scripps Inst Oceanog, La Jolla, CA 92093 USA.</t>
  </si>
  <si>
    <t>mcschonau@ucsd.edu</t>
  </si>
  <si>
    <t>Rudnick, Daniel L/J-8948-2016</t>
  </si>
  <si>
    <t>Rudnick, Daniel L/0000-0002-2624-7074; Schonau, Martha/0000-0002-2344-5075</t>
  </si>
  <si>
    <t>Office of Naval Research as part of the Origins of Kuroshio and Mindanao Current (OKMC) project [N00014-10-1-0273, N00014-11-1-0429]; Office of Naval Research as part of the Origins of Kuroshio and Mindanao Current (OKMC) project through Flow Encountering Abrupt Topography (FLEAT) project [N0014-15-1-2488]</t>
  </si>
  <si>
    <t>Office of Naval Research as part of the Origins of Kuroshio and Mindanao Current (OKMC) project; Office of Naval Research as part of the Origins of Kuroshio and Mindanao Current (OKMC) project through Flow Encountering Abrupt Topography (FLEAT) project</t>
  </si>
  <si>
    <t>Glider observations and analysis were funded by the Office of Naval Research as part of the Origins of Kuroshio and Mindanao Current (OKMC) project through Grants N00014-10-1-0273 and N00014-11-1-0429, and through Flow Encountering Abrupt Topography (FLEAT) project Grant N0014-15-1-2488. Glider observations are available upon request (drudnick@ucsd.edu). We thank the Instrument Development Group at Scripps Institution of Oceanography for all facets of the operations of Spray underwater gliders. We thank Pat and Lori Colin at the Coral Reef Research Foundation for their support in Palau.</t>
  </si>
  <si>
    <t>10.1175/JPO-D-16-0274.1</t>
  </si>
  <si>
    <t>WOS:000407420500010</t>
  </si>
  <si>
    <t>Holland, PR</t>
  </si>
  <si>
    <t>Holland, Paul R.</t>
  </si>
  <si>
    <t>The Transient Response of Ice Shelf Melting to Ocean Change</t>
  </si>
  <si>
    <t>AMUNDSEN SEA EMBAYMENT; CIRCULATION; RATES</t>
  </si>
  <si>
    <t>Idealized modeling studies have shown that the melting of ice shelves varies as a quadratic function of ocean temperature. However, this result is the equilibrium response, derived from steady ice-ocean simulations subjected to a fixed ocean forcing. This study considers instead the transient response of melting, using unsteady simulations subjected to forcing conditions that are oscillated with a range of periods. The results show that the residence time of water in the subice cavity offers a critical time scale. When the forcing varies slowly (period of oscillation &gt;&gt; residence time), the cavity is fully flushed with forcing anomalies at all stages of the cycle and melting follows the equilibrium response. When the forcing varies rapidly (period &lt;= residence time), multiple cold and warm anomalies coexist in the cavity, cancelling each other in the spatial mean and thus inducing a relatively steady melt rate. This implies that all ice shelves have a maximum frequency of ocean variability that can be manifested in melting. Between these two extremes, an intermediate regime occurs in which melting follows the equilibrium response during the cooling phase of the forcing cycle, but deviates during warming. The results show that ice shelves forced by warm water have high melt rates, high equilibrium sensitivity, and short residence times and hence a short time scale over which the equilibrium sensitivity is manifest. The most rapid melting adjustment is induced by warm anomalies that are also saline. Thus, ice shelves in the Amundsen and Bellingshausen Seas, Antarctica, are highly sensitive to ocean change.</t>
  </si>
  <si>
    <t>[Holland, Paul R.] British Antarctic Survey, Cambridge, England</t>
  </si>
  <si>
    <t>Holland, PR (corresponding author), British Antarctic Survey, Cambridge, England.</t>
  </si>
  <si>
    <t>p.holland@bas.ac.uk</t>
  </si>
  <si>
    <t>Holland, Paul R/G-2796-2012</t>
  </si>
  <si>
    <t>Natural Environment Research Council [NE/N01801X/1, NE/M003590/1, bas0100033] Funding Source: researchfish; NERC [NE/N01801X/1, NE/M003590/1, bas0100033] Funding Source: UKRI</t>
  </si>
  <si>
    <t>10.1175/JPO-D-17-0071.1</t>
  </si>
  <si>
    <t>WOS:000407420500012</t>
  </si>
  <si>
    <t>Morley, SA; Nguyen, KD; Peck, LS; Lai, CH; Tan, KS</t>
  </si>
  <si>
    <t>Morley, S. A.; Nguyen, K. D.; Peck, L. S.; Lai, C. -H.; Tan, K. S.</t>
  </si>
  <si>
    <t>Can acclimation of thermal tolerance, in adults and across generations, act as a buffer against climate change in tropical marine ectotherms?</t>
  </si>
  <si>
    <t>JOURNAL OF THERMAL BIOLOGY</t>
  </si>
  <si>
    <t>Acclimation; Transgenerational acclimation; CTmax; Tropical marine invertebrate; Warming tolerance; Climate change</t>
  </si>
  <si>
    <t>RAPID EVOLUTION; THERMOREGULATORY BEHAVIOR; PHENOTYPIC PLASTICITY; ADAPTATION; RESPONSES; LATITUDE; RESISTANCE; PHYSIOLOGY; PATTERNS; LIMITS</t>
  </si>
  <si>
    <t>Thermal acclimation capacity was investigated in adults of three tropical marine invertebrates, the subtidal barnacle Striatobalanus amaryllis, the intertidal gastropod Volegalea cochlidium and the intertidal barnacle Amphibalanus amphitrite. To test the relative importance of transgenerational acclimation, the developmental acclimation capacity of A. amphitrite was investigated in F-1 and F-2 generations reared at a subset of the same incubation temperatures. The increase in CTmax (measured through loss of key behavioural metrics) of F-0 adults across the incubation temperature range 25.4-33.4 degrees C was low: 0.00 degrees C (V. cochlidium), 0.05 degrees C (S. amaryllis) and 0.06 degrees C (A. amphitrite) per 1 degrees C increase in incubation temperature (the acclimation response ratio; ARR). Although the effect of generation was not significant, across the incubation temperature range of 29.4-33.4 degrees C, the increase in CTmax in the F-1 (0.30 degrees C) and F-2 (0.15 degrees C) generations of A. amphitrite was greater than in the F-0 (0.10 degrees C). These correspond to ARR's of 0.03 degrees C (F-0), 0.08 degrees C (F-1) and 0.04 degrees C (F-2), respectively. The variability in CTmax between individuals in each treatment was maintained across generations, despite the high mortality of progeny. Further research is required to investigate the potential for transgenerational acclimation to provide an extra buffer for tropical marine species facing climate warming.</t>
  </si>
  <si>
    <t>[Morley, S. A.; Peck, L. S.] Natl Environm Res Council, British Antarctic Survey, Swindon, Wilts, England; [Nguyen, K. D.; Lai, C. -H.; Tan, K. S.] Natl Univ Singapore, Trop Marine Sci Inst, Singapore, Singapore</t>
  </si>
  <si>
    <t>UK Research &amp; Innovation (UKRI); Natural Environment Research Council (NERC); NERC British Antarctic Survey; National University of Singapore</t>
  </si>
  <si>
    <t>Morley, SA (corresponding author), Natl Environm Res Council, British Antarctic Survey, Swindon, Wilts, England.</t>
  </si>
  <si>
    <t>smor@bas.ac.uk</t>
  </si>
  <si>
    <t>Tan, Koh Siang/GOH-0321-2022; , Tan KS/HLW-4582-2023</t>
  </si>
  <si>
    <t>Tan, Koh Siang/0000-0002-4599-9482;</t>
  </si>
  <si>
    <t>Singapore Agency for Science, Technology and Research (A*STAR) project [0821010024]; NERC [bas0100036, NE/J007501/1] Funding Source: UKRI; Natural Environment Research Council [NE/J007501/1, bas0100036] Funding Source: researchfish</t>
  </si>
  <si>
    <t>Singapore Agency for Science, Technology and Research (A*STAR) project; NERC(UK Research &amp; Innovation (UKRI)Natural Environment Research Council (NERC)); Natural Environment Research Council(UK Research &amp; Innovation (UKRI)Natural Environment Research Council (NERC))</t>
  </si>
  <si>
    <t>This study was funded by the Singapore Agency for Science, Technology and Research (A*STAR) project 0821010024. We thank Ms Serina Lee Siew Chen for help with microalgal and barnacle cultures. We also thank the anonymous reviewers whose critical comments have greatly improved this manuscript.</t>
  </si>
  <si>
    <t>0306-4565</t>
  </si>
  <si>
    <t>J THERM BIOL</t>
  </si>
  <si>
    <t>J. Therm. Biol.</t>
  </si>
  <si>
    <t>10.1016/j.jtherbio.2016.09.007</t>
  </si>
  <si>
    <t>Biology; Zoology</t>
  </si>
  <si>
    <t>Life Sciences &amp; Biomedicine - Other Topics; Zoology</t>
  </si>
  <si>
    <t>FF3IM</t>
  </si>
  <si>
    <t>WOS:000408788700007</t>
  </si>
  <si>
    <t>Chiesa, G; Biorndal, B; Ganzetti, GS; Dellera, F; Manzini, S; Busnelli, M; Ramsvik, M; Bruheim, I; Berge, RK; Parolini, C</t>
  </si>
  <si>
    <t>Chiesa, Giulia; Biorndal, Bodil; Ganzetti, Giulia S.; Dellera, Federica; Manzini, Stefano; Busnelli, Marco; Ramsvik, Marie; Bruheim, Inge; Berge, Rolf K.; Parolini, Cinzia</t>
  </si>
  <si>
    <t>ANTI-ATHEROSCLEROTIC ACTIVITY OF BIOACTIVE COMPONENTS FROM ANTARCTIC KRILL IN APOE-DEFICIENT MICE</t>
  </si>
  <si>
    <t>ATHEROSCLEROSIS</t>
  </si>
  <si>
    <t>85th Congress of the European-Atherosclerosis-Society (EAS)</t>
  </si>
  <si>
    <t>APR 23-26, 2017</t>
  </si>
  <si>
    <t>Prague, CZECH REPUBLIC</t>
  </si>
  <si>
    <t>[Chiesa, Giulia; Ganzetti, Giulia S.; Dellera, Federica; Manzini, Stefano; Busnelli, Marco; Parolini, Cinzia] Univ Milan, Dept Pharmacol &amp; Biomol Sci, Milan, Italy; [Biorndal, Bodil; Ramsvik, Marie; Berge, Rolf K.] Univ Bergen, Dept Clin Sci, Bergen, Norway; [Ramsvik, Marie; Bruheim, Inge] Rimfrost AS, Fosnavaag, Norway</t>
  </si>
  <si>
    <t>University of Milan; University of Bergen</t>
  </si>
  <si>
    <t>Manzini, Stefano/H-7123-2014; Busnelli, Marco/AAO-6981-2021; Parolini, Cinzia/G-8984-2012</t>
  </si>
  <si>
    <t>Busnelli, Marco/0000-0003-3245-2872;</t>
  </si>
  <si>
    <t>ELSEVIER IRELAND LTD</t>
  </si>
  <si>
    <t>CLARE</t>
  </si>
  <si>
    <t>ELSEVIER HOUSE, BROOKVALE PLAZA, EAST PARK SHANNON, CO, CLARE, 00000, IRELAND</t>
  </si>
  <si>
    <t>0021-9150</t>
  </si>
  <si>
    <t>1879-1484</t>
  </si>
  <si>
    <t>Atherosclerosis</t>
  </si>
  <si>
    <t>PO179</t>
  </si>
  <si>
    <t>E167</t>
  </si>
  <si>
    <t>10.1016/j.atherosclerosis.2017.06.532</t>
  </si>
  <si>
    <t>Cardiac &amp; Cardiovascular Systems; Peripheral Vascular Disease</t>
  </si>
  <si>
    <t>Cardiovascular System &amp; Cardiology</t>
  </si>
  <si>
    <t>FD6JE</t>
  </si>
  <si>
    <t>WOS:000407634000495</t>
  </si>
  <si>
    <t>Veevers, JJ</t>
  </si>
  <si>
    <t>Veevers, J. J.</t>
  </si>
  <si>
    <t>West Gondwanaland during and after the Pan-African and Brasiliano orogenies: Downslope vectors and detrital-zircon U-Pb and TDM ages and εHf/Nd pinpoint the provenances of the Ediacaran-Paleozoic molasse</t>
  </si>
  <si>
    <t>EARTH-SCIENCE REVIEWS</t>
  </si>
  <si>
    <t>U-Pb detrital zircon age; Hf-isotopes; Paleoslope indicators; West Gondwanaland provenances; East African-Antarctic Orogen; Sediment fans</t>
  </si>
  <si>
    <t>DRONNING MAUD LAND; ARABIAN-NUBIAN SHIELD; GAMBURTSEV SUBGLACIAL MOUNTAINS; FORMATION NAFUN GROUP; HOST-ROCK AFFINITY; DOM FELICIANO BELT; SUPER-FAN SYSTEM; CAPE FOLD BELT; CRUSTAL EVOLUTION; EAST ANTARCTICA</t>
  </si>
  <si>
    <t>The Pan-African and Brasiliano orogenies endowed West Gondwanaland with U-Pb 700-500 Ma zircons, which, together with 1200-1000 Ma zircons from Rodinian collisions, are scattered in the Ediacaran-Paleozoic syn- and post-tectonic molassic outflow from the orogens. A more complete (TOM, epsilon Hf) isotopic signature in places narrows the search for provenance but exclusive use of the signature is of limited value given the ubiquity of primary and secondary 700-500 Ma and 1200-1000 Ma zircons. To overcome this shortcoming, I link the detrital-zircon signature with paleogeographical indicators of downslope preserved in minor sedimentary structures generated by gravity currents: the cross-dip azimuth in fluvial sediments, flute marks and other vectorial markings in turbidites. The prominent East African-Antarctic Orogen (EA-AO) trends through Africa-Arabia southward through East Africa/Madagascar to Dronning Maud Land in Antarctica. Squire et al. (Squire et al., 2006. Did the Transgondwanan Supermountain trigger the explosive radiation of animals on Earth? Earth and Planetary Science Letters 250, 116-133) postulated &gt; 8000-km-long and &gt; 1000-km-wide Transgondwanan Supermountains (TGSM) atop the EA-AO that resulted in extreme erosion and sedimentation rates; super-fans of quartz sand spread across continental North Africa-Arabia and oceanic crust offshore East Gondwanaland, as seawater Sr-87/Sr-86 rose to a maximum. Downslope indicators and the isotopic signature confirm the suggested deposition of the enormous North African-Arabian Super-fan from the Oubanguides Orogen-TGSM (Burke et al., 2003. Africa's petroleum systems: four tectonic 'Aces' in the past 600 million years. Geological Society of London Special Publications 207, 21-60), and the Cape Group from the TGSM. Other major provenance -&gt; sink relations are the Oubanguides Orogen -&gt; Congo Basin and the Damara Orogen and Dom Feliciano Orogens -&gt; Nama Basin. Minor and proximal provenance -&gt; sink relations are the Tuareg Shield and the Dahomeyides-Nigerian Shield -&gt; Volta Basin, and the Paraguay Orogen -&gt; Puncoviscana Basin. The voluminous primary sediment deposited during the Ediacaran, Cambrian, and Ordovician was recycled many times up to its present-day appearance in river and beach sand in Africa and in Australia. Compared with 60-0 Ma (similar to Cenozoic) collisional Himalaya-Tibet and Mongolian Plateaus and related sediment fans of East Asia, the 700-500 Ma (Ediacaran-Cambrian) collisional continental super-fan in North Africa and Arabia and the deep-sea super-fan off East Gondwanaland are larger in extent and in their impact on seawater Sr-87/Sr-86, probably because West Gondwanaland underwent crustal shortening over a much longer span; furthermore, the ancient morphotectonic regime lasted to the Carboniferous/Permian (similar to 300 Ma) merger of Gondwanaland and Laurussia in Pangea, which instituted widespread Pangean-induced subsidence in broad basins that overlapped the planed-off orogens.</t>
  </si>
  <si>
    <t>[Veevers, J. J.] Macquarie Univ, Sydney, NSW 2109, Australia</t>
  </si>
  <si>
    <t>Macquarie University</t>
  </si>
  <si>
    <t>Veevers, JJ (corresponding author), Macquarie Univ, Sydney, NSW 2109, Australia.</t>
  </si>
  <si>
    <t>john.veevers@mq.edu.au</t>
  </si>
  <si>
    <t>0012-8252</t>
  </si>
  <si>
    <t>1872-6828</t>
  </si>
  <si>
    <t>EARTH-SCI REV</t>
  </si>
  <si>
    <t>Earth-Sci. Rev.</t>
  </si>
  <si>
    <t>10.1016/j.earscirev.2017.05.010</t>
  </si>
  <si>
    <t>FE5ZJ</t>
  </si>
  <si>
    <t>WOS:000408289500006</t>
  </si>
  <si>
    <t>Hawkes, LA; Batbayar, N; Butler, PJ; Chua, B; Frappell, PB; Meir, JU; Milsom, WK; Natsagdorj, T; Parr, N; Scott, GR; Takekawa, JY; WikeIski, M; Witt, MJ; Bishop, CM</t>
  </si>
  <si>
    <t>Hawkes, Lucy A.; Batbayar, Nyambayar; Butler, Patrick J.; Chua, Beverley; Frappell, Peter B.; Meir, Jessica U.; Milsom, William K.; Natsagdorj, Tseveenmyadag; Parr, Nicole; Scott, Graham R.; Takekawa, John Y.; WikeIski, Martin; Witt, Matthew J.; Bishop, Charles M.</t>
  </si>
  <si>
    <t>Do Bar-Headed Geese Train for High Altitude Flights?</t>
  </si>
  <si>
    <t>INTEGRATIVE AND COMPARATIVE BIOLOGY</t>
  </si>
  <si>
    <t>Symposium on Ecology of Exercise - Mechanisms Underlying Individual Variation in Movement Behavior, Activity or Performance at the Annual Meeting of the Society-for-Integrative-and-Comparative-Biology</t>
  </si>
  <si>
    <t>JAN 04-08, 2017</t>
  </si>
  <si>
    <t>New Orleans, LA</t>
  </si>
  <si>
    <t>ACID-BINDING PROTEIN; BRANTA-LEUCOPSIS; MUSCLE SIZE; OXYGEN-CONSUMPTION; OXIDATIVE STRESS; BODY-MASS; MIGRATION; EXERCISE; BIRDS; PHYSIOLOGY</t>
  </si>
  <si>
    <t>Exercise at high altitude is extremely challenging, largely due to hypobaric hypoxia (low oxygen levels brought about by low air pressure). In humans, the maximal rate of oxygen consumption decreases with increasing altitude, supporting progressively poorer performance. Bar-headed geese (Anser indicus) are renowned high altitude migrants and, although they appear to minimize altitude during migration where possible, they must fly over the Tibetan Plateau (mean altitude 4800 m) for much of their annual migration. This requires considerable cardiovascular effort, but no study has assessed the extent to which bar-headed geese may train prior to migration for long distances, or for high altitudes. Using implanted loggers that recorded heart rate, acceleration, pressure, and temperature, we found no evidence of training for migration in bar-headed geese. Geese showed no significant change in summed activity per day or maximal activity per day. There was also no significant change in maximum heart rate per day or minimum resting heart rate, which may be evidence of an increase in cardiac stroke volume if all other variables were to remain the same. We discuss the strategies used by bar-headed geese in the context of training undertaken by human mountaineers when preparing for high altitude, noting the differences between their respective cardiovascular physiology.</t>
  </si>
  <si>
    <t>[Hawkes, Lucy A.; Parr, Nicole] Univ Exeter, Coll Life &amp; Environm Sci, Ctr Ecol &amp; Conservat, Penryn TR10 9FE, Cornwall, England; [Batbayar, Nyambayar; Natsagdorj, Tseveenmyadag] Wildlife Sci &amp; Conservat Ctr, Ulaanbaatar 210351, Mongolia; [Butler, Patrick J.] Univ Birmingham, Sch Biosci, Birmingham B15 2TT, W Midlands, England; [Chua, Beverley; Milsom, William K.] Univ British Columbia, Dept Zool, 6270 Univ Blvd, Vancouver, BC V6T 1Z4, Canada; [Frappell, Peter B.] Univ Tasmania, Inst Marine &amp; Antarctic Studies, Hobart, Tas 7001, Australia; [Meir, Jessica U.] NASA Johnson Space Ctr, Houston, TX 77058 USA; [Scott, Graham R.] McMaster Univ, Dept Biol, 1280 Main St West, Hamilton, ON L8S 3K1, Canada; [Takekawa, John Y.] Audubon Calif, Richardson Bay Audubon Ctr &amp; Sanctuary, Tiburon, CA 94920 USA; [WikeIski, Martin] Max Planck Inst Ornithol, D-82319 Seewiesen, Germany; [WikeIski, Martin] Univ Konstanz, Dept Biol, D-78457 Constance, Germany; [Witt, Matthew J.] Univ Exeter, Environm &amp; Sustainabil Inst, Coll Life &amp; Environm Sci, Penryn Campus, Penryn TR10 9FE, Cornwall, England; [Bishop, Charles M.] Bangor Univ, Sch Biol Sci, Bangor LL57 2UW, Gwynedd, Wales</t>
  </si>
  <si>
    <t>University of Exeter; University of Birmingham; University of British Columbia; University of Tasmania; National Aeronautics &amp; Space Administration (NASA); NASA Johnson Space Center; McMaster University; Max Planck Society; University of Konstanz; University of Exeter; Bangor University</t>
  </si>
  <si>
    <t>Hawkes, LA (corresponding author), Univ Exeter, Coll Life &amp; Environm Sci, Ctr Ecol &amp; Conservat, Penryn TR10 9FE, Cornwall, England.</t>
  </si>
  <si>
    <t>l.hawkes@exeter.ac.uk</t>
  </si>
  <si>
    <t>Milsom, William K/D-2977-2012; Hawkes, Lucy A/C-8671-2009; Batbayar, Nyambayar/N-7066-2015; Hawkes, Lucy/L-7407-2014; Witt, Matthew/V-3318-2018</t>
  </si>
  <si>
    <t>Batbayar, Nyambayar/0000-0002-9138-9626; Hawkes, Lucy/0000-0002-6696-1862; Witt, Matthew/0000-0002-9498-5378</t>
  </si>
  <si>
    <t>UK Biotechnology and Biological Sciences Research Council [BBSRC] [BB/FO15615/1]; Natural Sciences and Engineering Research Council of Canada (NSERC); FAO through the Animal Health Service EMPRES surveillance program</t>
  </si>
  <si>
    <t>UK Biotechnology and Biological Sciences Research Council [BBSRC](UK Research &amp; Innovation (UKRI)Biotechnology and Biological Sciences Research Council (BBSRC)); Natural Sciences and Engineering Research Council of Canada (NSERC)(Natural Sciences and Engineering Research Council of Canada (NSERC)); FAO through the Animal Health Service EMPRES surveillance program</t>
  </si>
  <si>
    <t>This work was supported by the UK Biotechnology and Biological Sciences Research Council [BBSRC; BB/FO15615/1 to C.M.B. and P.J.B.]. Authors were supported by a Natural Sciences and Engineering Research Council of Canada (NSERC) award [W.K.M.], and the FAO through the Animal Health Service EMPRES surveillance program.</t>
  </si>
  <si>
    <t>1540-7063</t>
  </si>
  <si>
    <t>1557-7023</t>
  </si>
  <si>
    <t>INTEGR COMP BIOL</t>
  </si>
  <si>
    <t>Integr. Comp. Biol.</t>
  </si>
  <si>
    <t>10.1093/icb/icx068</t>
  </si>
  <si>
    <t>FE3KO</t>
  </si>
  <si>
    <t>Bronze, Green Accepted, Green Submitted</t>
  </si>
  <si>
    <t>WOS:000408115000007</t>
  </si>
  <si>
    <t>Giuliani, ME; Benedetti, M; Nigro, M; Regoli, F</t>
  </si>
  <si>
    <t>Giuliani, Maria Elisa; Benedetti, Maura; Nigro, Marco; Regoli, Francesco</t>
  </si>
  <si>
    <t>Nrf2 and regulation of the antioxidant system in the Antarctic silverfish, Pleuragramma antarctica: Adaptation to environmental changes of pro-oxidant pressure</t>
  </si>
  <si>
    <t>Antarctic silverfish; Nrf2; Keap1; Antioxidants; Oxidative stress; Adaptation</t>
  </si>
  <si>
    <t>EARLY-LIFE STAGES; TERRA-NOVA BAY; SCALLOP ADAMUSSIUM-COLBECKI; DEFENSE SYSTEMS; BIOCHEMICAL BIOMARKERS; HYDROGEN-PEROXIDE; ROSS SEA; ICE; DYNAMICS; EMBRYOS</t>
  </si>
  <si>
    <t>Despite the key importance of Nrf2-Keap1 in regulating antioxidant system in vertebrates, this system is still poorly investigated in marine species. The present study focused on the Antarctic silverfish Pleuragramma antarctica which, during the final phases of embryo development in platelet ice, is challenged by a sudden enhancement of environmental oxidative conditions associated to ice melting. Partial coding sequences were identified for Nrf2, its repressor Keap1 and for typical Nrf2-target antioxidant genes, like catalase, glutathione peroxidase isoform I and Cu/Zn-dependent superoxide dismutase. Compared to temperate homologues, the protein sequences showed an elevated conservation of amino acids essential for catalytic functions, while a few specific substitutions in non-essential regions may represent a molecular adaptation to improve flexibility and accessibility to active site at cold temperatures. The role of the Nrf2-Keap1 pathway in modulating the activation of antioxidant defences was demonstrated at both transcriptional and functional levels with a clear temporal increase of antioxidant protection in embryos before the hatching. Such findings confirm the importance of Nrf2 and highlight regulation of antioxidants as an adaptive strategy in P. antarctica to protect the early life stages toward the environmental changes of pro-oxidant pressure. (C) 2017 Elsevier Ltd. All rights reserved.</t>
  </si>
  <si>
    <t>[Giuliani, Maria Elisa; Benedetti, Maura; Regoli, Francesco] Univ Politecn Marche, Dipartimento Sci Vita &amp; Ambiente, Ancona, Italy; [Nigro, Marco] Univ Pisa, Dipartimento Med Clin &amp; Sperimentale, Pisa, Italy</t>
  </si>
  <si>
    <t>Marche Polytechnic University; University of Pisa</t>
  </si>
  <si>
    <t>Regoli, F (corresponding author), Univ Politecn Marche, Dipartimento Sci Vita &amp; Ambiente, Ancona, Italy.</t>
  </si>
  <si>
    <t>f.regoli@univpm.it</t>
  </si>
  <si>
    <t>Benedetti, Maura/K-5399-2016; Giuliani, Maria Elisa/K-5369-2016; Regoli, Francesco/K-2719-2018</t>
  </si>
  <si>
    <t>Benedetti, Maura/0000-0003-0803-3846; Giuliani, Maria Elisa/0000-0002-7487-5171; Regoli, Francesco/0000-0001-6084-6188</t>
  </si>
  <si>
    <t>Italian National Program on Antarctic Research (PNRA) [2013/AZ1.14]</t>
  </si>
  <si>
    <t>Italian National Program on Antarctic Research (PNRA)(Ministry of Education, Universities and Research (MIUR))</t>
  </si>
  <si>
    <t>This study was financially supported by the Italian National Program on Antarctic Research (PNRA, project 2013/AZ1.14). We thank to the logistic/technical staff and scuba divers of Mario Zucchelli Station of the XXIX Italian Antarctic Expedition.</t>
  </si>
  <si>
    <t>10.1016/j.marenvres.017.04.007</t>
  </si>
  <si>
    <t>FE1ME</t>
  </si>
  <si>
    <t>WOS:000407981500001</t>
  </si>
  <si>
    <t>Figuerola, B; Angulo-Preclder, C; Núñez-Pons, L; Moles, J; Sala-Comorera, L; García-Aljaro, C; Blanch, AR; Avila, C</t>
  </si>
  <si>
    <t>Figuerola, Blanca; Angulo-Preclder, Carlos; Nunez-Pons, Laura; Moles, Juan; Sala-Comorera, Laura; Garcia-Aljaro, Cristina; Blanch, Anicet R.; Avila, Conxita</t>
  </si>
  <si>
    <t>Experimental evidence of chemical defence mechanisms in Antarctic bryozoans</t>
  </si>
  <si>
    <t>Chemical repellence; Substrate preference; Antifouling; Marine invertebrates; Polar biology; Preference assays</t>
  </si>
  <si>
    <t>ANTIMICROBIAL ACTIVITY; CHROMOBACTERIUM-VIOLACEUM; ECOLOGICAL INTERACTIONS; MARINE-INVERTEBRATES; FEEDING REPELLENCE; BUGULA-NERITINA; DIVERSITY; SEA; COMMUNITIES; PALATABILITY</t>
  </si>
  <si>
    <t>Bryozoans are among the most abundant and diverse members of the Antarctic benthos, however the role of bioactive metabolites in ecological interactions has been scarcely studied. To extend our knowledge about the chemical ecology of Antarctic bryozoans, crude ether extracts (EE) and butanol extracts (BE) obtained from two Antarctic common species (Cornucopina pectogemma and Nematoflustra flagellata), were tested for antibacterial and repellent activities. The extracts were screened for quorum quenching and antibacterial activities against four Antarctic bacterial strains (Bacillus aquimaris, Micro coccus sp., Oceanobacillus sp. and Paracoccus sp.). The Antarctic amphipod Cheirimedon femoratus and the sea star Odontaster validus were selected as sympatric predators to perform anti-predatory and substrate preference assays. No quorum quenching activity was detected in any of the extracts, while all EE exhibited growth inhibition towards at least one bacterium strain. Although the species were not repellent against the sea star, they caused repellence to the amphipods in both extracts, suggesting that defence activities against predation derive from both lipophilic and hydrophilic metabolites. In the substrate preference assays, one EE and one BE deriving from different specimens of the species C pectogemma were active. This study reveals intraspecific variability of chemical defences and supports the fact that chemically mediated interactions are common in Antarctic bryozoans as means of protection against fouling and predation. (C) 2017 Elsevier Ltd. All rights reserved.</t>
  </si>
  <si>
    <t>[Figuerola, Blanca; Angulo-Preclder, Carlos; Moles, Juan; Avila, Conxita] Univ Barcelona, Dept Evolutionary Biol Ecol &amp; Environm Sci, Av Diagonal 643, E-08028 Barcelona, Catalonia, Spain; [Figuerola, Blanca; Angulo-Preclder, Carlos; Moles, Juan; Avila, Conxita] Univ Barcelona, Biodivers Res Inst IrBIO, Av Diagonal 643, E-08028 Barcelona, Catalonia, Spain; [Nunez-Pons, Laura] Stn Zool Anton Dohrn SZN, Dept Biol &amp; Evolut Marine Organisms BEOM, I-80121 Naples, Italy; [Sala-Comorera, Laura] STRI, Bocas Del Toro Labs, Panama; [Sala-Comorera, Laura; Garcia-Aljaro, Cristina; Blanch, Anicet R.] Univ Barcelona, Dept Genet Microbiol &amp; Stat, Av Diagonal 643, E-08028 Barcelona, Catalonia, Spain</t>
  </si>
  <si>
    <t>University of Barcelona; University of Barcelona; Stazione Zoologica Anton Dohrn di Napoli; University of Barcelona</t>
  </si>
  <si>
    <t>Figuerola, B (corresponding author), Univ Barcelona, Dept Evolutionary Biol Ecol &amp; Environm Sci, Av Diagonal 643, E-08028 Barcelona, Catalonia, Spain.;Figuerola, B (corresponding author), Univ Barcelona, Biodivers Res Inst IrBIO, Av Diagonal 643, E-08028 Barcelona, Catalonia, Spain.</t>
  </si>
  <si>
    <t>Figuerola, Blanca/C-6252-2015; Avila, Conxita/B-9466-2008; Angulo_Preckler, Carlos/A-6456-2011; Blanch, Anicet R/B-7573-2012; Moles, Juan/H-4786-2018; SALA-COMORERA, LAURA/AAF-9157-2021; Garcia-Aljaro, Cristina/F-3893-2016</t>
  </si>
  <si>
    <t>Figuerola, Blanca/0000-0003-4731-9337; Avila, Conxita/0000-0002-5489-8376; Angulo_Preckler, Carlos/0000-0001-9028-274X; Blanch, Anicet R/0000-0002-7632-6758; Moles, Juan/0000-0003-4511-4055; SALA-COMORERA, LAURA/0000-0001-6507-5677; Garcia-Aljaro, Cristina/0000-0003-4863-3547</t>
  </si>
  <si>
    <t>Spanish government through the ACTIQUIM I project [CGL2007-65453/ANT, CTM2010-17415/ANT]; Spanish government through the II project [CGL2007-65453/ANT, CTM2010-17415/ANT]</t>
  </si>
  <si>
    <t>Spanish government through the ACTIQUIM I project; Spanish government through the II project</t>
  </si>
  <si>
    <t>We are thankful to J. Cristobo, J. Vazquez, S. Taboada, A. Riesgo, and M. Bas for their support in the field. We would like to thank as well the Unidad de Tecnologia Marina (CSIC), the BIO-Las Palmas vessel, and the BIO-Hesperides crews and the Gabriel de Castilla BAE for their logistic support during the Antarctic cruises. We appreciate the comments and suggestions of the anonymous reviewers. Funding was also provided by the Spanish government through the ACTIQUIM I and II projects (CGL2007-65453/ANT and CTM2010-17415/ANT). This work is part of the AntEco (State of the Antarctic Ecosystem) Scientific Research Programme.</t>
  </si>
  <si>
    <t>10.1016/j.marenvres.2017.04.014</t>
  </si>
  <si>
    <t>WOS:000407981500007</t>
  </si>
  <si>
    <t>Martin, A; Houssais, MN; Le Goff, H; Marec, C; Dausse, D</t>
  </si>
  <si>
    <t>Martin, Antoine; Houssais, Marie-Noelle; Le Goff, Herve; Marec, Claudie; Dausse, Denis</t>
  </si>
  <si>
    <t>Circulation and water mass transports on the East Antarctic shelf in the Mertz Glacier region</t>
  </si>
  <si>
    <t>Antarctica; Continental shelf; Modified Circumpolar Deep Water; Heat transport; Freshwater transport; Adelie Georges V Land</t>
  </si>
  <si>
    <t>CIRCUMPOLAR DEEP-WATER; LAND BOTTOM WATER; SEA-ICE GROWTH; ROSS-SEA; ADELIE DEPRESSION; WEDDELL SEA; CONTINENTAL-SHELF; NORTH-ATLANTIC; V LAND; OCEAN</t>
  </si>
  <si>
    <t>The East Antarctic shelf off Adelie-George V Land is known to be an important region for Dense Shelf Water (DSW) formation as a result of intense sea ice production in the Mertz Glacier Polynya during the winter season. It is also a region where the warm modified Circumpolar Deep Water (mCDW) penetrates onto the shelf during the summer. Using hydrographic observations from a summer survey in 2008 we implement a box inverse model to propose a comprehensive view of the steady state circulation on this shelf in summer. Additional information from mooring observations collected on the depression slope is used to provide context to the retrieved circulation scheme. Over the depression slope, the summer baroclinic structure of the currents is found to contrast with the almost barotropic structure in winter. The summer circulation is strongly constrained by the DSW distribution and forms a clockwise circulation primarily transporting the fresh surface waters and the warm mCDW around the dome of DSW. Over the upper flank of the Mertz Bank, the inflow branch transports the mCDW towards the Mertz Glacier, while, over the lower part of the slope, the outflow branch returns to the sill a diluted mode of the same water mass. A total of 0.19 Sv of mCDW inflows at the sill and two-third reach the Mertz Glacier and recirculate in front of it, allowing the mCDW to penetrate into the deeper part of the depression. Possible scenarios of interaction between the mCDW and the DSW with the glacier are examined. It is shown that, despite the water mass pathways and transports suggest possible ice-ocean interaction, both lateral and basal melting were likely small in summer 2008. Finally, our results suggest that, in addition to bathymetric features, the distribution of the residual DSW which is left from the preceding winter sets up regional pressure gradients which provide a seasonal control on the shelf circulation. In particular, the spring collapse of the convective patch would contribute to setting up a deep pycnocline which strongly impacts the shelf circulation in the following summer, with possible feedback of the mCDW transports on the polynya activity and water mass formation.</t>
  </si>
  <si>
    <t>[Martin, Antoine; Houssais, Marie-Noelle; Le Goff, Herve; Dausse, Denis] Univ Paris 06, Sorbonne Univ, UPMC, CNRS IRD MNHN,LOCEAN Lab, 4 Pl Jussieu, F-75005 Paris, France; [Marec, Claudie] IFREMER, Lab Oceanog Phys &amp; Spatiale, Ctr Brest, CS 10070, F-29280 Plouzane, France</t>
  </si>
  <si>
    <t>Museum National d'Histoire Naturelle (MNHN); Sorbonne Universite; Institut de Recherche pour le Developpement (IRD); Ifremer</t>
  </si>
  <si>
    <t>Martin, A (corresponding author), Univ Paris 06, Sorbonne Univ, UPMC, CNRS IRD MNHN,LOCEAN Lab, 4 Pl Jussieu, F-75005 Paris, France.</t>
  </si>
  <si>
    <t>antoine_martin@orange.fr</t>
  </si>
  <si>
    <t>Martin-Tissier, Antoine/0000-0001-6607-9768; Claudie, MAREC/0000-0001-5805-9820</t>
  </si>
  <si>
    <t>French LEFE programme; IPEV; French Minister of Education and Research (gs3) (MESR)</t>
  </si>
  <si>
    <t>The authors are very grateful to the 3 anonymous reviewers for their useful comments which helped improve the manuscript. We would like to thank L. Testut and B. Legresy from LEGOS, Toulouse, for providing us with the T-UGOm outputs and data on the Mertz draft and underlying bathymetry. Fruitful discussions with C. Herbaut (about sea ice variability), H. Mercier (about box inverse modeling), P. Bouruet-Aubertot (on IGW noise estimate), S. Close (on statistics) and M. Lacarra are greatly acknowledged. We thank E. Sultan for her continued investment in the ALBION project field work which made it possible to collect the data set used in this work. The authors wish to thank Captain Stanislas Zamora and the crew of SV l'Astrolabe for their assistance in collecting the data during the ALBION cruises. We are also grateful to the French Institut Paul Emile Victor (IPEV) staff, to the Division Technique of INSU and to Mickael Beauverger for their efficient technical support in the preparation and implementation of the ALBION experiment. The ALBION project was supported by the French LEFE programme and by IPEV. The lead author is supported by a doctoral fellowship from the French Minister of Education and Research (gs3) (MESR).</t>
  </si>
  <si>
    <t>10.1016/j.dsr.2017.05.007</t>
  </si>
  <si>
    <t>FE2VZ</t>
  </si>
  <si>
    <t>WOS:000408076600001</t>
  </si>
  <si>
    <t>Bernard, KS; Cimino, M; Fraser, W; Kohut, J; Oliver, MJ; Patterson-Fraser, D; Schofield, OME; Statscewich, H; Steinberg, DK; Winsor, P</t>
  </si>
  <si>
    <t>Bernard, Kim S.; Cimino, Megan; Fraser, William; Kohut, Josh; Oliver, Matthew J.; Patterson-Fraser, Donna; Schofield, Oscar M. E.; Statscewich, Hank; Steinberg, Deborah K.; Winsor, Peter</t>
  </si>
  <si>
    <t>Factors that affect the nearshore aggregations of Antarctic krill in a biological hotspot</t>
  </si>
  <si>
    <t>Antarctic krill; Euphausia superba; Aggregation; Biological hotspots; Physical-biological interactions; Wind; Tide</t>
  </si>
  <si>
    <t>EUPHAUSIA-SUPERBA; TEMPORAL VARIABILITY; ZOOPLANKTON BIOMASS; FORAGING BEHAVIOR; SUBMARINE-CANYON; ABUNDANCE; PREDATORS; PENINSULA; ISLAND; TIME</t>
  </si>
  <si>
    <t>Antarctic krill, Euphausia superba, is a highly abundant and ecologically important zooplankton species in the Southern Ocean. Regions of elevated Antarctic krill biomass exist around Antarctica, often as a result of the concentrating effect of bathyrnetry and ocean currents. Such areas are considered biological hotspots and are key foraging grounds for numerous top predators in the region. A hotspot of Antarctic krill biomass exists off the southern extent of Anvers Island, Western Antarctic Peninsula, and supports a population of Adelie penguins that feed almost exclusively on it, as well as numerous other top predators. We investigated the spatio-temporal variability in Antarctic krill biomass and aggregation structure over four consecutive summer seasons, identifying environmental factors that were responsible. We identified three distinct krill aggregation types (Large dense, Small-close and Small-sparse), and found that the relative proportion of each type to total aggregation numbers varied significantly between survey days. Large-dense aggregations occurred more frequently when westerly winds predominated and when the local mixed tide was in the diurnal regime. Small-close aggregations were also more frequent during diurnal tides and were negatively correlated with phytoplankton biomass. Small sparse aggregations, on the other hand, were more prevalent when the mixed tide was in the semi-diurnal phase. We suggest that, under certain conditions (i.e. diurnal tides and westerly winds), the biological hotspot in the nearshore waters off Palmer Station, Anvers Island, functions as a zone of accumulation, concentrating krill biomass. Our findings provide important information on the dynamics of Antarctic krill at the local scale.</t>
  </si>
  <si>
    <t>[Bernard, Kim S.] Oregon State Univ, Coll Earth Ocean &amp; Atmospher Sci, Corvallis, OR 97331 USA; [Cimino, Megan] Scripps Inst Oceanog, La Jolla, CA USA; [Fraser, William; Patterson-Fraser, Donna] Polar Oceans Res Grp, Pittsburgh, PA USA; [Kohut, Josh; Schofield, Oscar M. E.] Rutgers State Univ, New Brunswick, NJ USA; [Oliver, Matthew J.] Univ Delaware, Newark, DE 19716 USA; [Statscewich, Hank; Winsor, Peter] Univ Alaska, Fairbanks, AK 99701 USA; [Steinberg, Deborah K.] Coll William &amp; Mary, Virginia Inst Marine Sci, Williamsburg, VA 23187 USA</t>
  </si>
  <si>
    <t>Oregon State University; University of California System; University of California San Diego; Scripps Institution of Oceanography; Rutgers University System; Rutgers University New Brunswick; University of Delaware; University of Alaska System; University of Alaska Fairbanks; William &amp; Mary; Virginia Institute of Marine Science</t>
  </si>
  <si>
    <t>Bernard, KS (corresponding author), Oregon State Univ, Coll Earth Ocean &amp; Atmospher Sci, Corvallis, OR 97331 USA.</t>
  </si>
  <si>
    <t>kbernard@coas.oregonstate.edu</t>
  </si>
  <si>
    <t>; Schofield, Oscar/H-4169-2018</t>
  </si>
  <si>
    <t>Steinberg, Deborah K./0000-0001-9884-4655; Schofield, Oscar/0000-0003-2359-4131</t>
  </si>
  <si>
    <t>US National Science Foundation [OPP-0823101, PLR-1440435, PLR-1331681]; Directorate For Geosciences; Office of Polar Programs (OPP) [1326541, 1331681] Funding Source: National Science Foundation; Directorate For Geosciences; Office of Polar Programs (OPP) [1326167] Funding Source: National Science Foundation</t>
  </si>
  <si>
    <t>US National Science Foundation(National Science Foundation (NSF)); Directorate For Geosciences; Office of Polar Programs (OPP)(National Science Foundation (NSF)NSF - Directorate for Geosciences (GEO)); Directorate For Geosciences; Office of Polar Programs (OPP)(National Science Foundation (NSF)NSF - Directorate for Geosciences (GEO))</t>
  </si>
  <si>
    <t>We are grateful to the Antarctic Services Company and the United States Antarctic Program for outstanding logistics, field and facilities support at Palmer Station. Dominique Paxton and Shenandoah Raycroft were exceptional field assistants and we could not have done the work without them. We appreciate the advice and assistance from A. Zuur on the information-theoretic approach. This study was funded by the US National Science Foundation (OPP-0823101, PLR-1440435, and PLR-1331681). This is contribution is number 3636 from the Virginia Institute of Marine Science.</t>
  </si>
  <si>
    <t>10.1016/j.dsr.2017.05.008</t>
  </si>
  <si>
    <t>WOS:000408076600012</t>
  </si>
  <si>
    <t>Santora, JA; Veit, RR; Reiss, CS; Schroeder, ID; Mangel, M</t>
  </si>
  <si>
    <t>Santora, Jarrod A.; Veit, Richard R.; Reiss, Christian S.; Schroeder, Isaac D.; Mangel, Marc</t>
  </si>
  <si>
    <t>Ecosystem Oceanography of Seabird Hotspots: Environmental Determinants and Relationship with Antarctic Krill Within an Important Fishing Ground</t>
  </si>
  <si>
    <t>ECOSYSTEMS</t>
  </si>
  <si>
    <t>albatross; conservation; ecosystem assessment; eddy kinetic energy; krill fishery; foraging ecology; marine protected area; mesoscale; petrel; spatial ecology; storm petrel</t>
  </si>
  <si>
    <t>SOUTH SHETLAND ISLANDS; EUPHAUSIA-SUPERBA; NORTH PACIFIC; TOP PREDATORS; FORAGE FISH; FUR SEALS; HABITAT; VARIABILITY; PREY; SEGREGATION</t>
  </si>
  <si>
    <t>The discipline of ecosystem oceanography provides a framework for assessing the role of mesoscale physical processes on the formation and occurrence of biological hotspots. We used shipboard surveys over nine years to investigate environmental determinants of seabird hotspots near the Antarctic Peninsula, a region experiencing rapid climate change and an expanding krill fishery. We hypothesize that seabird hotspots are structured by mesoscale ocean conditions that reflect differences in prey distribution within oceanic and coastal waters. We used generalized additive models to quantify functional relationships of seabird hotspots with krill biomass, and a suite of remotely sensed environmental variables, such as eddy kinetic energy. The spatial organization, changes in intensity, and distribution shifts of seabird hotspots indicate different environmental drivers within coastal and oceanic domains and reflect the seasonal variability of the ecosystem. Our results indicate at least eight mesoscale hotspot zones that represent ecologically important areas where significant krill and predator biomass may be concentrated. Our ecosystem assessment of seabird hotspots identified critical foraging habitat and provided reference points to benefit research on estimating their trophic impacts on Antarctic ecosystems and potential effects from the krill fishery. Our approach is generally applicable to other pelagic ecosystems that are structured by hydrographic fronts and eddies, and containing schooling forage species shared by multiple wide-ranging predators. Furthermore, identification of biological hotspots is useful for the designation of marine protected areas most critical to potentially endangered wildlife and fisheries resources.</t>
  </si>
  <si>
    <t>[Santora, Jarrod A.; Mangel, Marc] Univ Calif Santa Cruz, Ctr Stock Assessment Res, Dept Appl Math &amp; Stat, 110 Shaffer Rd, Santa Cruz, CA 95060 USA; [Veit, Richard R.] CUNY, CSI, Biol Dept, 2800 Victory Blvd, New York, NY 10314 USA; [Veit, Richard R.] CUNY, Grad Ctr, 565 Fifth Ave, New York, NY 10016 USA; [Reiss, Christian S.] NOAA, Southwest Fisheries Sci Ctr, Antarctic Ecosyst Res Div, La Jolla, CA USA; [Schroeder, Isaac D.] Univ Calif Santa Cruz, Phys &amp; Biol Sci, 110 Shaffer Rd, Santa Cruz, CA 95060 USA; [Mangel, Marc] Univ Bergen, Dept Biol, N-9020 Bergen, Norway</t>
  </si>
  <si>
    <t>University of California System; University of California Santa Cruz; City University of New York (CUNY) System; City University of New York (CUNY) System; National Oceanic Atmospheric Admin (NOAA) - USA; University of California System; University of California Santa Cruz; University of Bergen</t>
  </si>
  <si>
    <t>Santora, JA (corresponding author), Univ Calif Santa Cruz, Ctr Stock Assessment Res, Dept Appl Math &amp; Stat, 110 Shaffer Rd, Santa Cruz, CA 95060 USA.</t>
  </si>
  <si>
    <t>jsantora@ucsc.edu</t>
  </si>
  <si>
    <t>Center for Stock Assessment Research; Southwest Fisheries Science Center; University of California, Santa Cruz</t>
  </si>
  <si>
    <t>Center for Stock Assessment Research; Southwest Fisheries Science Center; University of California, Santa Cruz(University of California System)</t>
  </si>
  <si>
    <t>We are grateful for the help of the many participants of the NOAA-NMFS U.S. AMLR Program and G.M. Watters. This paper was greatly enhanced by feedback from several anonymous reviewers, and we are thankful for their constructive advice. This work was partially supported by the Center for Stock Assessment Research, a partnership between the Southwest Fisheries Science Center and the University of California, Santa Cruz.</t>
  </si>
  <si>
    <t>1432-9840</t>
  </si>
  <si>
    <t>1435-0629</t>
  </si>
  <si>
    <t>Ecosystems</t>
  </si>
  <si>
    <t>10.1007/s10021-016-0078-8</t>
  </si>
  <si>
    <t>FD9MI</t>
  </si>
  <si>
    <t>WOS:000407846100003</t>
  </si>
  <si>
    <t>Bush, RT; Berke, MA; Jacobson, AD</t>
  </si>
  <si>
    <t>Bush, Rosemary T.; Berke, Melissa A.; Jacobson, Andrew D.</t>
  </si>
  <si>
    <t>Plant water δD and δ18O of tundra species from West Greenland</t>
  </si>
  <si>
    <t>ARCTIC ANTARCTIC AND ALPINE RESEARCH</t>
  </si>
  <si>
    <t>OXYGEN-ISOTOPE RATIOS; LEAF WATER; STABLE-ISOTOPES; SALIX-ARCTICA; STOMATAL CONDUCTANCE; DEUTERIUM EXCESS; ALPINE WILLOW; D/H RATIOS; HOLOCENE; CLIMATE</t>
  </si>
  <si>
    <t>Stable hydrogen and oxygen isotope ratios (delta D and delta O-18) of archived plant tissues can be used in paleoenvironmental reconstructions, assuming a well-grounded understanding of the environmental drivers of stable isotope variation in plant waters. Previous plant water calibration studies have focused on lower latitudes, but given the importance of arctic climate reconstructions, it is necessary to understand the drivers of isotope fractionation in plants that are unique to high latitudes. Here, we present delta D and delta O-18 values of plant waters from the Kangerlussuaq area in West Greenland. We use the evaporation line created by the xylem waters to estimate the hydrogen and oxygen isotope values of local meteoric source water and find values that are lower than modeled estimates. We also apply the modified Craig-Gordon leaf water model, using local climate parameters and xylem water values to model leaf water values. We find that measured plant water values are generally in good agreement with model estimates, and discrepancies are likely explained by plant microclimates that are warmer and drier than average air measurements. This study extends stable isotope calibrations to arctic regions and provides a new estimate of average precipitation water isotopes values, which in turn inform plant proxy-based paleoclimate studies in the Arctic.</t>
  </si>
  <si>
    <t>[Bush, Rosemary T.; Jacobson, Andrew D.] Northwestern Univ, Dept Earth &amp; Planetary Sci, Inst Technol, 2145 Sheridan Rd, Evanston, IL 60208 USA; [Bush, Rosemary T.; Berke, Melissa A.] Univ Notre Dame, Dept Civil &amp; Environm Engn &amp; Earth Sci, 156 Fitzpatrick Hall, Notre Dame, IN 46556 USA</t>
  </si>
  <si>
    <t>Northwestern University; University of Notre Dame</t>
  </si>
  <si>
    <t>Bush, RT (corresponding author), Northwestern Univ, Dept Earth &amp; Planetary Sci, Inst Technol, 2145 Sheridan Rd, Evanston, IL 60208 USA.;Bush, RT (corresponding author), Univ Notre Dame, Dept Civil &amp; Environm Engn &amp; Earth Sci, 156 Fitzpatrick Hall, Notre Dame, IN 46556 USA.</t>
  </si>
  <si>
    <t>rosemarybush@gmail.com</t>
  </si>
  <si>
    <t>Berke, Melissa A/H-3819-2016</t>
  </si>
  <si>
    <t>Berke, Melissa/0000-0003-4810-3773</t>
  </si>
  <si>
    <t>PLR-NSF [1304686]; CEEES Department and Environmental Change Initiative at University of Notre Dame</t>
  </si>
  <si>
    <t>PLR-NSF; CEEES Department and Environmental Change Initiative at University of Notre Dame</t>
  </si>
  <si>
    <t>Sample collection was supported by PLR-NSF 1304686 awarded to A. D. Jacobson, and analysis was funded by the CEEES Department and Environmental Change Initiative at the University of Notre Dame. Thanks to Grace Andrews, Everett Lasher, and Jamie McFarlin for support in the field and to Suvankar Chakraborty at SIRFER, University of Utah. Thanks to Allison Baczynski, Francesca McInerney, and anonymous reviewers for their thoughtful comments and critiques. The authors declare no conflicts of interest.</t>
  </si>
  <si>
    <t>INST ARCTIC ALPINE RES</t>
  </si>
  <si>
    <t>UNIV COLORADO, BOULDER, CO 80309 USA</t>
  </si>
  <si>
    <t>1523-0430</t>
  </si>
  <si>
    <t>1938-4246</t>
  </si>
  <si>
    <t>ARCT ANTARCT ALP RES</t>
  </si>
  <si>
    <t>Arct. Antarct. Alp. Res.</t>
  </si>
  <si>
    <t>10.1657/AAAR0016-025</t>
  </si>
  <si>
    <t>Environmental Sciences; Geography, Physical</t>
  </si>
  <si>
    <t>FD9IX</t>
  </si>
  <si>
    <t>WOS:000407837100001</t>
  </si>
  <si>
    <t>Fountain, AG; Glenn, B; Basagic, HJ</t>
  </si>
  <si>
    <t>Fountain, Andrew G.; Glenn, Bryce; Basagic, Hassan J.</t>
  </si>
  <si>
    <t>The geography of glaciers and perennial snowfields in the American West</t>
  </si>
  <si>
    <t>NATIONAL-PARK; MASS-BALANCE; LATEST PLEISTOCENE; ROCKY-MOUNTAINS; SIERRA-NEVADA; BLUE GLACIER; SNOW; INVENTORY; USA; WASHINGTON</t>
  </si>
  <si>
    <t>A comprehensive mid-20th century inventory of glaciers and perennial snowfields (G&amp;PS) was compiled for the American West, west of the 100 degrees meridian. The inventory was derived from U.S. Geological Survey 1: 24,000 topographic maps based on aerial photographs acquired during 35 years, 1955-1990, of which the first 20 years or more was a cool period with little glacier change. The mapped features were filtered for those greater than 0.01 km(2). Results show that 5036 G&amp;PS (672 km2, 14 km(3)) populate eight states, of which about 1276 (554 km2, 12 km3) are glaciers. Uncertainty is estimated at +/- 9% for area and +/- 20% for volume. Two populations of G&amp;PS were identified based on air temperature and precipitation. The larger is found in a maritime climate of the Pacific Northwest, characterized by warm winter air temperatures and high winter precipitation (similar to 2100 mm). The other population is continental in climate, characterized by cold winter air temperatures, relatively low winter precipitation (similar to 880 mm), and located at higher elevations elsewhere. The G&amp;PS in the Pacific Northwest, especially in the Olympic Mountains, are particularly vulnerable to warming winter air temperatures that will change the phase of winter precipitation from snow to rain, further accelerating glacier shrinkage in the future. Comparison with a recent inventory suggests that the total G&amp;PS area in the American West may have decreased by as much as 39% since the mid-20th century.</t>
  </si>
  <si>
    <t>[Fountain, Andrew G.; Glenn, Bryce; Basagic, Hassan J.] Portland State Univ, Dept Geol, POB 751, Portland, OR 97201 USA</t>
  </si>
  <si>
    <t>Portland State University</t>
  </si>
  <si>
    <t>Fountain, AG (corresponding author), Portland State Univ, Dept Geol, POB 751, Portland, OR 97201 USA.</t>
  </si>
  <si>
    <t>andrew@pdx.edu</t>
  </si>
  <si>
    <t>U.S. Geological Survey Western Mountain Initiative; U.S. Forest Service</t>
  </si>
  <si>
    <t>U.S. Geological Survey Western Mountain Initiative; U.S. Forest Service(United States Department of Agriculture (USDA)United States Forest Service)</t>
  </si>
  <si>
    <t>This work was funded by the U.S. Geological Survey Western Mountain Initiative and the U.S. Forest Service. We appreciate the efforts of Kristina Dick, Matt Hoffman, Keith Jackson, and Thomas Nylen in helping us form the original database.</t>
  </si>
  <si>
    <t>10.1657/AAAR0017-003</t>
  </si>
  <si>
    <t>WOS:000407837100004</t>
  </si>
  <si>
    <t>Marcer, M; Stentoft, PA; Bjerre, E; Cimoli, E; Bjork, A; Stenseng, L; Machguth, H</t>
  </si>
  <si>
    <t>Marcer, M.; Stentoft, P. A.; Bjerre, E.; Cimoli, E.; Bjork, A.; Stenseng, L.; Machguth, H.</t>
  </si>
  <si>
    <t>Three decades of volume change of a small Greenlandic glacier using ground penetrating radar, Structure from Motion, and aerial photogrammetry</t>
  </si>
  <si>
    <t>MITTIVAKKAT GLETSCHER; MASS-BALANCE; ICE-SHEET; INVENTORY; ELEVATION; CAPS</t>
  </si>
  <si>
    <t>Glaciers in the Arctic are losing mass at an increasing rate. Here we use surface topography derived from Structure from Motion (SfM) and ice volume from ground penetrating radar (GPR) to describe the 2014 state of Aqqutikitsoq glacier (2.85 km(2)) on Greenland's west coast. A photogrammetrically derived 1985 digital elevation model (DEM) was subtracted from a 2014 DEM obtained using land-based SfM to calculate geodetic glacier mass balance. Furthermore, a detailed 2014 ground penetrating radar survey was performed to assess ice volume. From 1985 to 2014, the glacier has lost 49.8 +/- 9.4 10(6) m(3) of ice, corresponding to roughly a quarter of its 1985 volume (148.6 +/- 47.6 106 m(3)) and a thinning rate of 0.60 +/- 0.11 m a(-1). The computations are challenged by a relatively large fraction of the 1985 DEM (similar to 50% of the glacier surface) being deemed unreliable owing to low contrast (snow cover) in the 1985 aerial photography. To address this issue, surface elevation in low contrast areas was measured manually at point locations and interpolated using a universal kriging approach. We conclude that ground-based SfM is well suited to establish high-quality DEMs of smaller glaciers. Provided favorable topography, the approach constitutes a viable alternative where the use of drones is not possible. Our investigations constitute the first glacier on Greenland's west coast where ice volume was determined and volume change calculated. The glacier's thinning rate is comparable to, for example, the Swiss Alps and underlines that arctic glaciers are subject to fast changes.</t>
  </si>
  <si>
    <t>[Marcer, M.; Stentoft, P. A.; Bjerre, E.; Cimoli, E.; Machguth, H.] Tech Univ Denmark, Arctic Technol Ctr ARTEK, Dept Civil Engn, Bldg 118, DK-2800 Lyngby, Denmark; [Marcer, M.] Univ Grenoble Alpes, IGA, PACTE, Ave Marie Reynoard 14 Bis, F-3800 Grenoble, France; [Stentoft, P. A.; Bjerre, E.] Tech Univ Denmark, DTU Environm, Bygningstorvet Bygning 115, DK-2800 Lyngby, Denmark; [Cimoli, E.] Univ Tasmania, Inst Marine &amp; Antarctic Studies, Castray Explanade 20, Hobart, Tas 7004, Australia; [Bjork, A.] Nat Hist Museum Denmark, Ctr GeoGenet, Oster Voldgade 5-7, DK-1350 Copenhagen K, Denmark; [Stenseng, L.] Tech Univ Denmark, DTU Space, Natl Space Inst, Dept Geodesy, Elektrovej 328, DK-2800 Lyngby, Denmark; [Machguth, H.] Univ Zurich, Dept Geog, Winterthurerstr 190, CH-8057 Zurich, Switzerland; [Machguth, H.] Univ Fribourg, Dept Geosci, Chemin Musee 4, CH-1700 Fribourg, Switzerland</t>
  </si>
  <si>
    <t>Technical University of Denmark; Communaute Universite Grenoble Alpes; Universite Grenoble Alpes (UGA); Technical University of Denmark; University of Tasmania; Technical University of Denmark; University of Zurich; University of Fribourg</t>
  </si>
  <si>
    <t>Marcer, M (corresponding author), Tech Univ Denmark, Arctic Technol Ctr ARTEK, Dept Civil Engn, Bldg 118, DK-2800 Lyngby, Denmark.;Marcer, M (corresponding author), Univ Grenoble Alpes, IGA, PACTE, Ave Marie Reynoard 14 Bis, F-3800 Grenoble, France.</t>
  </si>
  <si>
    <t>marco.marcer@univ-grenoble-alpes.fr</t>
  </si>
  <si>
    <t>Cimoli, Emiliano/H-1862-2018; Stenseng, Lars/GSN-2867-2022; Bjork, Anders Anker/B-1625-2013; Bjerre, Elisa/I-3717-2018</t>
  </si>
  <si>
    <t>Cimoli, Emiliano/0000-0001-7964-2716; Stenseng, Lars/0000-0003-4690-4200; Machguth, Horst/0000-0001-5924-0998; Bjork, Anders Anker/0000-0002-4919-792X; Bjerre, Elisa/0000-0002-5458-7666</t>
  </si>
  <si>
    <t>project Glaciers_cci [4000109873/14/I-NB]; Danish Council for Independent Research (FNU) [0602-02526B]; Nordic Top-level Research Initiative (TRI)</t>
  </si>
  <si>
    <t>project Glaciers_cci; Danish Council for Independent Research (FNU)(Det Frie Forskningsrad (DFF)Danish Natural Science Research Council); Nordic Top-level Research Initiative (TRI)</t>
  </si>
  <si>
    <t>We thank the editors and the two anonymous reviewers for their thorough and very valuable comments. This study is based on the field measurements and analysis carried out as student projects in the course 11427 Arctic Technology at DTU ARTEK. We greatly acknowledge the entire 2nd Fjord field team and Carl E. Boggild for assistance in the field and in field-work organization. We thank Gunvor M. Kirkelund for organizing and leading course 11427 as well as the secretaries and the technicians for their most valuable assistance, which made Aqqutikitsoq field measurements possible. The community of Qeqqata is acknowledged for hosting course 11427. H. Machguth is partly financed under the project Glaciers_cci (4000109873/14/I-NB). A. A. Bjork is funded by the X_Centuries Project, Danish Council for Independent Research (FNU) (grant no. 0602-02526B). This publication is contribution number 73 of the Nordic Centre of Excellence SVALI, Stability and Variations of Arctic Land Ice funded by the Nordic Top-level Research Initiative (TRI).</t>
  </si>
  <si>
    <t>10.1657/AAAR0016-049</t>
  </si>
  <si>
    <t>WOS:000407837100005</t>
  </si>
  <si>
    <t>Carling, GT; Rupper, SB; Fernandez, DP; Tingey, DG; Harrison, CB</t>
  </si>
  <si>
    <t>Carling, G. T.; Rupper, S. B.; Fernandez, D. P.; Tingey, D. G.; Harrison, C. B.</t>
  </si>
  <si>
    <t>Effect of atmospheric deposition and weathering on trace element concentrations in glacial meltwater at Grand Teton National Park, Wyoming, USA</t>
  </si>
  <si>
    <t>HIGH-ELEVATION LAKES; ICE CORE RECORD; ROCKY-MOUNTAINS; MERCURY DEPOSITION; SURFACE-WATER; HEAVY-METALS; WESTERN US; ALPINE; CHEMISTRY; DUST</t>
  </si>
  <si>
    <t>Glaciers are reservoirs of atmospherically deposited trace elements that are released during melt. Weathering in glacial environments also contributes solutes to proglacial streams. To investigate the relative importance of atmospheric deposition and weathering on trace element chemistry of glacial streams, we sampled supraglacial and proglacial meltwater at two glacierized catchments in Grand Teton National Park, Wyoming, which is located downwind of agricultural/industrial emissions and dust sources. Concentrations of major ions (Mg2+, K+, Na+, Ca2+, SO42-), alkalinity, conductivity, and a subset of trace elements (U, Mo, Sr, Rb, Li, Ba) were low in supraglacial meltwater but increased in proglacial streams because of water-rock interactions. In contrast, concentrations of the trace metals Mn, Co, Zn, Pb, Cd, and Hg had relatively high concentrations in supraglacial meltwater and decreased downstream. These metals are not abundant in the local bedrock and thus are likely sourced from atmospheric deposition. Stable isotopes indicated different water sources in July (snowmelt-dominated) and August (ice melt-dominated), but water chemistry was similar during both months, indicating similar composition of recent snowfall and older ice. These findings have implications for evaluating the relative impacts of atmospheric deposition and weathering in glacier-and snow-dominated catchments.</t>
  </si>
  <si>
    <t>[Carling, G. T.; Tingey, D. G.; Harrison, C. B.] Brigham Young Univ, Dept Geol Sci, S389 ESC, Provo, UT 84604 USA; [Rupper, S. B.] Univ Utah, Dept Geog, 332 S 1400 E,Room 217, Salt Lake City, UT 84112 USA; [Fernandez, D. P.] Univ Utah, Dept Geol &amp; Geophys, 115 S 1460 E,Room 383, Salt Lake City, UT 84112 USA</t>
  </si>
  <si>
    <t>Brigham Young University; Utah System of Higher Education; University of Utah; Utah System of Higher Education; University of Utah</t>
  </si>
  <si>
    <t>Carling, GT (corresponding author), Brigham Young Univ, Dept Geol Sci, S389 ESC, Provo, UT 84604 USA.</t>
  </si>
  <si>
    <t>greg.carling@byu.edu</t>
  </si>
  <si>
    <t>Rupper, Summer/KHD-4492-2024</t>
  </si>
  <si>
    <t>Carling, Gregory/0000-0001-5820-125X</t>
  </si>
  <si>
    <t>University of Wyoming-National Park Service (UW-NPS) Research Station; College of Physical and Mathematical Sciences; Department of Geological Sciences at Brigham Young University</t>
  </si>
  <si>
    <t>This project was supported by a grant from the University of Wyoming-National Park Service (UW-NPS) Research Station. We thank the research station staff for providing gracious hospitality and logistical support during the fieldwork. We also thank staff at Grand Teton National Park for providing research permits and helping coordinate the fieldwork. Students Joel Johansen, Brian Selck, Dylan Dastrup, Desmond O'Brien, and Timothy Goodsell provided field and laboratory assistance. Financial support was also provided by the College of Physical and Mathematical Sciences and the Department of Geological Sciences at Brigham Young University. We thank two anonymous reviewers whose comments greatly improved the manuscript.</t>
  </si>
  <si>
    <t>10.1657/AAAR0016.071</t>
  </si>
  <si>
    <t>WOS:000407837100006</t>
  </si>
  <si>
    <t>Annandale, B; Kirkpatrick, JB</t>
  </si>
  <si>
    <t>Annandale, Bryan; Kirkpatrick, Jamie B.</t>
  </si>
  <si>
    <t>Diurnal to decadal changes in the balance between vegetation and bare ground in Tasmanian fjaeldmark</t>
  </si>
  <si>
    <t>ALPINE VEGETATION; SOUTHERN RANGE; HILL ONE; SOLIFLUCTION; SHRUB; JOTUNHEIMEN; EXPANSION; LANDFORMS; WILDFIRE; SLOPES</t>
  </si>
  <si>
    <t>Periglacial processes are active under current climatic conditions on the more exposed peaks and ridges of Tasmania's high country. Non-sorted steps, stripes, and solifluction lobes with vegetated risers and bare treads have formed on many of the mountains capped in fissile sedimentary rocks. Any disturbance to the balance between vegetation and bare ground can result in biogeomorphic feedbacks leading to an increase or decrease in periglacial activity and thereby threaten the survival of fjaeldmark. We tested the hypotheses that vegetation helps create risers by capturing material moved by needle ice, water, and wind, and that the balance between vegetation and bare ground in fjaeldmark is dynamic in Tasmania at the decadal time scale. Repeat photo plots and temperature data loggers were employed to monitor the dynamism of two non-sorted lobes on Mount Rufus over a seven-month period. Diurnal freeze/thaw cycles resulted in needle ice formation on the bare treads and promoted downslope movement of the surface layer through frost creep. Vegetation was observed to reduce geomorphic activity and to capture soil and clasts transported downslope, thereby steepening the risers. Aerial photographic analysis showed a 0.065% per annum increase in vegetation cover in fjaeldmark since the mid-20th century. Mountains that had a high number of days with snow cover were especially prone to increases in vegetation cover. Decline in vegetation cover occurred on some mountains burned during the past century. The smallest changes occurred on the most exposed peaks and ridges.</t>
  </si>
  <si>
    <t>[Annandale, Bryan; Kirkpatrick, Jamie B.] Univ Tasmania, Discipline Geog &amp; Spatial Sci, Sch Land &amp; Food, Private Bag 78, Hobart, Tas 7001, Australia</t>
  </si>
  <si>
    <t>Annandale, B (corresponding author), Univ Tasmania, Discipline Geog &amp; Spatial Sci, Sch Land &amp; Food, Private Bag 78, Hobart, Tas 7001, Australia.</t>
  </si>
  <si>
    <t>bryana@utas.edu.au</t>
  </si>
  <si>
    <t>Kirkpatrick, James/0000-0003-2763-2692</t>
  </si>
  <si>
    <t>10.1657/AAAR0017-001</t>
  </si>
  <si>
    <t>WOS:000407837100009</t>
  </si>
  <si>
    <t>Pacelli, C; Selbmann, L; Zucconi, L; Rugose, M; Moeller, R; Shuryak, I; Onofri, S</t>
  </si>
  <si>
    <t>Pacelli, Claudia; Selbmann, Laura; Zucconi, Laura; Rugose, Marina; Moeller, Ralf; Shuryak, Igor; Onofri, S.</t>
  </si>
  <si>
    <t>Survival, DNA Integrity, and Ultrastructural Damage in Antarctic Cryptoendolithic Eukaryotic Microorganisms Exposed to Ionizing Radiation (vol 17, pg 126, 2017)</t>
  </si>
  <si>
    <t>Zucconi, L./U-9781-2018</t>
  </si>
  <si>
    <t>Zucconi, L./0000-0001-9793-2303</t>
  </si>
  <si>
    <t>Defense Threat Reduction Agency (DTRA) [HDTRA1-17-1-0013]</t>
  </si>
  <si>
    <t>Defense Threat Reduction Agency (DTRA)(United States Department of DefenseDefense Threat Reduction Agency)</t>
  </si>
  <si>
    <t>I.S. was supported by the Defense Threat Reduction Agency (DTRA) grant HDTRA1-17-1-0013.</t>
  </si>
  <si>
    <t>10.1089/ast.2015.1456.correx</t>
  </si>
  <si>
    <t>FE0EO</t>
  </si>
  <si>
    <t>WOS:000407893800008</t>
  </si>
  <si>
    <t>Wasilowska, A; Tatur, A; Pushina, Z; Barczuk, A; Verkulich, S</t>
  </si>
  <si>
    <t>Wasilowska, Agnieszka; Tatur, Andrzej; Pushina, Zinajda; Barczuk, Andrzej; Verkulich, Sergey</t>
  </si>
  <si>
    <t>Impact of the Little Ice Age' climate cooling on the maar lake ecosystem affected by penguins: A lacustrine sediment record, Penguin Island, West Antarctica</t>
  </si>
  <si>
    <t>HOLOCENE</t>
  </si>
  <si>
    <t>Antarctica; late-Holocene; Little Ice Age'; maar; paleolimnology; tephrochronology</t>
  </si>
  <si>
    <t>SOUTH-SHETLAND-ISLANDS; KING GEORGE ISLAND; LATE-HOLOCENE; ENVIRONMENTAL-CHANGE; DIATOM ASSEMBLAGES; FRAMBOIDAL PYRITE; BRANSFIELD BASIN; WATER CHEMISTRY; MARGUERITE BAY; ARDLEY ISLAND</t>
  </si>
  <si>
    <t>A Pliocene-age volcano on Penguin Island became active again in the Pleistocene/Holocene, forming the main cone of the island - Deacon Peak, and leaving late-Holocene phreatomagmatic craters, including Petrel Crater', about 200 m in diameter and filled currently by a maar lake with a flat bottom at 18 m water depth. Petrographic, geochemical, photosynthetic pigment, and diatom data from the 72-cm-long sediment core reveal that the crater was initially a marine lagoon with typical phytoplankton assemblages. Most probably, tectonic-volcanic activity about 1250 years ago, documented in tephra fallout, triggered an abrupt glacio-isostatic uplift that separated the lake from the sea. The horizon of tephra, probably from the Deception Island volcano, marks a sudden change in environment from brackish to lacustrine. The ecological evolution of the lake was initially constrained by an uplift, whereas the influence of marine water vanished with time, the lake became meromictic, and the freshwater mixolimnion layer expanded, while the monimolimnion became anoxic due to the influence of a penguin rookery situated on the shore. During the Little Ice Age' (LIA), the maar may have been covered by permanent ice. A discharge of mineralized guano from the possibly enlarged penguin rookery on the lake shore caused an expansion of the anoxic monimolimnion to the ice surface and an important reduction of autochthonous lacustrine biota of the maar, whereas a substantially increased participation of allochthonous biota passively supplied with guano. That record in the lake sediment core reaffirms the occurrence of a regional LIA event in the maritime Antarctic.</t>
  </si>
  <si>
    <t>[Wasilowska, Agnieszka; Tatur, Andrzej; Barczuk, Andrzej] Warsaw Univ, Fac Geol, Zwirki &amp; Wigury 93, PL-02089 Warsaw, Poland; [Pushina, Zinajda] VNII Okeangeol, St Petersburg, Russia; [Verkulich, Sergey] AARI, Dept Polar Geog, St Petersburg, Russia</t>
  </si>
  <si>
    <t>University of Warsaw; Arctic &amp; Antarctic Research Institute</t>
  </si>
  <si>
    <t>Wasilowska, A (corresponding author), Warsaw Univ, Fac Geol, Zwirki &amp; Wigury 93, PL-02089 Warsaw, Poland.</t>
  </si>
  <si>
    <t>al.wasilowska@uw.edu.pl</t>
  </si>
  <si>
    <t>Wasilowska, Agnieszka/0000-0002-9538-593X</t>
  </si>
  <si>
    <t>National Science Center, Poland [UMO - 2012/05/B/ST10/01130]</t>
  </si>
  <si>
    <t>National Science Center, Poland(National Science Centre, Poland)</t>
  </si>
  <si>
    <t>This work was carried out as part of the IMCOAST Project (PolarCLIMATE-PP-001) European Partnership in Polar Climate Science and supported by the project UMO - 2012/05/B/ST10/01130 financed by National Science Center, Poland.</t>
  </si>
  <si>
    <t>SAGE PUBLICATIONS LTD</t>
  </si>
  <si>
    <t>1 OLIVERS YARD, 55 CITY ROAD, LONDON EC1Y 1SP, ENGLAND</t>
  </si>
  <si>
    <t>0959-6836</t>
  </si>
  <si>
    <t>1477-0911</t>
  </si>
  <si>
    <t>Holocene</t>
  </si>
  <si>
    <t>10.1177/0959683616683254</t>
  </si>
  <si>
    <t>FD9CG</t>
  </si>
  <si>
    <t>WOS:000407819800006</t>
  </si>
  <si>
    <t>Valletta, RD; Willenbring, JK; Lewis, AR</t>
  </si>
  <si>
    <t>Valletta, Rachel D.; Willenbring, Jane K.; Lewis, Adam R.</t>
  </si>
  <si>
    <t>Difference Dating: A novel approach towards dating alpine glacial moraines</t>
  </si>
  <si>
    <t>QUATERNARY GEOCHRONOLOGY</t>
  </si>
  <si>
    <t>Difference Dating; Cosmogenic radionuclides; Inheritance; Dry Valleys</t>
  </si>
  <si>
    <t>SURFACE EXPOSURE AGES; DRY-VALLEYS; TAYLOR GLACIER; CLIMATE-CHANGE; HALF-LIFE; ANTARCTICA; BE-10; CHRONOLOGY; EROSION; ORIGIN</t>
  </si>
  <si>
    <t>The East Antarctic Ice Sheet responds sluggishly to shifts in climate. To capture subtle changes in Antarctic climate, researchers have focused instead on smaller alpine and cirque glaciers that fringe the ice sheet throughout the McMurdo Dry Valleys. The exposure ages of glacial moraine boulders scatter widely and often incorporate large amounts of inheritance, prohibiting the construction of a regional deglaciation chronology. We present a new sampling technique that takes advantage of ubiquitous desert pavements and allows for the detection of inheritance in overlying glacial moraine boulders. Our approach requires a large sample set, but offers increased confidence in modeling moraine age, an acceptable trade-off considering the need for more refined Antarctic paleoclimate reconstructions. Using the beryllium-10 system in sandstone quartz, we show that single exposure ages collected from moraine boulder tops are frequently inaccurate, and consistently over- and underestimate moraine age. Difference Dating offers a new approach to dating alpine glacial moraines independent from traditional boulder exposure age dating. (C) 2017 Elsevier B.V. All rights reserved.</t>
  </si>
  <si>
    <t>[Valletta, Rachel D.] Univ Penn, Dept Earth &amp; Environm Sci, Philadelphia, PA 19104 USA; [Willenbring, Jane K.] Scripps Inst Oceanog, Geosci Res Div, La Jolla, CA 92037 USA; [Lewis, Adam R.] North Dakota State Univ, Dept Geosci, Fargo, ND 58108 USA</t>
  </si>
  <si>
    <t>University of Pennsylvania; University of California System; University of California San Diego; Scripps Institution of Oceanography; North Dakota State University Fargo</t>
  </si>
  <si>
    <t>Valletta, RD (corresponding author), Univ Penn, Dept Earth &amp; Environm Sci, Philadelphia, PA 19104 USA.</t>
  </si>
  <si>
    <t>rachv@sas.upenn.edu; jwillenbring@ucsd.edu</t>
  </si>
  <si>
    <t>Willenbring, Jane/ABG-1300-2020; Willenbring, Jane/B-6431-2011</t>
  </si>
  <si>
    <t>Valletta, Rachel/0000-0001-9536-7099; Willenbring, Jane/0000-0003-2722-9537</t>
  </si>
  <si>
    <t>NSF [1043554]; Directorate For Geosciences; Office of Polar Programs (OPP) [1043554] Funding Source: National Science Foundation</t>
  </si>
  <si>
    <t>Funding for this work was provided by NSF Collaborative Research grant 1043554. We thank Greg Balco and Brent Goehring for their thoughtful commentary, which greatly improved this manuscript. Imagery from the University of Minnesota Polar Geospatial Center.</t>
  </si>
  <si>
    <t>1871-1014</t>
  </si>
  <si>
    <t>1878-0350</t>
  </si>
  <si>
    <t>QUAT GEOCHRONOL</t>
  </si>
  <si>
    <t>Quat. Geochronol.</t>
  </si>
  <si>
    <t>10.1016/j.quageo.2017.05.001</t>
  </si>
  <si>
    <t>FD4XK</t>
  </si>
  <si>
    <t>WOS:000407535300001</t>
  </si>
  <si>
    <t>Monti-Birkenmeier, M; Diociaiuti, T; Umani, SF; Meyer, B</t>
  </si>
  <si>
    <t>Monti-Birkenmeier, Marina; Diociaiuti, Tommaso; Umani, Serena Fonda; Meyer, Bettina</t>
  </si>
  <si>
    <t>Microzooplankton composition in the winter sea ice of the Weddell Sea</t>
  </si>
  <si>
    <t>aloricate ciliates; foraminifers; micrometazoans; sympagic protists; tintinnids</t>
  </si>
  <si>
    <t>COMMUNITY COMPOSITION; ANTARCTIC PENINSULA; PACK ICE; BIOTA; PROTISTS; ECOLOGY; CARBON; VOLUME</t>
  </si>
  <si>
    <t>Sympagic microzooplankton were studied during late winter in the northern Weddell Sea for diversity, abundance and carbon biomass. Ice cores were collected on an ice floe along three dive transects and seawater was taken from under the ice through the central dive hole from which all transects were connected. The areal and vertical microzooplankton distributions in the ice and water were compared. Abundance (max. 1300 ind. l(-1)) and biomass (max. 28.2 mu g C l(-1)) were high in the ice cores and low in the water below the sea ice (max. 19 ind. l(-1), 0.15 mu g C l(-1), respectively). The highest abundances were observed in the bottom 10 cm of the ice cores. The microzooplankton community within the sea ice comprised mainly aloricate ciliates, foraminifers and micrometazoans. In winter, microzooplankton represent an important fraction of the sympagic community in the Antarctic sea ice. They can potentially control microalgal production and contribute to particulate organic carbon concentrations when released into the water column during the ice melt in spring. Continued reduction of the sea ice may undermine the roles of microzooplankton, leading to a reduction or complete loss of diversity, abundance and biomass of these sympagic protists.</t>
  </si>
  <si>
    <t>[Monti-Birkenmeier, Marina] Ist Nazl Oceanog &amp; Geofis Sperimentale, Via A Piccard 54, I-34151 Trieste, Italy; [Diociaiuti, Tommaso; Umani, Serena Fonda] Univ Trieste, Dept Life Sci, Via L Giorgieri 10, I-34127 Trieste, Italy; [Meyer, Bettina] Alfred Wegener Inst, Sect Polar Biol Oceanog, Helmholtz Ctr Polar &amp; Marine Res, Handelshafen 12, D-27570 Bremerhaven, Germany; [Meyer, Bettina] Carl von Ossietzky Univ Oldenburg, Inst Chem &amp; Biol Marine Environm, Carl von Ossietzky Str 9-11, D-26111 Oldenburg, Germany</t>
  </si>
  <si>
    <t>Istituto Nazionale di Oceanografia e di Geofisica Sperimentale; University of Trieste; Helmholtz Association; Alfred Wegener Institute, Helmholtz Centre for Polar &amp; Marine Research; Carl von Ossietzky Universitat Oldenburg</t>
  </si>
  <si>
    <t>Monti-Birkenmeier, M (corresponding author), Ist Nazl Oceanog &amp; Geofis Sperimentale, Via A Piccard 54, I-34151 Trieste, Italy.</t>
  </si>
  <si>
    <t>mmonti@inogs.it</t>
  </si>
  <si>
    <t>monti, marina/O-2910-2015; Meyer, Bettina/ABB-5311-2020</t>
  </si>
  <si>
    <t>Meyer, Bettina/0000-0001-6804-9896; Monti, Marina/0000-0001-5198-7798</t>
  </si>
  <si>
    <t>Italian National Programme for Antarctica (PNRA)</t>
  </si>
  <si>
    <t>This work was supported by the Italian National Programme for Antarctica (PNRA). This project is a contribution to the research program PACES II (topic 1, work package 5) of the Alfred Wegener Institute. We would like to thank Laura Halbach and Hannelore Cantzler for analysing the chl a, POC and PON samples and Klaus Meiners for his advice on processing sea ice samples. Christopher Berrie is acknowledged for language revision. We are grateful to the two anonymous referees for their review comments and suggestions on the manuscript.</t>
  </si>
  <si>
    <t>10.1017/S0954102016000717</t>
  </si>
  <si>
    <t>FD7VK</t>
  </si>
  <si>
    <t>WOS:000407733900002</t>
  </si>
  <si>
    <t>Carapelli, A; Leo, C; Frati, F</t>
  </si>
  <si>
    <t>Carapelli, Antonio; Leo, Chiara; Frati, Francesco</t>
  </si>
  <si>
    <t>High levels of genetic structuring in the Antarctic springtail Cryptopygus terranovus</t>
  </si>
  <si>
    <t>Antarctica; biogeography; Collembola; cox1 haplotypes; Victoria Land</t>
  </si>
  <si>
    <t>VICTORIA LAND; GRESSITTACANTHA-TERRANOVA; POPULATION-STRUCTURE; GLACIAL REFUGIA; COLLEMBOLA; DIFFERENTIATION; VARIABILITY; DIVERSITY; HAPLOTYPE; SOFTWARE</t>
  </si>
  <si>
    <t>Previous work focused on allozymes and mitochondrial haplotypes has detected high levels of genetic variability between Cryptopygus terranovus populations, a springtail species endemic to Antarctica, until recently named Gressittacantha terranova. This study expands these biogeographical surveys using additional analytical techniques, providing a denser haplotype dataset and a wider sampling of localities. Specimens were collected from 11 sites across Victoria Land and sequenced for the cytochrome c oxidase subunit I mitochondrial gene (cox1). Haplotypes were used for population genetics, demographic, molecular clock and Bayesian phylogenetic analyses. Landscape distribution and clustering of haplotypes were also examined for the first time in this species. Only three (out of 67) haplotypes are shared among populations, suggesting high genetic structure and limited gene flow between sites. As in previous studies, the population of Apostrophe Island has a closer genetic similarity with those of the central sites, rather than with its neighbours. Molecular clock estimates point to early differentiation of haplotypes in the late/mid-Miocene, also supporting the view that C. terranovus is a relict species that survived on the Antarctic continent during the Last Glacial Maximum. The present genetic composition of populations represents a mixture of ancient and more recent haplotypes, sometimes occurring in the same localities.</t>
  </si>
  <si>
    <t>[Carapelli, Antonio; Leo, Chiara; Frati, Francesco] Univ Siena, Dept Life Sci, Via Aldo Moro 2, I-53100 Siena, Italy</t>
  </si>
  <si>
    <t>University of Siena</t>
  </si>
  <si>
    <t>Carapelli, A (corresponding author), Univ Siena, Dept Life Sci, Via Aldo Moro 2, I-53100 Siena, Italy.</t>
  </si>
  <si>
    <t>antonio.carapelli@unisi.it</t>
  </si>
  <si>
    <t>Carapelli, Antonio/H-9216-2019; Leo, Chiara/AAG-7672-2021</t>
  </si>
  <si>
    <t>Carapelli, Antonio/0000-0002-3165-9620; Leo, Chiara/0000-0003-0510-2535</t>
  </si>
  <si>
    <t>Italian PNRA; Italian MIUR (PRIN); University of Siena</t>
  </si>
  <si>
    <t>Italian PNRA(Ministry of Education, Universities and Research (MIUR)); Italian MIUR (PRIN)(Ministry of Education, Universities and Research (MIUR)Research Projects of National Relevance (PRIN)); University of Siena</t>
  </si>
  <si>
    <t>This work was funded by the Italian PNRA and the Italian MIUR (PRIN). Partial support was also provided by the University of Siena. We thank Prof Bettine van Vuuren and another anonymous reviewer for their constructive and helpful comments. We also thank Dr Nicola Iannotti for his collaboration with the collection of data and Prof Giuseppe Manganelli for helpful comments on the taxonomy of the species. All the authors declare no conflicts of interest, approve the draft of the manuscript.</t>
  </si>
  <si>
    <t>10.1017/S0954102016000730</t>
  </si>
  <si>
    <t>WOS:000407733900003</t>
  </si>
  <si>
    <t>Fuentes-Lillo, E; Cuba-Díaz, M; Troncoso-Castro, JM; Rondanelli-Reyes, M</t>
  </si>
  <si>
    <t>Fuentes-Lillo, Eduardo; Cuba-Diaz, Marely; Troncoso-Castro, Jose M.; Rondanelli-Reyes, Mauricio</t>
  </si>
  <si>
    <t>Seeds of non-native species in King George Island soil</t>
  </si>
  <si>
    <t>anthropization; Hypochaeris radicata; invasion; plant soil particles; Senecio jacobaea</t>
  </si>
  <si>
    <t>BIOLOGICAL INVASIONS; ANTARCTICA; TERRESTRIAL; ESTABLISHMENT; RISK</t>
  </si>
  <si>
    <t>The Antarctic terrestrial ecosystem is relatively simple and has low plant diversity. Taking into account the current effects of climate change and the exponential increase in visitors during the past 50 years, this ecosystem is very vulnerable to the arrival of non-native species. Fildes Peninsula, King George Island, is an area of high human impact due to the scientific and logistical activities that occur there making the area particularly interesting for the arrival of non-native species. In this study, we determine the spectrum of seeds arriving to the peninsula and being deposited in the topsoil. Soil samples were collected and analysed in order to identify and quantify plant material. The results indicate that there is a direct relationship between the sites where seeds were found and areas with higher levels of human activity on the peninsula. Eight species were identified, with the most common being Hypochaeris radicata and Senecio jacobaea. Seed quantification indicated that areas of high human activity are most vulnerable to the invasion and establishment of non-native species. This study is the first to demonstrate the presence of non-native seeds in the topsoil at Fildes Peninsula, Antarctica.</t>
  </si>
  <si>
    <t>[Fuentes-Lillo, Eduardo; Cuba-Diaz, Marely] Univ Concepcion, Lab Biotecnol &amp; Estudios Ambient, Escuela Ciencias &amp; Tecnol, Campus Los Angeles,Casilla 341, Juan Antonio Coloma 0201, Los Angeles, Chile; [Fuentes-Lillo, Eduardo; Troncoso-Castro, Jose M.; Rondanelli-Reyes, Mauricio] Univ Concepcion, Lab Palinol &amp; Ecol Vegetal, Escuela Ciencias &amp; Tecnol, Campus Los Angeles,Casilla 341, Juan Antonio Coloma 0201, Los Angeles, Chile</t>
  </si>
  <si>
    <t>Universidad de Concepcion; Universidad de Concepcion</t>
  </si>
  <si>
    <t>Cuba-Díaz, M (corresponding author), Univ Concepcion, Lab Biotecnol &amp; Estudios Ambient, Escuela Ciencias &amp; Tecnol, Campus Los Angeles,Casilla 341, Juan Antonio Coloma 0201, Los Angeles, Chile.</t>
  </si>
  <si>
    <t>mcuba@udec.cl</t>
  </si>
  <si>
    <t>Cuba-Diaz, Marely/V-3109-2019</t>
  </si>
  <si>
    <t>Cuba-Diaz, Marely/0000-0002-2981-0328; Fuentes-Lillo, Eduardo/0000-0001-5657-954X</t>
  </si>
  <si>
    <t>INACH [PR_05-15, INACH RG_02-13]</t>
  </si>
  <si>
    <t>INACH</t>
  </si>
  <si>
    <t>This research was funded with contributions by INACH (Chilean Antarctic Institute) PR_05-15 and INACH RG_02-13 projects. The authors wish to acknowledge the logistical support provided by the Chilean Air Force and Correos de Chile. We would like to thank International Journal Revisions (http://www.journalrevisions.com) for their English revision. Furthermore, we would like to acknowledge the reviewers, including Katarzyna Chwedorzewska, for helping us to make this study a more robust work.</t>
  </si>
  <si>
    <t>10.1017/S0954102017000037</t>
  </si>
  <si>
    <t>WOS:000407733900004</t>
  </si>
  <si>
    <t>Angel, JJS; Cantero, ALP</t>
  </si>
  <si>
    <t>Soto Angel, Joan J.; Pena Cantero, Alvaro L.</t>
  </si>
  <si>
    <t>Inhabitant or visitor? Unexpected finding of Aglaophenia (Cnidaria, Hydrozoa) in Antarctic waters</t>
  </si>
  <si>
    <t>Aglaophenia baggins; global climate change; new records; new species; Weddell Sea</t>
  </si>
  <si>
    <t>LONG-TERM CHANGES; MEDITERRANEAN SEA; HYDROIDS CNIDARIA; DISTURBANCE; BENTHOS; LITHODIDAE; DIVERSITY; JELLYFISH; SCYPHOZOA; CRUSTACEA</t>
  </si>
  <si>
    <t>Benthic hydrozoans are one of the most speciose and characteristic taxa from the Antarctic region, with a high number of endemic species, but diversity at the genus level is low and some families with world wide distribution are unrepresented. This is the case of the family Aglaopheniidae. A new species to science of the genus Aglaophenia Lamouroux has been found in the eastern end of the Weddell Sea, at depths of 65-116 m, within the material obtained by the German Antarctic expedition ANT XV/3. This finding constitutes a new record for the Weddell Sea fauna, the first evidence of the genus for the Polar Regions, and even the family Aglaopheniidae from Antarctic waters. The material has been accurately examined and described. Literature concerning the species of Aglaophenia from the sub-Antarctic and other close areas has been reviewed and, as a result, a checklist of 20 species, with their corresponding distribution, is given. The material examined does not agree with any of the species and therefore it is described as a new species. Some possible scenarios for the presence of an aglaopheniid in Antarctic waters are discussed (e.g. alien species, relict, global climate change, microhabitat).</t>
  </si>
  <si>
    <t>[Soto Angel, Joan J.] Univ Valencia, Inst Cavanilles Biodiversitat &amp; Biol Evolut, Grp Biodiversitat &amp; Evolucio Cnidaris, Valencia, Spain; Univ Valencia, Fac Ciencias Biol, Dept Zool, Lab Biol Marina, C Dr Moliner 50, E-46100 Valencia, Spain</t>
  </si>
  <si>
    <t>University of Valencia; University of Valencia</t>
  </si>
  <si>
    <t>Angel, JJS (corresponding author), Univ Valencia, Inst Cavanilles Biodiversitat &amp; Biol Evolut, Grp Biodiversitat &amp; Evolucio Cnidaris, Valencia, Spain.</t>
  </si>
  <si>
    <t>joan.soto@uv.es</t>
  </si>
  <si>
    <t>Cantero, Álvaro Luis Peña/F-7888-2016; Àngel, Joan J. Soto/AAS-6133-2021</t>
  </si>
  <si>
    <t>Conselleria d'Educacio, Investigacio, Cultura i Esport, Generalitat Valenciana, Spain [ACIF/2011/062]</t>
  </si>
  <si>
    <t>Conselleria d'Educacio, Investigacio, Cultura i Esport, Generalitat Valenciana, Spain</t>
  </si>
  <si>
    <t>The authors want to express their gratitude to the anonymous referees whose suggestions and constructive criticism improved the quality of the manuscript. The present project was supported by the Conselleria d'Educacio, Investigacio, Cultura i Esport, Generalitat Valenciana, Spain (ACIF/2011/062).</t>
  </si>
  <si>
    <t>10.1017/S0954102017000049</t>
  </si>
  <si>
    <t>WOS:000407733900005</t>
  </si>
  <si>
    <t>Nedbalová, L; Nyvlt, D; Lirio, JM; Kavan, J; Elster, J</t>
  </si>
  <si>
    <t>Nedbalova, Linda; Nyvlt, Daniel; Lirio, Juan Manuel; Kavan, Jan; Elster, Josef</t>
  </si>
  <si>
    <t>Current distribution of Branchinecta gaini on James Ross Island and Vega Island</t>
  </si>
  <si>
    <t>ANTARCTIC FAIRY SHRIMP; PENINSULA; ORIGINS; LAKES; LIFE</t>
  </si>
  <si>
    <t>[Nedbalova, Linda] Charles Univ Prague, Fac Sci, Vinicna 7, CR-12844 Prague, Czech Republic; [Nedbalova, Linda; Elster, Josef] CAS, Inst Bot, Dukelska 135, Trebon 37982, Czech Republic; [Nyvlt, Daniel; Kavan, Jan] Masaryk Univ, Fac Sci, Kotlarska 2, CS-61137 Brno, Czech Republic; [Lirio, Juan Manuel] Instituto Antarctico Argentino, 25 Mayo, RA-1143 San Martin, Buenos Aires, Argentina; [Elster, Josef] Univ South Bohemia, Ctr Polar Ecol, Fac Sci, Na Zlate Stoce 3, Ceske Budejovice 37005, Czech Republic</t>
  </si>
  <si>
    <t>Charles University Prague; Czech Academy of Sciences; Institute of Botany of the Czech Academy of Sciences; Masaryk University Brno; University of South Bohemia Ceske Budejovice</t>
  </si>
  <si>
    <t>Nedbalová, L (corresponding author), Charles Univ Prague, Fac Sci, Vinicna 7, CR-12844 Prague, Czech Republic.;Nedbalová, L (corresponding author), CAS, Inst Bot, Dukelska 135, Trebon 37982, Czech Republic.</t>
  </si>
  <si>
    <t>lindane@natur.cuni.cz</t>
  </si>
  <si>
    <t>Nyvlt, Daniel/J-6504-2019; Kavan, Jan/ACU-4986-2022; Nedbalová, Linda/AFF-8321-2022; Elster, Josef/B-1031-2008; Nedbalová, Linda/AAF-1001-2022</t>
  </si>
  <si>
    <t>Nyvlt, Daniel/0000-0002-6876-490X; Nedbalová, Linda/0000-0003-1800-714X; Nedbalová, Linda/0000-0003-1800-714X; Kavan, Jan/0000-0003-4524-3009; Elster, Josef/0000-0002-4535-5636</t>
  </si>
  <si>
    <t>Marie Curie Action IRSES [319718]; [LM2015078]; [PICTO 2010-0096]; [RVO67985939]</t>
  </si>
  <si>
    <t>Marie Curie Action IRSES; ; ;</t>
  </si>
  <si>
    <t>The research was supported by the projects LM2015078, PICTO 2010-0096 and RVO67985939. The authors would like to thank to the J.G. Mendel Czech Antarctic Station, the logistical support of Instituto Antartico Argentino and the EU research network IMCONet funded by the Marie Curie Action IRSES (No. 319718). The authors acknowledge the comments received from an anonymous reviewer.</t>
  </si>
  <si>
    <t>10.1017/S0954102017000128</t>
  </si>
  <si>
    <t>WOS:000407733900006</t>
  </si>
  <si>
    <t>Irurzun, MA; Chaparro, MAE; Sinito, AM; Gogorza, CSG; Nuñez, H; Nowaczyk, NR; Böhnel, HN</t>
  </si>
  <si>
    <t>Irurzun, M. A.; Chaparro, M. A. E.; Sinito, A. M.; Gogorza, C. S. G.; Nunez, H.; Nowaczyk, N. R.; Bohnel, H. N.</t>
  </si>
  <si>
    <t>Relative palaeointensity and reservoir effect on Lake Esmeralda, Antarctica</t>
  </si>
  <si>
    <t>dating; lake sediments; magnetic properties; palaeomagnetism</t>
  </si>
  <si>
    <t>SCHIRMACHER OASIS; HOLOCENE CLIMATE; EAST ANTARCTICA; PALMER-DEEP; RECORD; SEDIMENTS; HISTORY; CHRONOLOGY; PENINSULA; PATAGONIA</t>
  </si>
  <si>
    <t>Four cores from the bottom sediments of Lake Esmeralda, Vega Island, Antarctica (60 degrees 48'S, 57 degrees 37'W) were studied. Analysis of rock magnetics indicates that the main carriers of magnetization are ferrimagnetic minerals, predominantly pseudo-single-domain (titano-) magnetite with a small proportion of paramagnetic and antiferromagnetic minerals. The magnetic grain size of the samples is in the range of 1-5 mu m and the variation of the interparametric ratios is less than one order of magnitude. Demagnetization of the natural remanent magnetization shows a stable remanent magnetization in most of the samples. Thus, the samples fulfil the necessary conditions to calculate relative palaeointensity (RPI) and the curves obtained correlated with global models enabling dating of the cores. The 250 cm of sediment recovered spans the last 10 200 yr BP. Finally, some samples with high organic matter content were dated by accelerator mass spectrometry C-14. By comparison with the age defined by the RPI curves, a reservoir effect of c. 5200 years is suggested for this region of Vega Island.</t>
  </si>
  <si>
    <t>[Irurzun, M. A.; Chaparro, M. A. E.; Sinito, A. M.; Gogorza, C. S. G.] Consejo Nacl Invest Cient &amp; Tecn, UNCPBA, Ctr Invest Fis &amp; Ingn Ctr Prov Buenos Aires CIFIC, CICPBA, Pinto 399, RA-7000 Tandil, Argentina; [Nunez, H.] Inst Antartico Argentino, Cerrito 1248, RA-1010 Buenos Aires, DF, Argentina; [Nowaczyk, N. R.] Geoforschungszentrum Potsdam, Sect 3-3, D-14473 Potsdam, Germany; [Bohnel, H. N.] UNAM, Ctr Geociencias, Blvd Juriquilla 3001, Queretaro 76230, Mexico</t>
  </si>
  <si>
    <t>Consejo Nacional de Investigaciones Cientificas y Tecnicas (CONICET); Instituto Antartico Argentino; Helmholtz Association; Helmholtz-Center Potsdam GFZ German Research Center for Geosciences; Universidad Nacional Autonoma de Mexico</t>
  </si>
  <si>
    <t>Irurzun, MA (corresponding author), Consejo Nacl Invest Cient &amp; Tecn, UNCPBA, Ctr Invest Fis &amp; Ingn Ctr Prov Buenos Aires CIFIC, CICPBA, Pinto 399, RA-7000 Tandil, Argentina.</t>
  </si>
  <si>
    <t>airurzun@exa.unicen.edu.ar</t>
  </si>
  <si>
    <t>Chaparro, Marcos A.E./O-9042-2019</t>
  </si>
  <si>
    <t>Chaparro, Marcos A.E./0000-0003-2832-2151; Gogorza, Claudia/0000-0003-2982-1761; Irurzun, Alicia/0000-0002-4013-7808; Bohnel, Harald/0000-0002-3833-225X</t>
  </si>
  <si>
    <t>Universidad Nacional del Centro de la Provincia de Buenos Aires (UNCPBA); Direccion Nacional del Antartico (DNA); Universidad Nacional Autonoma de Mexico (UNAM); GeoForschungsZentrum (GFZ); Consejo Nacional de Investigaciones Cientificas y Tecnicas (CONICET); Agencia Nacional de Promocion Cientifica y Tecnologica (ANPCYT) [PICTO-2010-0096]; Bilateral CONICET/Consejo Nacional de Ciencia y Tecnologia (CONACYT) [207149, 1001/14-5131/15]</t>
  </si>
  <si>
    <t>Universidad Nacional del Centro de la Provincia de Buenos Aires (UNCPBA); Direccion Nacional del Antartico (DNA); Universidad Nacional Autonoma de Mexico (UNAM)(Universidad Nacional Autonoma de Mexico); GeoForschungsZentrum (GFZ); Consejo Nacional de Investigaciones Cientificas y Tecnicas (CONICET)(Consejo Nacional de Investigaciones Cientificas y Tecnicas (CONICET)); Agencia Nacional de Promocion Cientifica y Tecnologica (ANPCYT)(ANPCyTSpanish Government); Bilateral CONICET/Consejo Nacional de Ciencia y Tecnologia (CONACYT)</t>
  </si>
  <si>
    <t>The authors wish to thank the Universidad Nacional del Centro de la Provincia de Buenos Aires (UNCPBA), Direccion Nacional del Antartico (DNA), Universidad Nacional Autonoma de Mexico (UNAM), GeoForschungsZentrum (GFZ) and Consejo Nacional de Investigaciones Cientificas y Tecnicas (CONICET) for their financial support. This contribution was supported by the Agencia Nacional de Promocion Cientifica y Tecnologica (ANPCYT) project PICTO-2010-0096 and by the Bilateral CONICET/Consejo Nacional de Ciencia y Tecnologia (CONACYT) Project No. 207149 (H.N. Bohnel) and Res. 1001/14-5131/15 (M.A.E. Chaparro). The authors also thank Ing. J. Escalante for his help and support with the Curie balance, and Mr Pablo Zubeldia (Tech. CICPBA) for his help with the laboratory RPI measurements. The authors would also like to thank the two anonymous reviewers for their useful comments.</t>
  </si>
  <si>
    <t>10.1017/S0954102017000050</t>
  </si>
  <si>
    <t>WOS:000407733900008</t>
  </si>
  <si>
    <t>Massam, A; Sneed, SB; Lee, GP; Tuckwell, RR; Mulvaney, R; Mayewski, PA; Whitehouse, PL</t>
  </si>
  <si>
    <t>Massam, A.; Sneed, S. B.; Lee, G. P.; Tuckwell, R. R.; Mulvaney, R.; Mayewski, P. A.; Whitehouse, P. L.</t>
  </si>
  <si>
    <t>A comparison of annual layer thickness model estimates with observational measurements using the Berkner Island ice core, Antarctica</t>
  </si>
  <si>
    <t>age-depth model; chemistry; glaciology; mass spectrometry; ultra-high-resolution</t>
  </si>
  <si>
    <t>LASER-ABLATION; FIRN</t>
  </si>
  <si>
    <t>A model to estimate the annual layer thickness of deposited snowfall at a deep ice core site, compacted by vertical strain with respect to depth, is assessed using ultra-high-resolution laboratory analytical techniques. A recently established technique of high-resolution direct chemical analysis of ice using ultraviolet laser ablation inductively-coupled plasma mass spectrometry (LA ICP-MS) has been applied to ice from the Berkner Island ice core, and compared with results from lower resolution techniques conducted on parallel sections of ice. The results from both techniques have been analysed in order to assess the capability of each technique to recover seasonal cycles from deep Antarctic ice. Results do not agree with the annual layer thickness estimates from the age-depth model for individual samples &lt; 1m long as the model cannot reconstruct the natural variability present in annual accumulation. However, when compared with sections &gt; 4m long, the deviation between the modelled and observational layer thicknesses is minimized to within two standard deviations. This confirms that the model is capable of successfully estimating mean annual layer thicknesses around analysed sections. Furthermore, our results confirm that the LA ICP-MS technique can reliably recover seasonal chemical profiles beyond standard analytical resolution.</t>
  </si>
  <si>
    <t>[Massam, A.; Lee, G. P.; Tuckwell, R. R.; Mulvaney, R.] NERC, British Antarctic Survey, Madingley Rd, Cambridge CB3 0ET, England; [Massam, A.; Whitehouse, P. L.] Univ Durham, Dept Geog, South Rd, Durham DH1 3LE, England; [Sneed, S. B.; Mayewski, P. A.] Univ Maine, Climate Change Inst, 133 Sawyer Res Bldg, Orono, ME 04469 USA; [Lee, G. P.] Univ East Anglia, Sch Environm Sci, Norwich Res Pk, Norwich NR4 7TJ, Norfolk, England</t>
  </si>
  <si>
    <t>UK Research &amp; Innovation (UKRI); Natural Environment Research Council (NERC); NERC British Antarctic Survey; Durham University; University of Maine System; University of Maine Orono; University of East Anglia</t>
  </si>
  <si>
    <t>Massam, A (corresponding author), NERC, British Antarctic Survey, Madingley Rd, Cambridge CB3 0ET, England.;Massam, A (corresponding author), Univ Durham, Dept Geog, South Rd, Durham DH1 3LE, England.</t>
  </si>
  <si>
    <t>ashsam73@bas.ac.uk</t>
  </si>
  <si>
    <t>Mayewski, Paul Andrew/HRD-6969-2023</t>
  </si>
  <si>
    <t>Lee, Geoffrey/0000-0002-6636-2261; Whitehouse, Pippa/0000-0002-9092-3444; Tuckwell, Rebecca/0000-0002-6389-3091; Massam, Ashleigh/0000-0001-6138-4579</t>
  </si>
  <si>
    <t>Antarctic Science bursary; Natural Environment Research Council; US National Science Foundation; Natural Environment Research Council [1383571, 1510187, bas0100034] Funding Source: researchfish; NERC [bas0100034] Funding Source: UKRI</t>
  </si>
  <si>
    <t>Antarctic Science bursary; Natural Environment Research Council(UK Research &amp; Innovation (UKRI)Natural Environment Research Council (NERC)); US National Science Foundation(National Science Foundation (NSF)); Natural Environment Research Council(UK Research &amp; Innovation (UKRI)Natural Environment Research Council (NERC)); NERC(UK Research &amp; Innovation (UKRI)Natural Environment Research Council (NERC))</t>
  </si>
  <si>
    <t>An Antarctic Science bursary, a Natural Environment Research Council doctoral training grant, and the US National Science Foundation funded this research. We would also like to thank the editor and the two reviewers, whose comments much improved this manuscript.</t>
  </si>
  <si>
    <t>10.1017/S0954102017000025</t>
  </si>
  <si>
    <t>WOS:000407733900010</t>
  </si>
  <si>
    <t>Ramjauny, SUA; Alswaidan, IA; Jaufeerally-Safee, NB; Rhyman, L; Ramasami, P</t>
  </si>
  <si>
    <t>Ramjauny, S. U. A.; Alswaidan, I. A.; Jaufeerally-Safee, N. B.; Rhyman, L.; Ramasami, P.</t>
  </si>
  <si>
    <t>Exploring the potential energy surface of novel [H, S, Se, Br] species: a high level first principle study</t>
  </si>
  <si>
    <t>JOURNAL OF MOLECULAR MODELING</t>
  </si>
  <si>
    <t>Seleno-sulfide halogen; Isomerization; PES; CBS; CCSD(T); MP2</t>
  </si>
  <si>
    <t>CONFIGURATION-INTERACTION; CORRELATED CALCULATIONS; ATMOSPHERIC CHEMISTRY; ELECTRONIC-STRUCTURE; OZONE DEPLETION; ANTARCTIC OZONE; HARTREE-FOCK; CL; ISOMERS; S-2</t>
  </si>
  <si>
    <t>The characterization of the seleno-sulfide-bromo systems and the isomerization process on the [H, S, Se, Br] potential energy surface were investigated using state-of-the-art theoretical methods. The CCSD(T) and the MP2 levels of theory were employed along with the series of correlation consistent basis sets extrapolated to the complete basis set (CBS) limit in the optimization of the geometrical parameters and computation of electronic energies. The relative stability, in kcal mol(-1), at the CCSD(T)/CBS follows the trend: HSSeBr (0) &gt; HSeSBr (9.51) &gt; SSeHBr (24.02) &gt; SeSHBr (25.42). This order was observed in the previous study of the [H, S, Se, Cl] species. The structural parameters and vibrational frequencies of the [H, S, Se, Br] species are reported. This research work should be helpful to experimentalists in order to gain insights into these novel heteroatom molecules.</t>
  </si>
  <si>
    <t>[Ramjauny, S. U. A.; Jaufeerally-Safee, N. B.; Rhyman, L.; Ramasami, P.] Univ Mauritius, Fac Sci, Dept Chem, Computat Chem Grp, Reduit 80837, Mauritius; [Alswaidan, I. A.] King Saud Univ, Dept Pharmaceut Chem, Coll Pharm, Riyadh 11451, Saudi Arabia; [Rhyman, L.; Ramasami, P.] Univ Johannesburg, Dept Appl Chem, ZA-2028 Johannesburg, South Africa; [Rhyman, L.; Ramasami, P.] Univ Johannesburg, Dept Chem, POB 524, ZA-2006 Johannesburg, South Africa</t>
  </si>
  <si>
    <t>University of Mauritius; King Saud University; University of Johannesburg; University of Johannesburg</t>
  </si>
  <si>
    <t>Ramasami, P (corresponding author), Univ Mauritius, Fac Sci, Dept Chem, Computat Chem Grp, Reduit 80837, Mauritius.;Ramasami, P (corresponding author), Univ Johannesburg, Dept Appl Chem, ZA-2028 Johannesburg, South Africa.;Ramasami, P (corresponding author), Univ Johannesburg, Dept Chem, POB 524, ZA-2006 Johannesburg, South Africa.</t>
  </si>
  <si>
    <t>p.ramasami@uom.ac.mu</t>
  </si>
  <si>
    <t>Rhyman, Lydia/AAO-9592-2021</t>
  </si>
  <si>
    <t>Rhyman, Lydia/0000-0002-8624-8431; ramasami, ponnadurai/0000-0002-7272-3561</t>
  </si>
  <si>
    <t>International Scientific Partnership Program ISPP at King Saud University [0070]</t>
  </si>
  <si>
    <t>International Scientific Partnership Program ISPP at King Saud University</t>
  </si>
  <si>
    <t>The authors acknowledge facilities from their respective universities. The authors extend their appreciation to the International Scientific Partnership Program ISPP at King Saud University for funding this research work through ISPP# 0070.</t>
  </si>
  <si>
    <t>1610-2940</t>
  </si>
  <si>
    <t>0948-5023</t>
  </si>
  <si>
    <t>J MOL MODEL</t>
  </si>
  <si>
    <t>J. Mol. Model.</t>
  </si>
  <si>
    <t>10.1007/s00894-017-3410-0</t>
  </si>
  <si>
    <t>Biochemistry &amp; Molecular Biology; Biophysics; Chemistry, Multidisciplinary; Computer Science, Interdisciplinary Applications</t>
  </si>
  <si>
    <t>Biochemistry &amp; Molecular Biology; Biophysics; Chemistry; Computer Science</t>
  </si>
  <si>
    <t>FB7AO</t>
  </si>
  <si>
    <t>WOS:000406293700014</t>
  </si>
  <si>
    <t>Romanova, V; Hense, A</t>
  </si>
  <si>
    <t>Romanova, Vanya; Hense, Andreas</t>
  </si>
  <si>
    <t>Anomaly transform methods based on total energy and ocean heat content norms for generating ocean dynamic disturbances for ensemble climate forecasts</t>
  </si>
  <si>
    <t>Initialization of decadal forecast; Anomaly transform method; Orthogonal disturbances; Total energy norm</t>
  </si>
  <si>
    <t>PREDICTION SYSTEM; SINGULAR VECTORS; BRED VECTORS; COUPLED GCM; INITIALIZATION; PERTURBATIONS; VARIABILITY; CIRCULATION; SIMULATION; MODEL</t>
  </si>
  <si>
    <t>In our study we use the anomaly transform, a special case of ensemble transform method, in which a selected set of initial oceanic anomalies in space, time and variables are defined and orthogonalized. The resulting orthogonal perturbation patterns are designed such that they pick up typical balanced anomaly structures in space and time and between variables. The metric used to set up the eigen problem is taken either as the weighted total energy with its zonal, meridional kinetic and available potential energy terms having equal contributions, or the weighted ocean heat content in which a disturbance is applied only to the initial temperature fields. The choices of a reference state for defining the initial anomalies are such that either perturbations on seasonal timescales and or on interannual timescales are constructed. These project a-priori only the slow modes of the ocean physical processes, such that the disturbances grow mainly in the Western Boundary Currents, in the Antarctic Circumpolar Current and the El Nino Southern Oscillation regions. An additional set of initial conditions is designed to fit in a least square sense data from global ocean reanalysis. Applying the AT produced sets of disturbances to oceanic initial conditions initialized by observations of the MPIOM-ESM coupled model on T63L47/GR15 resolution, four ensemble and one hind-cast experiments were performed. The weighted total energy norm is used to monitor the amplitudes and rates of the fastest growing error modes. The results showed minor dependence of the instabilities or error growth on the selected metric but considerable change due to the magnitude of the scaling amplitudes of the perturbation patterns. In contrast to similar atmospheric applications, we find an energy conversion from kinetic to available potential energy, which suggests a different source of uncertainty generation in the ocean than in the atmosphere mainly associated with changes in the density field.</t>
  </si>
  <si>
    <t>[Romanova, Vanya; Hense, Andreas] Univ Bonn, Inst Meteorol, Hugel 20, D-53121 Bonn, Germany</t>
  </si>
  <si>
    <t>University of Bonn</t>
  </si>
  <si>
    <t>Romanova, V (corresponding author), Univ Bonn, Inst Meteorol, Hugel 20, D-53121 Bonn, Germany.</t>
  </si>
  <si>
    <t>romanova@uni-bonn.de</t>
  </si>
  <si>
    <t>German Federal Ministry of Research and Higher Education through AODA-PENG [FKZ 01LP1157A]; SPECS EU project</t>
  </si>
  <si>
    <t>German Federal Ministry of Research and Higher Education through AODA-PENG; SPECS EU project</t>
  </si>
  <si>
    <t>This work was funded by the German Federal Ministry of Research and Higher Education within the MiKlip program Module A through the AODA-PENG Project (FKZ 01LP1157A) and in cooperation with the MiKliP Module E VECAP project. This work is partly supported by SPECS EU project. The calculations were performed at the German Climate Computing Center (DKRZ) in Hamburg and for the evaluation purposes the VECAP standard tool was used.</t>
  </si>
  <si>
    <t>10.1007/s00382-015-2567-4</t>
  </si>
  <si>
    <t>WOS:000407244700003</t>
  </si>
  <si>
    <t>Shi, L; Alves, O; Wedd, R; Balmaseda, M; Chang, Y; Chepurin, G; Ferry, N; Fujii, Y; Gaillard, F; Good, S; Guinehut, S; Haines, K; Hernandez, F; Lee, T; Palmer, M; Peterson, KA; Masuda, S; Storto, A; Toyoda, T; Valdivieso, M; Vernieres, G; Wang, X; Yin, Y</t>
  </si>
  <si>
    <t>Shi, L.; Alves, O.; Wedd, R.; Balmaseda, M. A.; Chang, Y.; Chepurin, G.; Ferry, N.; Fujii, Y.; Gaillard, F.; Good, S. A.; Guinehut, S.; Haines, K.; Hernandez, F.; Lee, T.; Palmer, M.; Peterson, K. A.; Masuda, S.; Storto, A.; Toyoda, T.; Valdivieso, M.; Vernieres, G.; Wang, X.; Yin, Y.</t>
  </si>
  <si>
    <t>An assessment of upper ocean salinity content from the Ocean Reanalyses Inter-comparison Project (ORA-IP)</t>
  </si>
  <si>
    <t>Ocean reanalyses; Salinity content; Intercomparison</t>
  </si>
  <si>
    <t>NORTHERN NORTH-ATLANTIC; DATA ASSIMILATION; SURFACE SALINITY; TROPICAL PACIFIC; COUPLED MODEL; BARRIER LAYER; VARIABILITY; IMPACT; TEMPERATURE; ANOMALIES</t>
  </si>
  <si>
    <t>Many institutions worldwide have developed ocean reanalyses systems (ORAs) utilizing a variety of ocean models and assimilation techniques. However, the quality of salinity reanalyses arising from the various ORAs has not yet been comprehensively assessed. In this study, we assess the upper ocean salinity content (depth-averaged over 0-700 m) from 14 ORAs and 3 objective ocean analysis systems (OOAs) as part of the Ocean Reanalyses Intercomparison Project. Our results show that the best agreement between estimates of salinity from different ORAs is obtained in the tropical Pacific, likely due to relatively abundant atmospheric and oceanic observations in this region. The largest disagreement in salinity reanalyses is in the Southern Ocean along the Antarctic circumpolar current as a consequence of the sparseness of both atmospheric and oceanic observations in this region. The West Pacific warm pool is the largest region where the signal to noise ratio of reanalysed salinity anomalies is &gt; 1. Therefore, the current salinity reanalyses in the tropical Pacific Ocean may be more reliable than those in the Southern Ocean and regions along the western boundary currents. Moreover, we found that the assimilation of salinity in ocean regions with relatively strong ocean fronts is still a common problem as seen in most ORAs. The impact of the Argo data on the salinity reanalyses is visible, especially within the upper 500 m, where the interannual variability is large. The increasing trend in global-averaged salinity anomalies can only be found within the top 0-300 m layer, but with quite large diversity among different ORAs. Beneath the 300 m depth, the global-averaged salinity anomalies from most ORAs switch their trends from a slightly growing trend before 2002 to a decreasing trend after 2002. The rapid switch in the trend is most likely an artefact of the dramatic change in the observing system due to the implementation of Argo.</t>
  </si>
  <si>
    <t>[Shi, L.; Alves, O.; Wedd, R.; Yin, Y.] Bur Meteorol, Res &amp; Dev Branch, Melbourne, Vic, Australia; [Balmaseda, M. A.] European Ctr Medium Range Weather Forecasting ECM, Reading, Berks, England; [Chang, Y.] Princeton Univ, GFDL, Princeton, NJ 08544 USA; [Chepurin, G.] Univ Maryland, College Pk, MD 20742 USA; [Fujii, Y.; Toyoda, T.] Japan Meteorol Agcy, MRI, Tsukuba, Ibaraki, Japan; [Gaillard, F.] IFREMER, UMR 6523, LPO, CNRS,IRD,UBO, CS 10070, F-29280 Plouzane, France; [Good, S. A.; Palmer, M.; Peterson, K. A.] Met Off, Hadley Ctr, Exeter, Devon, England; [Guinehut, S.] CLS, Ramonville St Agne, France; [Haines, K.; Valdivieso, M.] Univ Reading, NCEO, Reading, Berks, England; [Ferry, N.; Hernandez, F.] Mercator Ocean, Ramonville St Agne, France; [Lee, T.] CALTECH, Jet Prop Lab, Pasadena, CA USA; [Masuda, S.] Japan Agcy Marine Earth Sci &amp; Technol, Res &amp; Dev Ctr Global Change, Yokosuka, Kanagawa, Japan; [Storto, A.] Euromediterranean Ctr Climate Change CMCC, Bologna, Italy; [Vernieres, G.] NASA, GMAO, Washington, DC 20546 USA; [Wang, X.] Univ Calif Los Angeles, Joint Inst Reg Earth Syst Sci &amp; Engn JIFRESSE, Los Angeles, CA USA; [Chang, Y.] Kongju Natl Univ, Dept Earth Sci, Gongju, South Korea; [Hernandez, F.] IRD, Toulouse, France</t>
  </si>
  <si>
    <t>Bureau of Meteorology - Australia; Melbourne Genomics Health Alliance; European Centre for Medium-Range Weather Forecasts (ECMWF); National Oceanic Atmospheric Admin (NOAA) - USA; Princeton University; University System of Maryland; University of Maryland College Park; Japan Meteorological Agency; Centre National de la Recherche Scientifique (CNRS); Ifremer; Institut de Recherche pour le Developpement (IRD); Universite de Bretagne Occidentale; Met Office - UK; Hadley Centre; UK Research &amp; Innovation (UKRI); Natural Environment Research Council (NERC); NERC National Centre for Earth Observation; University of Reading; National Aeronautics &amp; Space Administration (NASA); NASA Jet Propulsion Laboratory (JPL); California Institute of Technology; Japan Agency for Marine-Earth Science &amp; Technology (JAMSTEC); Centro Euro-Mediterraneo sui Cambiamenti Climatici (CMCC); National Aeronautics &amp; Space Administration (NASA); University of California System; University of California Los Angeles; Kongju National University; Institut de Recherche pour le Developpement (IRD)</t>
  </si>
  <si>
    <t>Shi, L (corresponding author), Bur Meteorol, Res &amp; Dev Branch, Melbourne, Vic, Australia.</t>
  </si>
  <si>
    <t>l.shi@bom.gov.au</t>
  </si>
  <si>
    <t>Storto, Andrea/AAH-3823-2019; Lee, Tong/AAZ-6447-2020; Hernandez, Fabrice/F-6642-2013; Lee, Tony/JDM-3564-2023; Peterson, K Andrew/HSE-9661-2023; Chepurin, Gennady/A-8773-2011</t>
  </si>
  <si>
    <t>Storto, Andrea/0000-0003-3856-8905; Lee, Tong/0000-0001-9817-2908; Hernandez, Fabrice/0000-0003-2152-0657; Peterson, K Andrew/0000-0002-9968-3539; Fujii, Yosuke/0000-0002-9230-3134; Alves, Oscar/0000-0002-8054-8636; Yin, Yonghong/0000-0001-7120-1529; Palmer, Matthew/0000-0001-7422-198X; Alonso Balmaseda, Magdalena/0000-0002-9611-8788; Chepurin, Gennady/0000-0002-0770-4460</t>
  </si>
  <si>
    <t>Natural Environment Research Council [nceo020004] Funding Source: researchfish; NERC [nceo020004] Funding Source: UKRI</t>
  </si>
  <si>
    <t>10.1007/s00382-015-2868-7</t>
  </si>
  <si>
    <t>WOS:000407244700015</t>
  </si>
  <si>
    <t>Jenouvrier, S; Garnier, J; Patout, F; Desvillettes, L</t>
  </si>
  <si>
    <t>Jenouvrier, Stephanie; Garnier, Jimmy; Patout, Florian; Desvillettes, Laurent</t>
  </si>
  <si>
    <t>Influence of dispersal processes on the global dynamics of Emperor penguin, a species threatened by climate change</t>
  </si>
  <si>
    <t>BIOLOGICAL CONSERVATION</t>
  </si>
  <si>
    <t>Habitat selection; Conspecific attraction; Density dependence; Distance of dispersal; Dispersion rate; Carrying capacity; Emperor penguin; Antarctica</t>
  </si>
  <si>
    <t>POPULATION-DYNAMICS; BREEDING DISPERSAL; PUBLIC INFORMATION; INFORMED DISPERSAL; HABITAT SELECTION; RESPONSES; BEHAVIOR; MODELS; METAPOPULATION; ADAPTATION</t>
  </si>
  <si>
    <t>Species endangered by rapid climate change may persist by tracking their optimal habitat; this depends on their dispersal characteristics. The Emperor penguin (EP) is an Antarctic seabird threatened by future sea ice change, currently under consideration for listing under the US Endangered Species Act. Indeed, a climate-dependent demographic model without dispersion projects that many EP colonies will decline by more than 50% from their current size by 2100, resulting in a dramatic global population decline. Here we assess whether or not dispersion could act as an ecological rescue, i.e. reverse the anticipated global population decline projected by a model without dispersion. To do so, we integrate detailed dispersal processes in a metapopulation model specifically, dispersal stages, dispersal distance, habitat structure, informed dispersal behaviors, and density-dependent dispersion rates. For EP, relative to a scenario without dispersion, dispersal can either offset or accelerate climate driven population declines; dispersal may increase the global population by up to 31% or decrease it by 65%, depending on the rate of emigration and distance individuals disperse. By developing simpler theoretical models, we demonstrate that the global population dynamic depends on the global landscape quality. In addition, the interaction among dispersal processes - dispersion rates, dispersal distance, and dispersal decisions - that influence landscape occupancy, impacts the global population dynamics. Our analyses bound the impact of between -colony emigration on global population size, and provide intuition as to the direction of population change depending on the EP dispersal characteristics. Our general model is flexible such that multiple dispersal scenarios could be implemented for a wide range of species to improve our understanding and predictions of species persistence under future global change.</t>
  </si>
  <si>
    <t>[Jenouvrier, Stephanie; Patout, Florian] Woods Hole Oceanog Inst, Dept Biol, MS-50, Woods Hole, MA 02543 USA; [Jenouvrier, Stephanie] Univ La Rochelle, CNRS, UMR 7372, Ctr Etud Biol Chize, F-79360 Villiers En Bois, France; [Garnier, Jimmy; Patout, Florian] Univ Savoie Mt Blanc, CNRS, LAMA, F-73000 Chambery, France; [Patout, Florian] UMPA, Ecole Normale Super Lyon, UMR CNRS 5669, 46 Allee Italie, F-69364 Lyon, France; [Patout, Florian; Desvillettes, Laurent] UPMC Univ Paris 06, Sorbonne Univ, CNRS,Univ Paris Diderot, UMR 7586,Inst Math Jussieu Paris Rive Gauche,Sorb, F-75013 Paris, France</t>
  </si>
  <si>
    <t>Woods Hole Oceanographic Institution; La Rochelle Universite; Centre National de la Recherche Scientifique (CNRS); CNRS - Institute of Ecology &amp; Environment (INEE); Centre National de la Recherche Scientifique (CNRS); Universite Savoie Mont Blanc; Ecole Normale Superieure de Lyon (ENS de LYON); Universite Paris Cite; Centre National de la Recherche Scientifique (CNRS); CNRS - National Institute for Mathematical Sciences (INSMI); Sorbonne Universite</t>
  </si>
  <si>
    <t>Jenouvrier, S (corresponding author), Woods Hole Oceanog Inst, Dept Biol, MS-50, Woods Hole, MA 02543 USA.;Jenouvrier, S (corresponding author), Univ La Rochelle, CNRS, UMR 7372, Ctr Etud Biol Chize, F-79360 Villiers En Bois, France.</t>
  </si>
  <si>
    <t>sjenouvrier@whoi.edu; jimmy.garnier@univ-smb.fr; florian.patout@ens-lyon.fr; desvillettes@math.univ-paris-diderot.fr</t>
  </si>
  <si>
    <t>Garnier, Jimmy/IYS-9099-2023; Garnier, Jimmy/AAH-8628-2021</t>
  </si>
  <si>
    <t>Garnier, Jimmy/0000-0002-0145-1028</t>
  </si>
  <si>
    <t>WHOI; Mission Blue/Biotherm; French National Research Agency [ANR-14-CE25-0013, ANR-13-BS01-0004]; Institute Paul Emile Victor [IPEV 109]; Terres Australes et Antarctiques Francaises</t>
  </si>
  <si>
    <t>WHOI; Mission Blue/Biotherm; French National Research Agency(Agence Nationale de la Recherche (ANR)); Institute Paul Emile Victor; Terres Australes et Antarctiques Francaises</t>
  </si>
  <si>
    <t>S. Jenouvrier acknowledges support from WHOI Unrestricted funds and Mission Blue/Biotherm; J.Garnier and L.Desvillettes acknowledge respectively the NONLOCAL project (ANR-14-CE25-0013) and the Kibord project (ANR-13-BS01-0004) from the French National Research Agency. We are also immensely grateful to the Banff International Research Station for the Mathematical Innovation and Discovery program and organizers of the workshop Impact of climate change on biological invasions and population distributions, where this collaborative project emerged. We thank H. Caswell and S. Wolf for their fruitful discussions; D. Ainley, K. Shiomi and anonymous reviewers for their careful reading of our manuscript and their many insightful comments and suggestions; E. Moberg for her critical comments on the manuscript and her participation in editing the manuscript. Finally, we acknowledge Institute Paul Emile Victor (Programme IPEV 109), and Terres Australes et Antarctiques Francaises for supporting the long-term program on Emperor penguins.</t>
  </si>
  <si>
    <t>0006-3207</t>
  </si>
  <si>
    <t>1873-2917</t>
  </si>
  <si>
    <t>BIOL CONSERV</t>
  </si>
  <si>
    <t>Biol. Conserv.</t>
  </si>
  <si>
    <t>A</t>
  </si>
  <si>
    <t>10.1016/j.biocon.2017.05.017</t>
  </si>
  <si>
    <t>Biodiversity Conservation; Ecology; Environmental Sciences</t>
  </si>
  <si>
    <t>FC9UG</t>
  </si>
  <si>
    <t>WOS:000407186000007</t>
  </si>
  <si>
    <t>Casal, P; Zhang, YF; Martin, JW; Pizarro, M; Jiménez, B; Dachs, J</t>
  </si>
  <si>
    <t>Casal, Paulo; Zhang, Yifeng; Martin, Jonathan W.; Pizarro, Mariana; Jimenez, Begon; Dachs, Jordi</t>
  </si>
  <si>
    <t>Role of Snow Deposition of Perfluoroalkylated Substances at Coastal Livingston Island (Maritime Antarctica)</t>
  </si>
  <si>
    <t>PERFLUOROOCTANE SULFONATE PFOS; KING GEORGE ISLAND; PERFLUORINATED COMPOUNDS; POLYFLUOROALKYL SUBSTANCES; ATMOSPHERIC TRANSPORT; ALKYL SUBSTANCES; GLOBAL SURVEY; FOOD-WEB; ACIDS; OCEAN</t>
  </si>
  <si>
    <t>Perfluoroalkyl substances (PFAS) are ubiquitous in the environment, including remote polar regions. To evaluate the role of snow deposition as an input of PFAS to Maritime Antarctica, fresh snow deposition, surface snow, streams from melted snow, coastal seawater, and plankton samples were collected over a three-month period (December 2014 February 2015) at Livingston Island. Local sources of PFASs were significant for perfluoroalkyl sulfonates (PFSAs) and C7-14 perfluoroalkyl carboxylates (PFCAs) in snow but limited to the transited areas of the research station. The concentrations of 14 ionizable PFAS (Sigma PFAS) in freshly deposited snow (760-3600 pg L-1) were 1 order of magnitude higher than those in background surface snow (82-430 pg L-1). Sigma PFAS ranged from 94 to 420 pg L-1 in seawater and from 3.1 to 16 ng g(d)(-1) in plankton. Ratios of individual PFAS concentrations in freshly deposited snow relative to surface snow (C-SD/C-Snow), snowmelt (C-SD/C-SM), and seawater (C-SD/C-SW) were close to 1 (from 0.44 to 1.4) for all perfluorooctanesulfonate (PFOS) isomers, suggesting that snowfall does not contribute significantly to PFOS in seawater. Conversely, these ratios for PFCAs ranged from 1 to 33 and were positively correlated with the number of carbons in the PFCA alkylated chain. These trends suggest that snow deposition, scavenging sea-salt aerosol bound PFAS, plays a role as a significant input of PFCAs to the Maritime Antarctica.</t>
  </si>
  <si>
    <t>[Casal, Paulo; Pizarro, Mariana; Dachs, Jordi] CSIC, Spanish Natl Res Council, Inst Environm Assessment &amp; Water Res, IDAEA, Barcelona 08034, Catalonia, Spain; [Zhang, Yifeng; Martin, Jonathan W.] Univ Alberta, Dept Lab Med &amp; Pathol, Div Analyt &amp; Environm Toxicol, Edmonton, AB T6G 2G3, Canada; [Jimenez, Begon] CSIC, Spanish Natl Res Council, Inst Organ Chem, Dept Instrumental Anal &amp; Environm Chem,IQOG, E-28006 Madrid, Spain</t>
  </si>
  <si>
    <t>Consejo Superior de Investigaciones Cientificas (CSIC); CSIC - Centro de Investigacion y Desarrollo Pascual Vila (CID-CSIC); CSIC - Instituto de Diagnostico Ambiental y Estudios del Agua (IDAEA); University of Alberta; Consejo Superior de Investigaciones Cientificas (CSIC); CSIC - Instituto de Quimica Organica General (IQOG)</t>
  </si>
  <si>
    <t>Dachs, J (corresponding author), CSIC, Spanish Natl Res Council, Inst Environm Assessment &amp; Water Res, IDAEA, Barcelona 08034, Catalonia, Spain.</t>
  </si>
  <si>
    <t>jordi.dachs@idaea.csic.es</t>
  </si>
  <si>
    <t>Martin, Jonathan W/J-3824-2013; Jiménez, Begoña/C-6324-2012</t>
  </si>
  <si>
    <t>Martin, Jonathan W/0000-0001-6265-4294; Jiménez, Begoña/0000-0002-2401-4648; Zhang, Yifeng/0000-0002-6454-4918; Dachs, Jordi/0000-0002-4237-169X</t>
  </si>
  <si>
    <t>Spanish Ministry of Economy and Competitiveness [REMAR-CA-CTM2012-34673, SENTINEL-CTM2015-70535-P]; Economy and Competiveness Ministry; NSERC</t>
  </si>
  <si>
    <t>Spanish Ministry of Economy and Competitiveness(Spanish Government); Economy and Competiveness Ministry; NSERC(Natural Sciences and Engineering Research Council of Canada (NSERC))</t>
  </si>
  <si>
    <t>The UTM and JC1 staff are acknowledged for their indispensable support during the Antarctic campaign 2014/2015. The AEMET is acknowledged for providing the meteorological data. This work has been financed by the Spanish Ministry of Economy and Competitiveness (REMAR-CA-CTM2012-34673, SENTINEL-CTM2015-70535-P). P.C. acknowledges a FPI fellowship from the Economy and Competiveness Ministry. Belen Gonzalez-Gaya is thanked for her logistical support and helpful comments during the sampling campaign planning phase. J.M. acknowledges financial support from an NSERC Discovery grant and Alberta Health for support of daily laboratory operations.</t>
  </si>
  <si>
    <t>10.1021/acs.est.7b02521</t>
  </si>
  <si>
    <t>FC6WO</t>
  </si>
  <si>
    <t>WOS:000406982600028</t>
  </si>
  <si>
    <t>Wang, F; Zhao, YL; Liu, YT; Yu, P; Yu, Z; Wang, JF; Xue, CH</t>
  </si>
  <si>
    <t>Wang, Fei; Zhao, Yanlei; Liu, Yuntao; Yu, Peng; Yu, Zhe; Wang, Jingfeng; Xue, Changhu</t>
  </si>
  <si>
    <t>Peptides from Antarctic krill (Euphausia superba) ameliorate senile osteoporosis via activating osteogenesis related BMP2/Smads and Wnt/-catenin pathway</t>
  </si>
  <si>
    <t>JOURNAL OF FOOD BIOCHEMISTRY</t>
  </si>
  <si>
    <t>Antarctic krill peptides; BMP2; Samds; Wnt; -catenin; osteogenesis; senile osteoporosis</t>
  </si>
  <si>
    <t>CANONICAL WNT; BONE LOSS; EXPRESSION; MINERALIZATION; SAMP6; BMP</t>
  </si>
  <si>
    <t>The senescence-accelerated mouse strain P6 (SAMP6) was applied to investigate the effect of treatment with peptides from Antarctic Krill (AKP) on senile osteoporosis in vivo. Results showed that AKP significantly increased bone mineral density, improved bone biomechanical properties, and ameliorated trabecular bone microstructure by promoting bone anabolism in SAMP6. Neonatal murine calvaria culture system further demonstrated that AKP stimulated osteoblast-induced new osteoid and bone formation ex vivo. The mechanism revealed that AKP induced the secretion and expression of bone morphogenetic protein 2 (BMP2), which was identified as a potent osteoinductive factor, and activated BMP2-dependent Smads signaling by phosphorylation of Smad1. Wnt signaling shares the same osteogenesis related transcriptional factor Runx2 with BMP2/Smads pathway. AKP also induced the activation of Wnt/-catenin signaling by upregulating the expression of Wnt10b and -catenin. In conclusion, AKP ameliorated senile osteoporosis by activating BMP2/Smads and Wnt/-catenin molecular pathways, thereby promoting bone formation. Practical applicationsAs a novel food material, Antarctic krill possesses an enormous biomass and utilization potential. It contains the largest amount of protein among all recorded organisms worldwide and the protein biological value is better than other animal proteins. This study demonstrated that peptides hydrolyzed from Antarctic Krill exhibit antiosteoporotic activity, which may provide some theoretical basis for the high-value of Antarctic Krill protein as antiosteoporotic functional foods in future.</t>
  </si>
  <si>
    <t>[Wang, Fei; Zhao, Yanlei; Yu, Peng; Yu, Zhe; Wang, Jingfeng; Xue, Changhu] Ocean Univ China, Coll Food Sci &amp; Engn, Qingdao 266003, Shandong, Peoples R China; [Liu, Yuntao] Shandong Oriental Ocean Sci Tech Co Ltd, Yantai 264003, Shandong, Peoples R China</t>
  </si>
  <si>
    <t>Wang, JF (corresponding author), Ocean Univ China, Coll Food Sci &amp; Engn, Qingdao 266003, Shandong, Peoples R China.</t>
  </si>
  <si>
    <t>jfwang@ouc.edu.cn</t>
  </si>
  <si>
    <t>yuntao, liu/AAO-6411-2020; wang, jing/GVT-8700-2022; 刘, 云涛/GQQ-5223-2022; wang, jing/GRS-7509-2022; wang, dan/JEF-0836-2023</t>
  </si>
  <si>
    <t>yuntao, liu/0000-0002-8320-8725;</t>
  </si>
  <si>
    <t>National Natural Science Foundation of China [31371876, 31571771]; Primary Research &amp; Development Plan of Shandong Province [2016YYSP017]</t>
  </si>
  <si>
    <t>National Natural Science Foundation of China(National Natural Science Foundation of China (NSFC)); Primary Research &amp; Development Plan of Shandong Province</t>
  </si>
  <si>
    <t>National Natural Science Foundation of China, Grant/Award Numbers: 31371876 and 31571771; Primary Research &amp; Development Plan of Shandong Province, Grant/Award Number 2016YYSP017</t>
  </si>
  <si>
    <t>0145-8884</t>
  </si>
  <si>
    <t>1745-4514</t>
  </si>
  <si>
    <t>J FOOD BIOCHEM</t>
  </si>
  <si>
    <t>J. Food Biochem.</t>
  </si>
  <si>
    <t>e12381</t>
  </si>
  <si>
    <t>10.1111/jfbc.12381</t>
  </si>
  <si>
    <t>Biochemistry &amp; Molecular Biology; Food Science &amp; Technology</t>
  </si>
  <si>
    <t>FC8IU</t>
  </si>
  <si>
    <t>WOS:000407085800010</t>
  </si>
  <si>
    <t>Dell'Acqua, O; Brey, T; Vacchi, M; Chiantore, M</t>
  </si>
  <si>
    <t>Dell'Acqua, Ombretta; Brey, Thomas; Vacchi, Marino; Chiantore, Mariachiara</t>
  </si>
  <si>
    <t>Predation impact of the notothenioid fish Trematomus bernacchii on the size structure of the scallop Adamussium colbecki in Terra Nova Bay (Ross Sea, Antarctica)</t>
  </si>
  <si>
    <t>Adamussium colbecki; Trematomus bernacchii; Trophic interaction; Predation model; Terra Nova Bay</t>
  </si>
  <si>
    <t>PREY SIZE; BODY-SIZE; DEPENDENT PREDATION; MARINE ECOSYSTEM; DAILY RATION; STRONGYLOCENTROTUS-FRANCISCANUS; CAPTURE SUCCESS; CLIMATE-CHANGE; FOOD WEBS; URCHIN</t>
  </si>
  <si>
    <t>Biotic interactions are particularly relevant in stable environments, such as the High Antarctic areas. Among them, predation has a key role in structuring community and population variables, including size-frequency distribution. This study aims to quantify the impact of predation by the notothenioid fish Trematomus bernacchii on the Antarctic scallop Adamussium colbecki-size distribution. We developed a model of this impact that estimates the size distribution of the preyed scallop population, taking into account for the predator-size distribution, sex structure, and daily consumption. Comparing this size distribution of the preyed A. colbecki with the living populations at Terra Nova Bay (Ross Sea, Antarctica), we were able to detect a relevant impact of fish predation. Fish-size frequency resulted to be the major factor shaping preysize structure, with significant differences between predation by males and females. Our findings, given the key role of the two species in the littoral ecosystem of Terra Nova Bay (Antarctic Special Protected Area 161), fall into the framework of ecosystem management of High Antarctic coastal areas, particularly in the actual context of climate change, and increasing anthropogenic impact.</t>
  </si>
  <si>
    <t>[Dell'Acqua, Ombretta; Chiantore, Mariachiara] Univ Genoa, DISTAV, Corso Europa 26, I-16132 Genoa, Italy; [Brey, Thomas] Alfred Wegener Inst, Columbusstr, D-27568 Bremerhaven, Germany; [Vacchi, Marino] CNR, ISMAR, Inst Marine Sci, Via Marini 6, I-16149 Genoa, Italy</t>
  </si>
  <si>
    <t>University of Genoa; Helmholtz Association; Alfred Wegener Institute, Helmholtz Centre for Polar &amp; Marine Research; Consiglio Nazionale delle Ricerche (CNR); Istituto di Scienze Marine (ISMAR-CNR)</t>
  </si>
  <si>
    <t>Dell'Acqua, O (corresponding author), Univ Genoa, DISTAV, Corso Europa 26, I-16132 Genoa, Italy.</t>
  </si>
  <si>
    <t>ombretta.dellacqua@gmail.com; Thomas.Brey@awi.de; marino.vacchi@ge.ismar.cnr.it; chiantor@dipteris.unige.it</t>
  </si>
  <si>
    <t>Chiantore, Mariachiara/C-7070-2017</t>
  </si>
  <si>
    <t>Chiantore, Mariachiara/0000-0002-5862-1470</t>
  </si>
  <si>
    <t>Progetto Nazionale Ricerche in Antartide (PNRA); Alfred Wegener Institute</t>
  </si>
  <si>
    <t>This study has been possible because of the ACAB project, which was supported by the Progetto Nazionale Ricerche in Antartide (PNRA). We are also grateful to the Alfred Wegener Institute for the support and contribute to the Master Thesis.</t>
  </si>
  <si>
    <t>10.1007/s00300-017-2077-4</t>
  </si>
  <si>
    <t>FC6PU</t>
  </si>
  <si>
    <t>WOS:000406963800008</t>
  </si>
  <si>
    <t>Rabert, C; Reyes-Díaz, M; Corcuera, LJ; Bravo, LA; Alberdi, M</t>
  </si>
  <si>
    <t>Rabert, Claudia; Reyes-Diaz, Marjorie; Corcuera, Luis J.; Bravo, Leon A.; Alberdi, Miren</t>
  </si>
  <si>
    <t>Contrasting nitrogen use efficiency of Antarctic vascular plants may explain their population expansion in Antarctica</t>
  </si>
  <si>
    <t>Antarctic vascular plant; Inorganic nitrogen; Nitrogen efficiency; Population expansion</t>
  </si>
  <si>
    <t>CLIMATE-CHANGE; DESCHAMPSIA-ANTARCTICA; COLOBANTHUS-QUITENSIS; AMMONIUM TOXICITY; SOIL MICROBES; ROOT-SYSTEM; CAPE-BIRD; GROWTH; MARITIME; NUTRITION</t>
  </si>
  <si>
    <t>Regional warming in Antarctic ecosystem profoundly influences soil nutrient processes, such as nitrogen mineralization, and potentially plant growth. This work evaluates the physiological responses to incremental dosage of inorganic nitrogen (ammonium or nitrate) in Deschampsia antarctica and Colobanthus quitensis, two Antarctic vascular plants. Nitrogen fertilization increased shoot biomass, specially leaf number and leaf area in both species, however, D. antarctica biomass increased 6.5 fold with ammonium and 4.0 fold with nitrate; meanwhile C. quitensis biomass increased 1.6 and 1.8 fold with each nitrogen source, respectively, in both cases respect to control plants with only basal nitrogen supply. Apparent recovery efficiency of nitrogen or uptake efficiency exhibited strong differences among the two species. D. antarctica showed a 12% recovery for ammonium and 5% for nitrate, while C. quitensis was less efficient (4% and 3%, respectively). These results are also consistent with higher nitrogen use efficiency (higher biomass production and carbon assimilation by unit of nitrogen) in D. antarctica than in C. quitensis. This study contributes additional evidence about how interspecific differences between nitrogen use efficiencies of these vascular Antarctic plants may explain the faster population spread experienced by D. antarctica than C. quitensis in Antarctica.</t>
  </si>
  <si>
    <t>[Rabert, Claudia; Bravo, Leon A.] Univ La Frontera, Lab Fisiol &amp; Biol Mol Vegetal, Fac Ciencias Agr &amp; Forestales, Casilla 54-D, Temuco, Chile; [Reyes-Diaz, Marjorie; Alberdi, Miren] Univ La Frontera, Dept Ciencias Quim &amp; Recursos Nat, Fac Ingn &amp; Ciencias, Casilla 54-D, Temuco, Chile; [Rabert, Claudia; Reyes-Diaz, Marjorie; Bravo, Leon A.; Alberdi, Miren] Univ La Frontera, Ctr Plant Soil Interact &amp; Nat Resources Biotechno, Sci &amp; Technol Bioresource Nucleus, Casilla 54-D, Temuco, Chile; [Corcuera, Luis J.] Univ Concepcion, Fac Ciencias Nat &amp; Oceanog, Dept Bot, Concepcion, Chile</t>
  </si>
  <si>
    <t>Universidad de La Frontera; Universidad de La Frontera; Universidad de La Frontera; Universidad de Concepcion</t>
  </si>
  <si>
    <t>Alberdi, M (corresponding author), Univ La Frontera, Dept Ciencias Quim &amp; Recursos Nat, Fac Ingn &amp; Ciencias, Casilla 54-D, Temuco, Chile.;Alberdi, M (corresponding author), Univ La Frontera, Ctr Plant Soil Interact &amp; Nat Resources Biotechno, Sci &amp; Technol Bioresource Nucleus, Casilla 54-D, Temuco, Chile.</t>
  </si>
  <si>
    <t>miren.alberdi@ufrontera.cl</t>
  </si>
  <si>
    <t>Corcuera, Luis J/G-1714-2014; Bravo, Leon/H-9251-2018; Bravo, León/AAO-8437-2020</t>
  </si>
  <si>
    <t>Bravo, Leon/0000-0003-4705-4842; Bravo, León/0000-0003-4705-4842; Rabert, Claudia/0000-0001-8179-9245</t>
  </si>
  <si>
    <t>Associative Research Program of CONICYT [CONICYT-PIA ART-1102]; INACH [AN-02-12]</t>
  </si>
  <si>
    <t>Associative Research Program of CONICYT; INACH</t>
  </si>
  <si>
    <t>This research was funded by The Associative Research Program of CONICYT (CONICYT-PIA ART-1102), INACH (AN-02-12). The authors thank Francisco Matus for his help with NUE estimations and the members of Arctowski Research Station for their collaboration with the logistics and with a great hospitality. Special thanks to Dr. Charles L. Guy for proof reading this manuscript. Permits for entrance and plant collection in the ASPA 128 were provided by The Chilean Antarctic Institute (INACH).</t>
  </si>
  <si>
    <t>10.1007/s00300-017-2079-2</t>
  </si>
  <si>
    <t>WOS:000406963800009</t>
  </si>
  <si>
    <t>Palinska, KA; Schneider, T; Surosz, W</t>
  </si>
  <si>
    <t>Palinska, K. A.; Schneider, T.; Surosz, W.</t>
  </si>
  <si>
    <t>Phenotypic and phylogenetic studies of benthic mat-forming cyanobacteria on the NW Svalbard</t>
  </si>
  <si>
    <t>Spits bergen; Arctic; Antarctic; Biogeography; Polyphasic approach</t>
  </si>
  <si>
    <t>MCMURDO ICE SHELF; FRESH-WATER; ANTARCTIC CYANOBACTERIA; MORPHOLOGICAL CHARACTERIZATION; PHOTOSYNTHETIC PERFORMANCE; MICROBIAL COMMUNITIES; PHORMIDIUM-AUTUMNALE; UV EXPOSURE; DRY VALLEYS; NEW-ZEALAND</t>
  </si>
  <si>
    <t>Cold habitats are diminishing as a result of climate change, while at the same time little is known of the diversity or biogeography of microbes that thrive in such environments. Furthermore, despite the evident importance of cyanobacteria in polar areas, there are hardly any studies focusing on the phylogenetic relationship between the Arctic and Antarctic cyanobacteria. Here, we described cyanobacterial mats as well as epi- and endoliths collected from shallow streams and rocks, respectively, in the northwestern part of Svalbard. Thirteen populations were identified and characterized by employing morphological and molecular (16S rRNA gene sequences) techniques. Our results were compared to analogous information (available from the GenBank) and related to organisms from similar environments located in the Northern and Southern Hemispheres. In general, the morphological and molecular characterizations complemented each other, and the identified Arctic populations belonged to the following orders: Oscillatoriales (6), Nostocales (6), and Chroococcales (1). Twelve of the identified polar populations showed high similarity (94-99% 16S rRNA gene sequence) when compared to other Arctic and Antarctic cyanobacteria. Mat builder Phormidium autumnale shared only 88% similarity with sequences deposited in the GenBank. Our results demonstrate remarkable similarities of microbial life of Svalbard to that in Antarctica and the High Himalayas. Our findings are a starting point for future comparative research of the benthic as well as endolithic populations of cyanobacteria from the Arctic and Antarctica that will yield new insights into the cold and dry limits of life on Earth. They imply global distributions of the low-temperature cyanobacterial populations throughout the cold terrestrial biosphere.</t>
  </si>
  <si>
    <t>[Palinska, K. A.; Surosz, W.] Univ Gdansk, Dept Marine Biol &amp; Ecol, Inst Oceanog, Al Pilsudskiego 46, PL-81378 Gdynia, Poland; [Palinska, K. A.; Schneider, T.] Carl von Ossietzky Univ Oldenburg, Plant Biodivers &amp; Evolut Grp, Dept Biol &amp; Environm Sci, POB 2503, D-26111 Oldenburg, Germany</t>
  </si>
  <si>
    <t>Fahrenheit Universities; University of Gdansk; Carl von Ossietzky Universitat Oldenburg</t>
  </si>
  <si>
    <t>Surosz, W (corresponding author), Univ Gdansk, Dept Marine Biol &amp; Ecol, Inst Oceanog, Al Pilsudskiego 46, PL-81378 Gdynia, Poland.</t>
  </si>
  <si>
    <t>waldemar.surosz@ug.edu.pl</t>
  </si>
  <si>
    <t>Palinska, Katarzyna/0000-0002-1484-6117</t>
  </si>
  <si>
    <t>DFG [PA 842/9-1]</t>
  </si>
  <si>
    <t>DFG(German Research Foundation (DFG))</t>
  </si>
  <si>
    <t>Research was supported by the DFG project PA 842/9-1. The authors thank Dr. Stefano Ventura and CNR-Polarnet for the use of the Italian polar station Dirigibile Italia in Ny-Alesund; Dr. Ewa Jarosz for the proof-reading of the manuscript and English improvement, and Jozef Wiktor jr for the preparation of the Svalbard map.</t>
  </si>
  <si>
    <t>10.1007/s00300-017-2083-6</t>
  </si>
  <si>
    <t>WOS:000406963800012</t>
  </si>
  <si>
    <t>Smith, SW; Karlsson, S</t>
  </si>
  <si>
    <t>Smith, Stuart W.; Karlsson, Susanna</t>
  </si>
  <si>
    <t>High stocks, but slow recovery, of ecosystem carbon in southern oceanic tussock grasslands</t>
  </si>
  <si>
    <t>Carbon; Falkland Islands; Peat; Poa flabellata; Restoration; Tussock</t>
  </si>
  <si>
    <t>FALKLAND-ISLANDS; SOIL CARBON; EROSION; STORAGE; PEAT; WIND; COMMUNITY; BIOMASS; POOLS; AREA</t>
  </si>
  <si>
    <t>Peat-forming large-tussock grasslands on oceanic and sub-Antarctic islands are fundamentally understudied in terms of carbon (C) storage. Here, we quantify both plant and soil C and nitrogen (N) storage for the large tussock grass Poa flabellata in the Falkland Islands, at its most northerly range. In this study, we adopt a spatially explicit sampling approach to accounting for tussock and inter-tussock (between tussocks) areas for three habitats; remnant stands (surviving clearance and overgrazing), restored stands (planted) and eroded bare peat sites. We found that remnant stands of P. flabellata have aboveground C densities of 49.8 +/- 9.7 Mg C ha(-1), equivalent to temperate and boreal forests. The majority of above-ground C is stored within the pedestal, a compact accumulation of dead leaves, rhizomes and roots. By surveying restored stands of increasing age we found that such C accrual may take longer than two decades. Soil C stocks were horizontally and vertically spatially variable and did not differ between habitat types. Plant and soil C and N stocks were strongly coupled identifying the important role of N availability for C accrual in this system. Scaling-up our results, planting tussock grass could accrue up to 0.9 million Mg C on a decadal timescale across the islands, yet the impact of replanting on soil C storage is likely to be more variable. Our results highlight the local and regional importance of large tussock grasslands as dense C stores and that land management and conservation of these communities needs to be more carbon-conscious.</t>
  </si>
  <si>
    <t>[Smith, Stuart W.; Karlsson, Susanna] Falklands Conservat, Ross Rd, Stanley FIQQ 1ZZ, Falkland Island; [Smith, Stuart W.] Norwegian Univ Sci &amp; Technol, Dept Biol, N-7491 Trondheim, Norway</t>
  </si>
  <si>
    <t>Norwegian University of Science &amp; Technology (NTNU)</t>
  </si>
  <si>
    <t>Smith, SW (corresponding author), Falklands Conservat, Ross Rd, Stanley FIQQ 1ZZ, Falkland Island.;Smith, SW (corresponding author), Norwegian Univ Sci &amp; Technol, Dept Biol, N-7491 Trondheim, Norway.</t>
  </si>
  <si>
    <t>stuart.smith@ntnu.no</t>
  </si>
  <si>
    <t>Smith, Stuart William/AAP-7996-2021</t>
  </si>
  <si>
    <t>Smith, Stuart William/0000-0001-9396-6610</t>
  </si>
  <si>
    <t>Darwin Plus Initiative Project via Department of Environment, Food and Rural Affairs, UK [DPLUS023]; Shackleton Scholarship Fund</t>
  </si>
  <si>
    <t>Darwin Plus Initiative Project via Department of Environment, Food and Rural Affairs, UK; Shackleton Scholarship Fund</t>
  </si>
  <si>
    <t>We are grateful to the farmers and landowners involved in this work and particularly the valuable insights and support from Ben Bernsten, Sally Poncet, Dion Poncet and Juliette Hennequin. Arwyn Edwards and Richard Hill provided analytical assistance to determine C and N concentrations. We would like to thank constructive inputs on earlier versions of manuscript from Rodney G. Burton, James D.M. Speed and Anne Jungblut. SWS was funded by Darwin Plus Initiative Project (DPLUS023) via Department of Environment, Food and Rural Affairs, UK and Shackleton Scholarship Fund (2015/2016).</t>
  </si>
  <si>
    <t>10.1007/s00300-017-2084-5</t>
  </si>
  <si>
    <t>WOS:000406963800013</t>
  </si>
  <si>
    <t>Abramova, E; Vishnyakova, I; Boike, J; Abramova, A; Solovyev, G; Martynov, F</t>
  </si>
  <si>
    <t>Abramova, E.; Vishnyakova, I.; Boike, J.; Abramova, A.; Solovyev, G.; Martynov, F.</t>
  </si>
  <si>
    <t>Structure of freshwater zooplankton communities from tundra waterbodies in the Lena River Delta, Russian Arctic, with a discussion on new records of glacial relict copepods</t>
  </si>
  <si>
    <t>Lena River Delta; Zooplankton composition; Distributions; Seasonality; Life cycles; Eurytemora arctica; Eurytemora foveola</t>
  </si>
  <si>
    <t>LIFE-CYCLE; LAPTEV SEA; PERMAFROST; CALANOIDA; PATTERNS; HISTORY; CLIMATE; SIBERIA; LAKES</t>
  </si>
  <si>
    <t>We present new and more complete information than previously available on the pelagic fauna of the Lena River Delta, eastern Siberia. Zooplankton samples collected between 2000 and 2011 from 11 varied aquatic habitats on Samoylov Island have been examined and clear differences noted between the zooplankton communities in different types of tundra waterbody. Well-marked synchronism in the development of common species populations was, however, revealed by analysis of their life cycles. The pelagic fauna of the investigated aquatic ecosystems is heterogeneous in origin, consisting mainly of aboriginal Arctic species but also including invasive species from more temperate latitudes and relicts of ice-age fauna. One hundred and twenty-five zooplankton taxa belonging to Rotifera (67) and Arthropoda (58) phyla were identified. Five Copepoda species and seven Cladocera species were recorded for the first time in the Lena River Delta; the presence of most of these species in the delta's aquatic ecosystems is associated with Lena River water influx during spring flood. Two calanoid copepods, Eurytemora arctica Wilson and Tash and Eurytemora foveola Johnson, are new species to Palearctic pelagic fauna, previously known only from the Nearctic. The data obtained provide new confirmation that the last glaciation had a marked influence on microcrustacean distributions within the Arctic.</t>
  </si>
  <si>
    <t>[Abramova, E.] Lena Delta Nat Reserve, Ak Fedorova 28, Tiksi 678400, Sakha Republic, Russia; [Vishnyakova, I.; Solovyev, G.] St Petersburg State Univ, Inst Earth Sci, 10th Line Vasiljevsky Isl 33-35, St Petersburg 199178, Russia; [Boike, J.] Helmholtz Ctr Polar &amp; Marine Res, Alfred Wegener Inst, Telegrafenberg A43, D-14473 Potsdam, Germany; [Abramova, A.] Univ Gothenburg, Dept Marine Sci, Guldhedsgatan 5a, S-40530 Gothenburg, Sweden; [Martynov, F.] Arctic &amp; Antarctic Res Inst, 38 Beringa Str, St Petersburg 199397, Russia</t>
  </si>
  <si>
    <t>Saint Petersburg State University; Helmholtz Association; Alfred Wegener Institute, Helmholtz Centre for Polar &amp; Marine Research; University of Gothenburg; Arctic &amp; Antarctic Research Institute</t>
  </si>
  <si>
    <t>Abramova, E (corresponding author), Lena Delta Nat Reserve, Ak Fedorova 28, Tiksi 678400, Sakha Republic, Russia.</t>
  </si>
  <si>
    <t>abramova-katya@mail.ru</t>
  </si>
  <si>
    <t>Boike, Julia/JZT-8129-2024</t>
  </si>
  <si>
    <t>Boike, Julia/0000-0002-5875-2112</t>
  </si>
  <si>
    <t>BMBF-Project Otto-Schmidt-Labor for Polar and Marine Science [03PLO37A, OSL-02-01]; Russian Foundation for Basic Research [17-04-00027]</t>
  </si>
  <si>
    <t>BMBF-Project Otto-Schmidt-Labor for Polar and Marine Science; Russian Foundation for Basic Research(Russian Foundation for Basic Research (RFBR)Spanish Government)</t>
  </si>
  <si>
    <t>This work was made possible by support from German and Russian funding agencies, i.e. the BMBF-Project Otto-Schmidt-Labor for Polar and Marine Science (03PLO37A)-Project OSL-02-01, and the Russian Foundation for Basic Research (Grant 17-04-00027). The authors would like to express their gratitude for the opportunity to carry out field and laboratory work at the Samoylov Island scientific station (Siberian Branch of RAS, Novosibirsk) and for the technical support provided. We would also like to thank all of our colleagues who helped with sample collection, especially Waldemar Schneider (AWI, Potsdam).</t>
  </si>
  <si>
    <t>10.1007/s00300-017-2087-2</t>
  </si>
  <si>
    <t>WOS:000406963800014</t>
  </si>
  <si>
    <t>Pellizzari, F; Silva, MC; Silva, EM; Medeiros, A; Oliveira, MC; Yokoya, NS; Pupo, D; Rosa, LH; Colepicolo, P</t>
  </si>
  <si>
    <t>Pellizzari, F.; Silva, M. C.; Silva, E. M.; Medeiros, A.; Oliveira, M. C.; Yokoya, N. S.; Pupo, D.; Rosa, L. H.; Colepicolo, P.</t>
  </si>
  <si>
    <t>Diversity and spatial distribution of seaweeds in the South Shetland Islands, Antarctica: an updated database for environmental monitoring under climate change scenarios</t>
  </si>
  <si>
    <t>Antarctic Peninsula; Checklist; Systematic; Variation patterns; Polar ecosystems</t>
  </si>
  <si>
    <t>ROSS SEA; MACROALGAE</t>
  </si>
  <si>
    <t>The present study characterizes the spatial distribution of seaweed diversity on eight islands from the South Shetlands based on an updated taxonomic survey, discussing the higher number of species compared with previous studies and the possible relationships with environmental parameters. Seaweeds were sampled in Deception, Livingston, Halfmoon, Robert, Nelson, King George, Penguin, and Elephant Islands during the austral summer between 2010 and 2013 in intertidal and shallow subtidal zones. The taxonomic analyses evaluated morphological characteristics, reproductive structures, and molecular features. Physicochemical parameters of seawater were also monitored using standard analytical methods. A total of 104 species of benthic marine algae were identified (28 Phaeophyceae, 24 Chlorophyta, and 52 Rhodophyta), similar to 82% of all seaweeds taxa described to Antarctica, including six new records previously recorded only at lower latitudes, four confirmed taxa, and two putative new species. Spatial variation in species diversity was observed among the collecting sites, and Livingston and King George Islands showed the highest diversity among the islands. Deception, an area with geothermal activity and intense tourism, was dominated by opportunistic and broadly distributed filamentous green algae. Antarctic macroalgae diversity was higher than in previous studies, most likely due to more efficient techniques of sampling, and combined taxonomical methods. However, changes in the biogeographical distribution or introduction of some taxa, resulting from anthropogenic activities and/or climate changes, should be considered. Therefore, the higher number of taxa and the new records reported in this study suggest the need for long-term monitoring in the area for conservation purposes.</t>
  </si>
  <si>
    <t>[Pellizzari, F.; Silva, M. C.; Silva, E. M.] Univ Estadual Parana, Dept Ciencias Biol, Lab Ficol &amp; Qualidade Agua Marinha, Campus Paranagua,Rua Comendador Correia Jr 117, BR-83203280 Paranagua, Brazil; [Medeiros, A.; Oliveira, M. C.] Univ Sao Paulo, Inst Biociencias, Dept Bot, Sao Paulo, Brazil; [Yokoya, N. S.; Pupo, D.] Inst Bot Sao Paulo, Sao Paulo, Brazil; [Rosa, L. H.] Univ Fed Minas Gerais, Dept Microbiol, Belo Horizonte, MG, Brazil; [Colepicolo, P.] Univ Sao Paulo, Inst Quim, Sao Paulo, Brazil</t>
  </si>
  <si>
    <t>Universidade de Sao Paulo; Instituto de Botanica - Sao Paulo; Universidade Federal de Minas Gerais; Universidade de Sao Paulo</t>
  </si>
  <si>
    <t>Pellizzari, F (corresponding author), Univ Estadual Parana, Dept Ciencias Biol, Lab Ficol &amp; Qualidade Agua Marinha, Campus Paranagua,Rua Comendador Correia Jr 117, BR-83203280 Paranagua, Brazil.</t>
  </si>
  <si>
    <t>franciane.pellizzari@unespar.edu.br</t>
  </si>
  <si>
    <t>Fapesp, Biota/F-8655-2017; Yokoya, Nair S/F-1571-2015; Pellizzari, Franciane M./JLL-6907-2023; C Oliveira, Mariana/G-2512-2012</t>
  </si>
  <si>
    <t>Fapesp, Biota/0000-0002-9887-8449; Pellizzari, Franciane/0000-0003-1877-2570; C Oliveira, Mariana/0000-0001-8495-2962; Santos Silva, Michelle/0000-0002-7534-2131</t>
  </si>
  <si>
    <t>PROANTAR (Brazilian Antarctic Program) [557030/2009-9, 407588/2013-2]; Brazilian Navy (Polar Ship Almirante Maximiano) [H41]; Brazilian Air Force; MMA (Ministry of Environment); MCTI (Ministry of Science, Technology and Innovation); CNPq (National Council of Research and Development); Araucaria Foundation of Parana State; FAPESP (Foundation of Research Support from Sao Paulo State)</t>
  </si>
  <si>
    <t>PROANTAR (Brazilian Antarctic Program); Brazilian Navy (Polar Ship Almirante Maximiano); Brazilian Air Force; MMA (Ministry of Environment); MCTI (Ministry of Science, Technology and Innovation); CNPq (National Council of Research and Development)(Conselho Nacional de Desenvolvimento Cientifico e Tecnologico (CNPQ)); Araucaria Foundation of Parana State; FAPESP (Foundation of Research Support from Sao Paulo State)(Fundacao de Amparo a Pesquisa do Estado de Sao Paulo (FAPESP))</t>
  </si>
  <si>
    <t>We thank PROANTAR (Brazilian Antarctic Program 557030/2009-9 and 407588/2013-2), the Brazilian Navy (Polar Ship Almirante Maximiano-H41), the Brazilian Air Force, MMA (Ministry of Environment), MCTI (Ministry of Science, Technology and Innovation), CNPq (National Council of Research and Development), Araucaria Foundation of Parana State, and FAPESP (Foundation of Research Support from Sao Paulo State).</t>
  </si>
  <si>
    <t>10.1007/s00300-017-2092-5</t>
  </si>
  <si>
    <t>WOS:000406963800017</t>
  </si>
  <si>
    <t>Cannone, N; Fratte, MD; Convey, P; Worland, MR; Guglielmin, M</t>
  </si>
  <si>
    <t>Cannone, Nicoletta; Fratte, Michele Dalle; Convey, Peter; Worland, M. Roger; Guglielmin, Mauro</t>
  </si>
  <si>
    <t>Ecology of moss banks on Signy Island (maritime Antarctic)</t>
  </si>
  <si>
    <t>BOTANICAL JOURNAL OF THE LINNEAN SOCIETY</t>
  </si>
  <si>
    <t>biotic and abiotic disturbance; deglaciation age; environmental factors; fur seal; mosses; topography; westerly winds</t>
  </si>
  <si>
    <t>ACTIVE LAYER; PEAT ACCUMULATION; SPECIES RICHNESS; CLIMATE; VEGETATION; VARIABILITY; DIVERSITY; LICHEN; AREA</t>
  </si>
  <si>
    <t>Mosses are dominant components of high-latitude environments, and Signy Island (maritime Antarctic) provides a representative example of polar cryptogam-dominated terrestrial ecosystems. In 2011, we mapped all moss banks, their characteristics (thickness, area, floristic composition) and investigated their relationship with selected environmental factors including topography (elevation, slope, aspect), biotic disturbance (fur seals), deglaciation age of the surfaces, location on the eastern vs. western side of the island and snow cover as a proxy of water supply during the summer (December). We here identify the most important environmental factors influencing moss bank characteristics and distribution and provide a baseline for future monitoring. Moss bank abundance and distribution are the result of the interaction of multiple abiotic and biotic factors acting at different spatial scales. The most important factors are the location of moss banks on the eastern vs. western side of the island at the macroscale (with thicker and larger moss banks and a prevalence of Chorisodontium aciphyllum on the western side) and their favourable aspect (mainly N, NW) at the microscale, providing better microclimatic conditions suitable for their development. The elevation threshold detected at 120 m could indicate the occurrence of a 'moss bank line', analogous to the tree line, and corresponds with a threshold of mean annual temperature of -4.8 degrees C. The other factors examined play a subsidiary role in affecting bank distribution and characteristics. These findings allow a better understanding of this key feature of maritime Antarctic vegetation and provide quantitative information about their ecology.</t>
  </si>
  <si>
    <t>[Cannone, Nicoletta; Fratte, Michele Dalle] Insubria Univ, Dept Sci &amp; High Technol, Via Valleggio 11, I-22100 Como, Italy; [Convey, Peter; Worland, M. Roger] British Antarctic Survey, Nat Environm Res Council, Madingley Rd, Cambridge CB3 0ET, England; [Guglielmin, Mauro] Insubria Univ, Dept Theoret &amp; Appl Sci, Via Dunant 3, I-21100 Varese, Italy</t>
  </si>
  <si>
    <t>University of Insubria; UK Research &amp; Innovation (UKRI); Natural Environment Research Council (NERC); NERC British Antarctic Survey; University of Insubria</t>
  </si>
  <si>
    <t>Cannone, N (corresponding author), Insubria Univ, Dept Sci &amp; High Technol, Via Valleggio 11, I-22100 Como, Italy.</t>
  </si>
  <si>
    <t>nicoletta.cannone@uninsubria.it</t>
  </si>
  <si>
    <t>Convey, Peter/AAV-5728-2020; Cannone, Nicoletta/W-8651-2019; Fratte, Michele Dalle/A-8918-2015</t>
  </si>
  <si>
    <t>Convey, Peter/0000-0001-8497-9903; Cannone, Nicoletta/0000-0002-3390-3965; Fratte, Michele Dalle/0000-0002-7907-1586</t>
  </si>
  <si>
    <t>PNRA (Programma Nazionale di Ricerche in Antartide) [2013/C1.01]; NERC (Natural Environment Research Council); BAS (British Antarctic Survey); NERC [bas0100036] Funding Source: UKRI; Natural Environment Research Council [bas0100036] Funding Source: researchfish</t>
  </si>
  <si>
    <t>PNRA (Programma Nazionale di Ricerche in Antartide); NERC (Natural Environment Research Council)(UK Research &amp; Innovation (UKRI)Natural Environment Research Council (NERC)); BAS (British Antarctic Survey); NERC(UK Research &amp; Innovation (UKRI)Natural Environment Research Council (NERC)); Natural Environment Research Council(UK Research &amp; Innovation (UKRI)Natural Environment Research Council (NERC))</t>
  </si>
  <si>
    <t>We thank PNRA (Programma Nazionale di Ricerche in Antartide, project 2013/C1.01), NERC (Natural Environment Research Council) and BAS (British Antarctic Survey) for funding and logistical support. This paper contributes to the SCAR AntEco (State of the Antarctic Environment) research programme.</t>
  </si>
  <si>
    <t>0024-4074</t>
  </si>
  <si>
    <t>1095-8339</t>
  </si>
  <si>
    <t>BOT J LINN SOC</t>
  </si>
  <si>
    <t>Bot. J. Linnean Soc.</t>
  </si>
  <si>
    <t>10.1093/botlinnean/box040</t>
  </si>
  <si>
    <t>FC6IJ</t>
  </si>
  <si>
    <t>WOS:000406943300007</t>
  </si>
  <si>
    <t>Scott, RC; Lubin, D; Vogelmann, AM; Kato, S</t>
  </si>
  <si>
    <t>Scott, Ryan C.; Lubin, Dan; Vogelmann, Andrew M.; Kato, Seiji</t>
  </si>
  <si>
    <t>West Antarctic Ice Sheet Cloud Cover and Surface Radiation Budget from NASA A-Train Satellites</t>
  </si>
  <si>
    <t>MIXED-PHASE CLOUDS; GREENLAND ICE; CLIMATE; MELT; ACCELERATION; ACCUMULATION; TEMPERATURE; VARIABILITY; SNOWMELT; COLLAPSE</t>
  </si>
  <si>
    <t>Clouds are an essential parameter of the surface energy budget influencing the West Antarctic Ice Sheet (WAIS) response to atmospheric warming and net contribution to global sea level rise. A 4-yr record of NASA A-Train cloud observations is combined with surface radiation measurements to quantify the WAIS radiation budget and constrain the three-dimensional occurrence frequency, thermodynamic phase partitioning, and surface radiative effect of clouds over West Antarctica (WA). The skill of satellite-modeled radiative fluxes is confirmed through evaluation against measurements at four Antarctic sites (WAIS Divide ice camp and Neumayer, Syowa, and Concordia stations). Owing to perennial high-albedo snow and ice cover, cloud infrared emission dominates over cloud solar reflection and absorption leading to a positive net all-wave cloud radiative effect (CRE) at the surface, with all monthly means and 99.15% of instantaneous CRE values exceeding zero. The annual-mean CRE at the WAIS surface is 34Wm(-2), representing a significant cloud-induced warming of the ice sheet. Low-level liquid-containing clouds, including thin liquid water clouds implicated in radiative contributions to surface melting, are widespread and most frequent in WA during the austral summer. In summer, clouds warm the WAIS by 26Wm(-2), on average, despite maximum offsetting shortwave CRE. Glaciated cloud systems are strongly linked to orographic forcing, with maximum incidence on the WAIS continuing downstream along the Transantarctic Mountains.</t>
  </si>
  <si>
    <t>[Scott, Ryan C.; Lubin, Dan] Scripps Inst Oceanog, La Jolla, CA 92037 USA; [Vogelmann, Andrew M.] Brookhaven Natl Lab, Upton, NY 11973 USA; [Kato, Seiji] NASA, Langley Res Ctr, Hampton, VA 23665 USA</t>
  </si>
  <si>
    <t>University of California System; University of California San Diego; Scripps Institution of Oceanography; United States Department of Energy (DOE); Brookhaven National Laboratory; National Aeronautics &amp; Space Administration (NASA); NASA Langley Research Center</t>
  </si>
  <si>
    <t>Scott, RC (corresponding author), Scripps Inst Oceanog, La Jolla, CA 92037 USA.</t>
  </si>
  <si>
    <t>rcscott@ucsd.edu</t>
  </si>
  <si>
    <t>Keyes, Dennis/AAZ-9285-2021; Vogelmann, Andrew/M-8779-2014</t>
  </si>
  <si>
    <t>Vogelmann, Andrew/0000-0003-1918-5423; Scott, Ryan/0000-0002-9182-0834</t>
  </si>
  <si>
    <t>NASA Earth and Space Science Fellowship Program [NNX15AN45H]; U.S. National Science Foundation (NSF) [PLR-1141939]; U.S. Department of Energy (DOE) [DE-SC0012704]; U.S. NSF Division of Polar Programs [PLR-1443549]; Directorate For Geosciences; Office of Polar Programs (OPP) [1141939, 1443549] Funding Source: National Science Foundation; NASA [798512, NNX15AN45H] Funding Source: Federal RePORTER</t>
  </si>
  <si>
    <t>NASA Earth and Space Science Fellowship Program(National Aeronautics &amp; Space Administration (NASA)); U.S. National Science Foundation (NSF)(National Science Foundation (NSF)); U.S. Department of Energy (DOE)(United States Department of Energy (DOE)); U.S. NSF Division of Polar Programs(National Science Foundation (NSF)); Directorate For Geosciences; Office of Polar Programs (OPP)(National Science Foundation (NSF)NSF - Directorate for Geosciences (GEO)); NASA(National Aeronautics &amp; Space Administration (NASA))</t>
  </si>
  <si>
    <t>R.C.S. is supported by the NASA Earth and Space Science Fellowship Program under NNX15AN45H. The first two authors acknowledge additional support from the U.S. National Science Foundation (NSF) under PLR-1141939. A.M. Vogelmann is supported by U.S. Department of Energy (DOE) Grant DE-SC0012704. We thank David Rutan of Science Systems and Applications, Inc., for useful discussions and for providing the BSRN surface radiation measurements. Valuable comments from three anonymous reviewers helped to improve the manuscript. AWARE is supported by the DOE ARM Program as an ARM mobile facility campaign and by the U.S. NSF Division of Polar Programs under PLR-1443549. AWARE data are available at the ARM data archive (http://www.arm.gov). 2B-CLDCLASS-lidar and CERES C3M data are available, respectively, from the CloudSat Data Processing Center (http://www.cloudsat.cira.colostate.edu/) and the NASA Langley Atmospheric Science Data Center (http://eosweb.larc.nasa.gov).</t>
  </si>
  <si>
    <t>10.1175/JCLI-D-16-0644.1</t>
  </si>
  <si>
    <t>FB3KA</t>
  </si>
  <si>
    <t>WOS:000406040200006</t>
  </si>
  <si>
    <t>Nagy, JM; Ade, PAR; Amiri, M; Benton, SJ; Bergman, AS; Bihary, R; Bock, JJ; Bond, JR; Bryan, SA; Chiang, HC; Contaldi, CR; Doré, O; Duivenvoorden, AJ; Eriksen, HK; Farhang, M; Filippini, JP; Fissel, LM; Fraisse, AA; Freese, K; Galloway, M; Gambrel, AE; Gandilo, NN; Ganga, K; Gudmundsson, JE; Halpern, M; Hartley, J; Hasselfield, M; Hilton, G; Holmes, W; Hristov, VV; Huang, Z; Irwin, KD; Jones, WC; Kuo, CL; Kermish, ZD; Li, S; Mason, PV; Megerian, K; Moncelsi, L; Morford, TA; Netterfield, CB; Nolta, M; Padilla, IL; Racine, B; Rahlin, AS; Reintsema, C; Ruhl, JE; Runyan, MC; Ruud, TM; Shariff, JA; Soler, JD; Song, X; Trangsrud, A; Tucker, C; Tucker, RS; Turner, AD; Van Der List, JF; Weber, AC; Wehus, IK; Wiebe, DV; Young, EY</t>
  </si>
  <si>
    <t>Nagy, J. M.; Ade, P. A. R.; Amiri, M.; Benton, S. J.; Bergman, A. S.; Bihary, R.; Bock, J. J.; Bond, J. R.; Bryan, S. A.; Chiang, H. C.; Contaldi, C. R.; Dore, O.; Duivenvoorden, A. J.; Eriksen, H. K.; Farhang, M.; Filippini, J. P.; Fissel, L. M.; Fraisse, A. A.; Freese, K.; Galloway, M.; Gambrel, A. E.; Gandilo, N. N.; Ganga, K.; Gudmundsson, J. E.; Halpern, M.; Hartley, J.; Hasselfield, M.; Hilton, G.; Holmes, W.; Hristov, V. V.; Huang, Z.; Irwin, K. D.; Jones, W. C.; Kuo, C. L.; Kermish, Z. D.; Li, S.; Mason, P. V.; Megerian, K.; Moncelsi, L.; Morford, T. A.; Netterfield, C. B.; Nolta, M.; Padilla, I. L.; Racine, B.; Rahlin, A. S.; Reintsema, C.; Ruhl, J. E.; Runyan, M. C.; Ruud, T. M.; Shariff, J. A.; Soler, J. D.; Song, X.; Trangsrud, A.; Tucker, C.; Tucker, R. S.; Turner, A. D.; Van Der List, J. F.; Weber, A. C.; Wehus, I. K.; Wiebe, D. V.; Young, E. Y.</t>
  </si>
  <si>
    <t>A New Limit on CMB Circular Polarization from SPIDER</t>
  </si>
  <si>
    <t>ASTROPHYSICAL JOURNAL</t>
  </si>
  <si>
    <t>cosmic background radiation</t>
  </si>
  <si>
    <t>HALF-WAVE PLATE; MICROWAVE BACKGROUND ASTRONOMY; SUBMILLIMETER INSTRUMENTS</t>
  </si>
  <si>
    <t>We present a new upper limit on cosmic microwave background (CMB) circular polarization from the 2015 flight of SPIDER, a balloon-borne telescope designed to search for B-mode linear polarization from cosmic inflation. Although the level of circular polarization in the CMB is predicted to be very small, experimental limits provide a valuable test of the underlying models. By exploiting the nonzero circular-to-linear polarization coupling of the half-wave plate polarization modulators, data from SPIDER's 2015 Antarctic flight provide a constraint on Stokes V at 95 and 150 GHz in the range 33 &lt; l &lt; 307. No other limits exist over this full range of angular scales, and SPIDER improves on the previous limit by several orders of magnitude, providing 95% C.L. constraints on l (l + 1)C-l(VV) /(2 pi) ranging from 141 to 255 mu K-2 at 150 GHz for a thermal CMB spectrum. As linear CMB polarization experiments become increasingly sensitive, the techniques described in this paper can be applied to obtain even stronger constraints on circular polarization.</t>
  </si>
  <si>
    <t>[Nagy, J. M.; Bihary, R.; Ruhl, J. E.] Case Western Reserve Univ, Dept Phys, 10900 Euclid Ave,Rockefeller Bldg, Cleveland, OH 44106 USA; [Ade, P. A. R.; Tucker, C.] Cardiff Univ, Sch Phys &amp; Astron, Cardiff CF24 3AA, S Glam, Wales; [Amiri, M.; Halpern, M.; Wiebe, D. V.] Univ British Columbia, Dept Phys &amp; Astron, 6224 Agr Rd, Vancouver, BC V6T 1Z1, Canada; [Benton, S. J.; Bergman, A. S.; Fraisse, A. A.; Gambrel, A. E.; Kermish, Z. D.; Li, S.; Van Der List, J. F.; Young, E. Y.] Princeton Univ, Dept Phys, Jadwin Hall, Princeton, NJ 08544 USA; [Bock, J. J.; Dore, O.; Hristov, V. V.; Mason, P. V.; Moncelsi, L.; Morford, T. A.; Trangsrud, A.; Tucker, R. S.] CALTECH, Div Phys Math &amp; Astron, MS 367-17,1200 E Calif Blvd, Pasadena, CA 91125 USA; [Bock, J. J.; Dore, O.; Holmes, W.; Megerian, K.; Runyan, M. C.; Trangsrud, A.; Turner, A. D.] Jet Prop Lab, Pasadena, CA 91109 USA; [Bond, J. R.; Farhang, M.; Huang, Z.; Nolta, M.; Shariff, J. A.] Univ Toronto, Canadian Inst Theoret Astrophys, 60 St George St, Toronto, ON M5S 3H8, Canada; [Bryan, S. A.] Arizona State Univ, Sch Earth &amp; Space Explorat, 781 S Terrace Rd, Tempe, AZ 85287 USA; [Chiang, H. C.] Univ KwaZulu Natal, Sch Math Stat &amp; Comp Sci, Durban, South Africa; [Chiang, H. C.] Natl Inst Theoret Phys NITheP, Kwa Zulu, South Africa; [Contaldi, C. R.] Imperial Coll London, Blackett Lab, London SW7 2AZ, England; [Duivenvoorden, A. J.; Freese, K.; Gudmundsson, J. E.] Stockholm Univ, Oskar Klein Ctr Cosmoparticle Phys, Dept Phys, SE-10691 Stockholm, Sweden; [Eriksen, H. K.; Racine, B.; Ruud, T. M.] Univ Oslo, Inst Theoret Astrophys, POB 1029 Blindern, NO-0315 Oslo, Norway; [Farhang, M.; Fissel, L. M.; Li, S.; Netterfield, C. B.; Padilla, I. L.] Univ Toronto, Dept Astron &amp; Astrophys, 50 St George St, Toronto, ON M5S 3H4, Canada; [Filippini, J. P.] Univ Illinois, Dept Phys, 1110 W Green St, Urbana, IL 61801 USA; [Filippini, J. P.] Univ Illinois, Dept Astron, 1002 W Green St, Urbana, IL 61801 USA; [Fissel, L. M.] Natl Radio Astron Observ, Charlottesville, NC 22903 USA; [Freese, K.] Univ Michigan, Dept Phys, 450 Church St, Ann Arbor, MI 48109 USA; [Galloway, M.; Hartley, J.; Netterfield, C. B.] Univ Toronto, Dept Phys, 60 St George St, Toronto, ON M5S 3H4, Canada; [Gandilo, N. N.] Johns Hopkins Univ, Dept Phys &amp; Astron, 3400 N Charles St, Baltimore, MD 21218 USA; [Gandilo, N. N.] NASA, Goddard Space Flight Ctr, Code 665, Greenbelt, MD 20771 USA; [Ganga, K.] Univ Paris Diderot, CNRS IN2P3, APC, CEA Irfu,Obs Paris, Sorbonne Paris Cite, France; [Hasselfield, M.] Penn State Univ, Dept Astron &amp; Astrophys, 525 Davey Lab, University Pk, PA 16802 USA; [Hilton, G.; Reintsema, C.] Natl Inst Stand &amp; Technol, 325 Broadway Mailcode 817-03, Boulder, CO 80305 USA; [Irwin, K. D.; Kuo, C. L.; Rahlin, A. S.] Stanford Univ, Dept Phys, 382 Via Pueblo Mall, Stanford, CA 94305 USA; [Irwin, K. D.] SLAC Natl Accelerator Lab, 2575 Sand Hill Rd, Menlo Pk, CA 94025 USA; [Li, S.] Princeton Univ, Dept Mech &amp; Aerosp Engn, Engn Quadrangle, Princeton, NJ 08544 USA; [Rahlin, A. S.] Fermilab Natl Accelerator Lab, POB 500, Batavia, IL 60510 USA; [Rahlin, A. S.] Univ Chicago, Kavli Inst Cosmol Phys, 5640 S Ellis Ave, Chicago, IL 60637 USA; [Soler, J. D.] Max Planck Inst Astron, Konigstuhl 17, D-69117 Heidelberg, Germany; [Soler, J. D.] Univ Paris Diderot, CNRS, CEA IRFU SAp, Laboratoire AIM Paris Saclay, F-91191 Gif Sur Yvette, France</t>
  </si>
  <si>
    <t>University System of Ohio; Case Western Reserve University; Cardiff University; University of British Columbia; Princeton University; California Institute of Technology; National Aeronautics &amp; Space Administration (NASA); NASA Jet Propulsion Laboratory (JPL); University of Toronto; Arizona State University; Arizona State University-Tempe; University of Kwazulu Natal; Imperial College London; Stockholm University; Oskar Klein Centre; University of Oslo; University of Toronto; University of Illinois System; University of Illinois Urbana-Champaign; University of Illinois System; University of Illinois Urbana-Champaign; National Radio Astronomy Observatory (NRAO); University of Michigan System; University of Michigan; University of Toronto; Johns Hopkins University; National Aeronautics &amp; Space Administration (NASA); NASA Goddard Space Flight Center; Universite PSL; Observatoire de Paris; CEA; Centre National de la Recherche Scientifique (CNRS); Universite Paris Cite; CNRS - National Institute of Nuclear and Particle Physics (IN2P3); Pennsylvania Commonwealth System of Higher Education (PCSHE); Pennsylvania State University; Pennsylvania State University - University Park; National Institute of Standards &amp; Technology (NIST) - USA; Stanford University; Stanford University; United States Department of Energy (DOE); SLAC National Accelerator Laboratory; Princeton University; United States Department of Energy (DOE); University of Chicago; Fermi National Accelerator Laboratory; University of Chicago; Max Planck Society; Centre National de la Recherche Scientifique (CNRS); Universite Paris Cite; Universite Paris Saclay; CEA</t>
  </si>
  <si>
    <t>Nagy, JM (corresponding author), Case Western Reserve Univ, Dept Phys, 10900 Euclid Ave,Rockefeller Bldg, Cleveland, OH 44106 USA.</t>
  </si>
  <si>
    <t>jones, william C/AGJ-6132-2022; Moncelsi, Lorenzo/AAU-1009-2020; Huang, Zhiqi/JVN-7317-2024; Ruhl, John/HHS-2212-2022; Bryan, Scott E/J-1297-2012</t>
  </si>
  <si>
    <t>jones, william C/0000-0002-3636-1241; Moncelsi, Lorenzo/0000-0002-4242-3015; Huang, Zhiqi/0000-0002-1506-1063; Ruhl, John/0000-0001-5875-4751; Duivenvoorden, Adri/0000-0003-2856-2382; Contaldi, Carlo/0000-0001-7285-0707; Soler, Juan Diego/0000-0002-0294-4465; Galloway, Mathew/0000-0001-9279-137X; Bergman, Stevie/0000-0002-4331-1357; Irwin, Kent/0000-0002-2998-9743; Wehus, Ingunn Kathrine/0000-0003-3821-7275; Chiang, Hsin/0000-0002-4098-9533; Tucker, Carole/0000-0002-1851-3918; Racine, Benjamin/0000-0001-8861-3052; Li, Lun/0000-0002-8896-911X; Nagy, Johanna/0000-0002-2036-7008; bond, j. richard/0000-0003-2358-9949; Bryan, Sean/0000-0003-4607-9562</t>
  </si>
  <si>
    <t>U.S. by the National Aeronautics and Space Administration through the Science Mission Directorate [NNX07AL64G, NNX12AE95G, NNX17AC55G]; National Science Foundation [PLR-1043515]; Natural Sciences and Engineering Research Council; Canadian Space Agency; Research Council of Norway; Swedish Research Council through the Oskar Klein Centre [638-2013-8993]; David and Lucile Packard Foundation; Canada Foundation for Innovation under Compute Canada; Government of Ontario; Ontario Research Fund-Research Excellence; University of Toronto; Science and Technology Facilities Council [ST/N000706/1, ST/N000838/1, ST/L00044X/1] Funding Source: researchfish; NASA [NNX12AE95G, 75099] Funding Source: Federal RePORTER; STFC [ST/L00044X/1, ST/P000762/1, ST/N000838/1, ST/N000706/1] Funding Source: UKRI</t>
  </si>
  <si>
    <t>U.S. by the National Aeronautics and Space Administration through the Science Mission Directorate; National Science Foundation(National Science Foundation (NSF)); Natural Sciences and Engineering Research Council(Natural Sciences and Engineering Research Council of Canada (NSERC)); Canadian Space Agency(Canadian Space Agency); Research Council of Norway(Research Council of Norway); Swedish Research Council through the Oskar Klein Centre(Swedish Research Council); David and Lucile Packard Foundation(The David &amp; Lucile Packard Foundation); Canada Foundation for Innovation under Compute Canada(Canada Foundation for Innovation); Government of Ontario; Ontario Research Fund-Research Excellence; University of Toronto(University of Toronto); Science and Technology Facilities Council(UK Research &amp; Innovation (UKRI)Science &amp; Technology Facilities Council (STFC)); NASA(National Aeronautics &amp; Space Administration (NASA)); STFC(UK Research &amp; Innovation (UKRI)Science &amp; Technology Facilities Council (STFC))</t>
  </si>
  <si>
    <t>SPIDER is supported in the U.S. by the National Aeronautics and Space Administration under grants NNX07AL64G, NNX12AE95G, and NNX17AC55G issued through the Science Mission Directorate and by the National Science Foundation through PLR-1043515. Logistical support for the Antarctic deployment and operations was provided by the NSF through the U.S. Antarctic Program. Support in Canada is provided by the Natural Sciences and Engineering Research Council and the Canadian Space Agency. Support in Norway is provided by the Research Council of Norway. Support in Sweden is provided by the Swedish Research Council through the Oskar Klein Centre (contract no. 638-2013-8993). We also wish to acknowledge the generous support of the David and Lucile Packard Foundation, which has been crucial to the success of the project.r The collaboration is grateful to the British Antarctic Survey, particularly Sam Burrell, for invaluable assistance with data and payload recovery after the 2015 flight. We thank Brendan Crill and Tom Montroy for significant contributions to SPIDER's development. J.M.N. wishes to thank Glenn Starkman for useful discussions about methods of generating CMB circular polarization. The computations described in this paper were performed on the GPC supercomputer at the SciNet HPC Consortium (Loken et al. 2010). SciNet is funded by, the Canada Foundation for Innovation under the auspices of Compute Canada; the Government of Ontario; Ontario Research Fund-Research Excellence; and the University of Toronto.</t>
  </si>
  <si>
    <t>IOP PUBLISHING LTD</t>
  </si>
  <si>
    <t>0004-637X</t>
  </si>
  <si>
    <t>1538-4357</t>
  </si>
  <si>
    <t>ASTROPHYS J</t>
  </si>
  <si>
    <t>Astrophys. J.</t>
  </si>
  <si>
    <t>10.3847/1538-4357/aa7cfd</t>
  </si>
  <si>
    <t>FC4WK</t>
  </si>
  <si>
    <t>Green Accepted, Green Submitted, Green Published, Bronze</t>
  </si>
  <si>
    <t>WOS:000406841700004</t>
  </si>
  <si>
    <t>Li, JLF; Richardson, M; Hong, YL; Lee, WL; Wang, YH; Yu, JY; Fetzer, E; Stephens, G; Liu, YH</t>
  </si>
  <si>
    <t>Li, J-L F.; Richardson, Mark; Hong, Yulan; Lee, Wei-Liang; Wang, Yi-Hui; Yu, Jia-Yuh; Fetzer, Eric; Stephens, Graeme; Liu, Yinghui</t>
  </si>
  <si>
    <t>Improved simulation of Antarctic sea ice due to the radiative effects of falling snow</t>
  </si>
  <si>
    <t>ENVIRONMENTAL RESEARCH LETTERS</t>
  </si>
  <si>
    <t>GCM; sea ice concentration; precipitating ice; sea ice albedo; cloud radiation; CMIP5</t>
  </si>
  <si>
    <t>SURFACE IRRADIANCES; CLIMATE; SHEET; CLOUD; CMIP5; CONSTRAINTS; COLLAPSE; MODELS; TRENDS</t>
  </si>
  <si>
    <t>Southern Ocean sea-ice cover exerts critical control on local albedo and Antarctic precipitation, but simulated Antarctic sea-ice concentration commonly disagrees with observations. Here we show that the radiative effects of precipitating ice (falling snow) contribute substantially to this discrepancy. Many models exclude these radiative effects, so they underestimate both shortwave albedo and downward longwave radiation. Using two simulations with the climate model CESM1, we show that including falling-snow radiative effects improves the simulations relative to cloud properties from CloudSat-CALIPSO, radiation from CERES-EBAF and sea-ice concentration from passive microwave sensors. From 50-70 degrees S, the simulated sea-ice-area bias is reduced by 2.12 x 10(6) km(2) (55%) in winter and by 1.17 x 10(6) km(2) (39%) in summer, mainly because increased wintertime longwave heating restricts sea-ice growth and so reduces summer albedo. Improved Antarctic sea-ice simulations will increase confidence in projected Antarctic sea level contributions and changes in global warming driven by long-term changes in Southern Ocean feedbacks.</t>
  </si>
  <si>
    <t>[Li, J-L F.; Richardson, Mark; Wang, Yi-Hui; Fetzer, Eric; Stephens, Graeme] CALTECH, Jet Prop Lab, Pasadena, CA 91125 USA; [Lee, Wei-Liang] Acad Sinica, RCEC, Taipei, Taiwan; [Yu, Jia-Yuh] Natl Cent Univ, Dept Atmospher Sci, Taoyuan, Taipei, Taiwan; [Hong, Yulan] Florida State Univ, Dept Earth Ocean &amp; Atmospher Sci, Tallahassee, FL 32306 USA; [Liu, Yinghui] UW Madison, Cooperat Inst Meteorol Satellite Studies, Madison, WI USA</t>
  </si>
  <si>
    <t>National Aeronautics &amp; Space Administration (NASA); NASA Jet Propulsion Laboratory (JPL); California Institute of Technology; Academia Sinica - Taiwan; National Central University; State University System of Florida; Florida State University; University of Wisconsin System; University of Wisconsin Madison</t>
  </si>
  <si>
    <t>Li, JLF (corresponding author), CALTECH, Jet Prop Lab, Pasadena, CA 91125 USA.</t>
  </si>
  <si>
    <t>jli@jpl.nasa.gov</t>
  </si>
  <si>
    <t>Keyes, Dennis/AAZ-9285-2021; Lee, Wei-Liang/AAG-1728-2020; Hong, Yulan/T-1007-2019; Yu, Jia-Yuh/Y-9365-2019</t>
  </si>
  <si>
    <t>Lee, Wei-Liang/0000-0003-1419-315X; Hong, Yulan/0000-0002-3841-9005; Liu, Yinghui/0000-0003-4648-2722; Richardson, Mark/0000-0001-7063-631X; Yu, Jia-Yuh/0000-0001-7512-2510</t>
  </si>
  <si>
    <t>National Aeronautics and Space Administration (NASA) [NNH12ZDA001N-CCST]; NASA Making Earth System Data Records for Use in Research Environments (MEaSUREs) program</t>
  </si>
  <si>
    <t>National Aeronautics and Space Administration (NASA)(National Aeronautics &amp; Space Administration (NASA)); NASA Making Earth System Data Records for Use in Research Environments (MEaSUREs) program</t>
  </si>
  <si>
    <t>The contribution by JLL to this study was carried out on behalf of the Jet Propulsion Laboratory, California Institute of Technology, under contracts of ATMOS COMP 2013 (NNH12ZDA001N-CCST) with the National Aeronautics and Space Administration (NASA). This work has been supported in part by the NASA Making Earth System Data Records for Use in Research Environments (MEaSUREs) programs.</t>
  </si>
  <si>
    <t>1748-9326</t>
  </si>
  <si>
    <t>ENVIRON RES LETT</t>
  </si>
  <si>
    <t>Environ. Res. Lett.</t>
  </si>
  <si>
    <t>10.1088/1748-9326/aa7a17</t>
  </si>
  <si>
    <t>FC5CM</t>
  </si>
  <si>
    <t>WOS:000406858700001</t>
  </si>
  <si>
    <t>Quesnel, L; MacKay, A; Forsyth, DM; Nicholas, KR; Festa-Bianchet, M</t>
  </si>
  <si>
    <t>Quesnel, L.; MacKay, A.; Forsyth, D. M.; Nicholas, K. R.; Festa-Bianchet, M.</t>
  </si>
  <si>
    <t>Size, season and offspring sex affect milk composition and juvenile survival in wild kangaroos</t>
  </si>
  <si>
    <t>JOURNAL OF ZOOLOGY</t>
  </si>
  <si>
    <t>lactation; Macropus giganteus; maternal effects; multimodel inference; timing of reproduction; Trivers-Willard hypothesis; sex allocation; milk composition</t>
  </si>
  <si>
    <t>EASTERN GREY-KANGAROO; ANTARCTIC FUR SEALS; MATERNAL SIZE; REPRODUCTIVE SUCCESS; BIRTH-DATE; PUP GROWTH; HIND MILK; LACTATION; ENERGY; PROTEIN</t>
  </si>
  <si>
    <t>The main component of mammalian maternal care is milk production. The composition of milk has been hypothesized to determine offspring survival, and to vary with offspring sex. Few studies, however, have examined variation in milk composition of wild mammals in seasonal environments, where environmental conditions can impact the ability of mothers to provide care. We investigated individual differences in milk composition and offspring survival in wild eastern grey kangaroos (Macropus giganteus). We analyzed total protein and lipid concentrations in 103 milk samples from 91 females over 2 years. In a year of low forage production, few females that lactated were in poorer condition and produced milk of lower energy content compared to females lactating in a year of high forage production. Females nursing in late winter produced milk with more lipids compared to females at the same stage of lactation in late spring, whose milk had a higher proportion of protein. The milk of larger females contained more protein than lipid, and females in better condition allocated higher proportions of protein to sons than to daughters. Increased protein concentration in milk was correlated with offspring longevity, and this effect was stronger for sons than daughters. A seasonally modulated lactation strategy enables the adjustment of milk composition to available resources. Condition-specific protein allocation in favor of sons for mothers of higher caring ability suggests adaptive sex-biased maternal care in this highly sexually dimorphic mammal.</t>
  </si>
  <si>
    <t>[Quesnel, L.; MacKay, A.; Festa-Bianchet, M.] Univ Sherbrooke, Dept Biol, Sherbrooke, PQ, Canada; [Forsyth, D. M.] New South Wales Dept Primary Ind, Vertebrate Pest Res Unit, Orange, NSW, Australia; [Forsyth, D. M.; Festa-Bianchet, M.] Univ Melbourne, Sch Biosci, Melbourne, Vic, Australia; [Nicholas, K. R.] Monash Univ, Dept Anat &amp; Dev Biol, Melbourne, Vic, Australia</t>
  </si>
  <si>
    <t>University of Sherbrooke; NSW Department of Primary Industries; Melbourne Genomics Health Alliance; University of Melbourne; Melbourne Genomics Health Alliance; Monash University</t>
  </si>
  <si>
    <t>Quesnel, L (corresponding author), Univ Sherbrooke, Dept Biol, Sherbrooke, PQ, Canada.</t>
  </si>
  <si>
    <t>louise.quesnel@usherbrooke.ca</t>
  </si>
  <si>
    <t>Forsyth, David M./AFK-3044-2022</t>
  </si>
  <si>
    <t>National Geographic Society; Natural Sciences and Engineering Research Council of Canada (NSERC); Fonds de Recherche Quebecois en Nature et Technologies (FRQNT); Ministere de l 'Education, du Loisir et du Sport of Quebec (MELS)</t>
  </si>
  <si>
    <t>National Geographic Society(National Geographic Society); Natural Sciences and Engineering Research Council of Canada (NSERC)(Natural Sciences and Engineering Research Council of Canada (NSERC)); Fonds de Recherche Quebecois en Nature et Technologies (FRQNT); Ministere de l 'Education, du Loisir et du Sport of Quebec (MELS)</t>
  </si>
  <si>
    <t>We thank Julie Sharp who provided space and equipment at Deakin University for analyses, and Vengaimu Modepalli and the other graduate students who helped. We are grateful to Graeme Coulson for his key contribution to all aspects of the kangaroo research at the Wilson Promontory. [Correction added on 13 April 2017, after first online publication: The preceding line was omitted and this has been corrected in this current version.] We acknowledge W. J. King, and two anonymous reviewers for helpful comments on earlier drafts. This study was funded by the National Geographic Society, the Natural Sciences and Engineering Research Council of Canada (NSERC), the Fonds de Recherche Quebecois en Nature et Technologies (FRQNT) and the Ministere de l 'Education, du Loisir et du Sport of Quebec (MELS). Handling of animals was authorized by the University of Melbourne Animal Ethics Committee (1312902) and by the Universite de Sherbrooke Animal Care Committee (MFB2012-02), affiliated with the Canadian Council on Animal Care.</t>
  </si>
  <si>
    <t>0952-8369</t>
  </si>
  <si>
    <t>1469-7998</t>
  </si>
  <si>
    <t>J ZOOL</t>
  </si>
  <si>
    <t>J. Zool.</t>
  </si>
  <si>
    <t>10.1111/jzo.12453</t>
  </si>
  <si>
    <t>FC3AH</t>
  </si>
  <si>
    <t>WOS:000406710100006</t>
  </si>
  <si>
    <t>Tian, ZX; Cheng, B; Zhao, JC; Vihma, T; Zhang, WL; Li, ZJ; Zhang, ZH</t>
  </si>
  <si>
    <t>Tian Zhongxiang; Cheng Bin; Zhao Jiechen; Vihma, Timo; Zhang Wenliang; Li Zhijun; Zhang Zhanhai</t>
  </si>
  <si>
    <t>Observed and modelled snow and ice thickness in the Arctic Ocean with CHINARE buoy data</t>
  </si>
  <si>
    <t>ACTA OCEANOLOGICA SINICA</t>
  </si>
  <si>
    <t>temperature; snow; sea ice; thickness; ice mass balance buoy; Arctic Ocean</t>
  </si>
  <si>
    <t>SURFACE HEAT-BUDGET; SEA-ICE; SHEBA; FLUX; LAKE; VARIABILITY</t>
  </si>
  <si>
    <t>Sea ice and the snow pack on top of it were investigated using Chinese National Arctic Research Expedition (CHINARE) buoy data. Two polar hydrometeorological drifters, known as Zeno (R) ice stations, were deployed during CHINARE 2003. A new type of high-resolution Snow and Ice Mass Balance Arrays, known as SIMBA buoys, were deployed during CHINARE 2014. Data from those buoys were applied to investigate the thickness of sea ice and snow in the CHINARE domain. A simple approach was applied to estimate the average snow thickness on the basis of Zeno (R) temperature data. Snow and ice thicknesses were also derived from vertical temperature profile data based on the SIMBA buoys. A one-dimensional snow and ice thermodynamic model (HIGHTSI) was applied to calculate the snow and ice thickness along the buoy drift trajectories. The model forcing was based on forecasts and analyses of the European Centre for Medium-Range Weather Forecasts (ECMWF). The Zeno (R) buoys drifted in a confined area during 2003-2004. The snow thickness modelled applying HIGHTSI was consistent with results based on Zeno (R) buoy data. The SIMBA buoys drifted from 81.1 degrees N, 157.4 degrees W to 73.5 degrees N, 134.9 degrees W in 15 months during 2014-2015. The total ice thickness increased from an initial August 2014 value of 1.97 m to a maximum value of 2.45 m before the onset of snow melt in May 2015; the last observation was approximately 1 m in late November 2015. The ice thickness based on HIGHTSI agreed with SIMBA measurements, in particular when the seasonal variation of oceanic heat flux was taken into account, but the modelled snow thickness differed from the observed one. Sea ice thickness derived from SIMBA data was reasonably good in cold conditions, but challenges remain in both snow and ice thickness in summer.</t>
  </si>
  <si>
    <t>[Tian Zhongxiang] OUC, Qingdao 266100, Peoples R China; [Cheng Bin; Vihma, Timo] FMI, FI-00931 Helsinki, Finland; [Tian Zhongxiang; Zhao Jiechen] NMEFC, Beijing 100081, Peoples R China; [Zhang Wenliang] NOTC, Tianjin 300112, Peoples R China; [Cheng Bin; Li Zhijun] DUT, Dalian 116024, Peoples R China; [Zhang Zhanhai] State Ocean Adm, Polar Res Inst China, Key Lab Polar Sci, Shanghai 200136, Peoples R China</t>
  </si>
  <si>
    <t>National Marine Environmental Forecasting Center; Dalian University of Technology; Polar Research Institute of China</t>
  </si>
  <si>
    <t>Cheng, B (corresponding author), FMI, FI-00931 Helsinki, Finland.;Cheng, B (corresponding author), DUT, Dalian 116024, Peoples R China.</t>
  </si>
  <si>
    <t>bin.cheng@fmi.fi</t>
  </si>
  <si>
    <t>Zhao, Jiechen/KHV-9905-2024; Vihma, Timo/ABC-9771-2020; Li, Zhijun/A-5299-2019</t>
  </si>
  <si>
    <t>Li, Zhijun/0000-0002-2897-0450</t>
  </si>
  <si>
    <t>National Natural Science Foundation of China [41428603, 41376188, 41376005, 41506221]; Academy of Finland [283101]; Chinese Arctic and Antarctic Administration Project [201614]; Chinese Polar Environment Comprehensive Investigation and Assessment Programs [CHINARE-03-01]</t>
  </si>
  <si>
    <t>National Natural Science Foundation of China(National Natural Science Foundation of China (NSFC)); Academy of Finland(Research Council of Finland); Chinese Arctic and Antarctic Administration Project; Chinese Polar Environment Comprehensive Investigation and Assessment Programs</t>
  </si>
  <si>
    <t>The National Natural Science Foundation of China under contract Nos 41428603, 41376188, 41376005 and 41506221; the Academy of Finland under contract No. 283101; the Chinese Arctic and Antarctic Administration Project under contract No. 201614; the Chinese Polar Environment Comprehensive Investigation and Assessment Programs under contract No. CHINARE-03-01.</t>
  </si>
  <si>
    <t>0253-505X</t>
  </si>
  <si>
    <t>1869-1099</t>
  </si>
  <si>
    <t>ACTA OCEANOL SIN</t>
  </si>
  <si>
    <t>Acta Oceanol. Sin.</t>
  </si>
  <si>
    <t>10.1007/s13131-017-1020-4</t>
  </si>
  <si>
    <t>FB9CO</t>
  </si>
  <si>
    <t>WOS:000406437400008</t>
  </si>
  <si>
    <t>Shi, LJ; Li, MM; Zhao, CF; Wang, ZX; Shi, YN; Zou, JH; Zeng, T</t>
  </si>
  <si>
    <t>Shi Lijian; Li Mingming; Zhao Chaofang; Wang Zhixiong; Shi Yingni; Zou Juhong; Zeng Tao</t>
  </si>
  <si>
    <t>Sea ice extent retrieval with HY-2A scatterometer data and its assessment</t>
  </si>
  <si>
    <t>Antarctica; Arctic; sea ice extent; HY-2A; scatterometer</t>
  </si>
  <si>
    <t>C-BAND SCATTEROMETER; ENHANCED-RESOLUTION; QUIKSCAT; IDENTIFICATION; CLASSIFICATION</t>
  </si>
  <si>
    <t>A sea ice extent retrieval algorithm over the polar area based on scatterometer data of 14Y-2A satellite has been established. Four parameters are used for distinguishing between sea ice and ocean with Fisher's linear discriminant analysis method. The method is used to generate polar sea ice extent maps of the Arctic and Antarctic regions of the full 2013-2014 from the scatterometer aboard HY-2A (HY-2A-SCAT) backscatter data. The time series of the ice mapped imagery shows ice edge evolution and indicates a similar seasonal change trend with total ice area from DMSP-F17 Special Sensor Microwave Imager/Sounder (SSMIS) sea ice concentration data. For both hemispheres, the HY-2A-SCAT extent correlates very well with SSMIS 15% extent for the whole year period. Compared with Synthetic Aperture Radar (SAR) imagery, the HY-2A-SCAT ice extent shows good correlation with the Sentinel-1 SAR ice edge. Over some ice edge area, the difference is very evident because sea ice edges can be very dynamic and move several kilometers in a single day.</t>
  </si>
  <si>
    <t>[Shi Lijian; Zou Juhong; Zeng Tao] Natl Satellite Ocean Applicat Serv, Beijing 100081, Peoples R China; [Shi Lijian; Zou Juhong; Zeng Tao] State Ocean Adm, Key Lab Space Ocean Remote Sensing &amp; Applicat, Beijing 100081, Peoples R China; [Li Mingming; Zhao Chaofang; Wang Zhixiong; Shi Yingni] Ocean Univ China, Coll Informat Sci &amp; Engn, Qingdao 266100, Peoples R China; [Shi Yingni] PLA, Unit 61741, Beijing 100094, Peoples R China; [Zhao Chaofang] Qingdao Natl Lab Marine Sci &amp; Technol, Lab Reg Oceanog &amp; Numer Modeling, Qingdao 266100, Peoples R China</t>
  </si>
  <si>
    <t>National Satellite Ocean Application Service; Ocean University of China; Laoshan Laboratory</t>
  </si>
  <si>
    <t>Shi, LJ (corresponding author), Natl Satellite Ocean Applicat Serv, Beijing 100081, Peoples R China.;Shi, LJ (corresponding author), State Ocean Adm, Key Lab Space Ocean Remote Sensing &amp; Applicat, Beijing 100081, Peoples R China.</t>
  </si>
  <si>
    <t>shilj@mail.nsoas.org.cn</t>
  </si>
  <si>
    <t>National Key Research and Development Program of China [2016YFC1402704, 2016YFC1401007]; Open Research Fund of Key Laboratory of Digital Earth Science, Institute of Remote Sensing and Digital Earth, Chinese Academy of Sciences [2014LDE009]; International Science and Technology Cooperation Project of China [2011DFA22260]; National Natural Science Foundation of China [U1606405, 41276181]; Chinese Polar Environment Comprehensive Investigation &amp; Assessment Program by the State Oceanic Administration [2015-02-04, 2015-04-03-02]</t>
  </si>
  <si>
    <t>National Key Research and Development Program of China; Open Research Fund of Key Laboratory of Digital Earth Science, Institute of Remote Sensing and Digital Earth, Chinese Academy of Sciences; International Science and Technology Cooperation Project of China; National Natural Science Foundation of China(National Natural Science Foundation of China (NSFC)); Chinese Polar Environment Comprehensive Investigation &amp; Assessment Program by the State Oceanic Administration</t>
  </si>
  <si>
    <t>The National Key Research and Development Program of China under contract Nos 2016YFC1402704 and 2016YFC1401007; the Open Research Fund of Key Laboratory of Digital Earth Science, Institute of Remote Sensing and Digital Earth, Chinese Academy of Sciences under contract No. 2014LDE009; the International Science and Technology Cooperation Project of China under contract No. 2011DFA22260; the National Natural Science Foundation of China under contract Nos U1606405 and 41276181; the Chinese Polar Environment Comprehensive Investigation &amp; Assessment Program by the State Oceanic Administration under contract Nos 2015-02-04 and 2015-04-03-02.</t>
  </si>
  <si>
    <t>10.1007/s13131-017-1022-2</t>
  </si>
  <si>
    <t>WOS:000406437400009</t>
  </si>
  <si>
    <t>Sun, H; Gao, ZY; Lu, P; Xiu, P; Chen, LQ</t>
  </si>
  <si>
    <t>Sun Heng; Gao Zhongyong; Lu Peng; Xiu Peng; Chen Liqi</t>
  </si>
  <si>
    <t>Evaluation of the net CO2 uptake in the Canada Basin in the summer of 2008</t>
  </si>
  <si>
    <t>Canada Basin; net CO2 uptake; partial pressure of CO2</t>
  </si>
  <si>
    <t>DISSOLVED INORGANIC CARBON; AIR-SEA FLUXES; ARCTIC-OCEAN; PHYTOPLANKTON BLOOMS; CHUKCHI SEA; COMMUNITY PRODUCTION; GAS-EXCHANGE; ICE; DIOXIDE; SHELF</t>
  </si>
  <si>
    <t>The third Chinese National Arctic Research Expedition (CHINARE) was conducted in the summer of 2008. During the survey, the surface seawater partial pressure of CO2 (pCO(2)) was measured, and sea water samples were collected for CO2 measurement in the Canada Basin. The distribution of pCO(2) in the Canada Basin was determined, the influencing factors were addressed, and the air-sea CO2 flux in the Canada Basin was evaluated. The Canada Basin was divided into three regions: the ice-free zone (south of 77 degrees N), the partially ice-covered zone (77 degrees-80 degrees N), and the heavily ice-covered zone (north of 80 degrees N). In the ice-free zone, pCO(2) was high (320 to 368 mu atm, 1 mu atm=0.101 325 Pa), primarily due to rapid equilibration with atmospheric CO, over a short time. In the partially ice-covered zone, the surface pCO(2) was relatively low (250 to 270 mu atm) due to ice-edge blooms and ice melt water dilution. In the heavily ice-covered zone, the seawater pCO(2) varied between 270 and 300 mu atm due to biological CO2 removal, the transportation of low pCO(2) water northward, and heavy ice cover. The surface seawater pCO(2) during the survey was undersaturated with respect to the atmosphere in the Canada Basin, and it was a net sink for atmospheric CO2. The summertime net CO, uptake of the ice-free zone, the partially ice-covered zone and the heavily ice-covered zone was (4.14 +/- 1.08), (1.79 +/- 0.19), and (0.57 +/- 0.03) Tg/a (calculated by carbon, 1 Tg=10(12) g), respectively. Overall, the net CO2 sink of the Canada Basin in the summer of 2008 was (6.5 +/- 1.3) Tg/a, which accounted for 4%-10% of the Arctic Ocean CO2 sink.</t>
  </si>
  <si>
    <t>[Sun Heng; Gao Zhongyong; Chen Liqi] State Ocean Adm, Inst Oceanog 3, Key Lab Global Change &amp; Marine Atmospher Chem, Xiamen 361005, Peoples R China; [Lu Peng] Dalian Univ Technol, State Key Lab Coastal &amp; Offshore Engn, Dalian 116024, Peoples R China; [Xiu Peng] Chinese Acad Sci, South China Sea Inst Oceanol, State Key Lab Trop Oceanog, Guangzhou 510301, Guangdong, Peoples R China</t>
  </si>
  <si>
    <t>Third Institute of Oceanography, Ministry of Natural Resources; Dalian University of Technology; Chinese Academy of Sciences; South China Sea Institute of Oceanology, CAS</t>
  </si>
  <si>
    <t>Gao, ZY (corresponding author), State Ocean Adm, Inst Oceanog 3, Key Lab Global Change &amp; Marine Atmospher Chem, Xiamen 361005, Peoples R China.</t>
  </si>
  <si>
    <t>gaozhongyong@tio.org.cn</t>
  </si>
  <si>
    <t>Lu, Peng/HNR-4786-2023; Xiu, Peng/O-6724-2014</t>
  </si>
  <si>
    <t>Xiu, Peng/0000-0001-5328-8405</t>
  </si>
  <si>
    <t>National Natural Science Foundation of China (NSFC) [41476173, 41406221]; Chinese Projects for Investigations and Assessments of the Arctic and AntArctic [CHINARE2012-04-04, 2012-04-03]; Scientific Research Foundation of Third Institute of Oceanography, SOA [2014006]</t>
  </si>
  <si>
    <t>National Natural Science Foundation of China (NSFC)(National Natural Science Foundation of China (NSFC)); Chinese Projects for Investigations and Assessments of the Arctic and AntArctic; Scientific Research Foundation of Third Institute of Oceanography, SOA</t>
  </si>
  <si>
    <t>The National Natural Science Foundation of China (NSFC) under contract Nos 41476173 and 41406221; the Chinese Projects for Investigations and Assessments of the Arctic and AntArctic under contract Nos CHINARE2012-04-04 and 2012-04-03; the Fujian Science and Technology Innovation Leader Project 2016; the Scientific Research Foundation of Third Institute of Oceanography, SOA under contract No. 2014006.</t>
  </si>
  <si>
    <t>10.1007/s13131-017-1028-9</t>
  </si>
  <si>
    <t>WOS:000406437400011</t>
  </si>
  <si>
    <t>Rosenblum, E; Eisenman, I</t>
  </si>
  <si>
    <t>Rosenblum, Erica; Eisenman, Ian</t>
  </si>
  <si>
    <t>Sea Ice Trends in Climate Models Only Accurate in Runs with Biased Global Warming</t>
  </si>
  <si>
    <t>EXTENT; CMIP5</t>
  </si>
  <si>
    <t>Observations indicate that the Arctic sea ice cover is rapidly retreating while the Antarctic sea ice cover is steadily expanding. State-of-the-art climate models, by contrast, typically simulate a moderate decrease in both the Arctic and Antarctic sea ice covers. However, in each hemisphere there is a small subset of model simulations that have sea ice trends similar to the observations. Based on this, a number of recent studies have suggested that the models are consistent with the observations in each hemisphere when simulated internal climate variability is taken into account. Here sea ice changes during 1979-2013 are examined in simulations from the most recent Coupled Model Intercomparison Project (CMIP5) as well as the Community Earth System Model Large Ensemble (CESM-LE), drawing on previous work that found a close relationship in climate models between global-mean surface temperature and sea ice extent. All of the simulations with 1979-2013 Arctic sea ice retreat as fast as observations are found to have considerably more global warming than observations during this time period. Using two separate methods to estimate the sea ice retreat that would occur under the observed level of global warming in each simulation in both ensembles, it is found that simulated Arctic sea ice retreat as fast as observations would occur less than 1% of the time. This implies that the models are not consistent with the observations. In the Antarctic, simulated sea ice expansion as fast as observations is found to typically correspond with too little global warming, although these results are more equivocal. As a result, the simulations do not capture the observed asymmetry between Arctic and Antarctic sea ice trends. This suggests that the models may be getting the right sea ice trends for the wrong reasons in both polar regions.</t>
  </si>
  <si>
    <t>[Rosenblum, Erica; Eisenman, Ian] Univ Calif San Diego, Scripps Inst Oceanog, La Jolla, CA 92093 USA</t>
  </si>
  <si>
    <t>Rosenblum, E (corresponding author), Univ Calif San Diego, Scripps Inst Oceanog, La Jolla, CA 92093 USA.</t>
  </si>
  <si>
    <t>ejrosenb@ucsd.edu</t>
  </si>
  <si>
    <t>Eisenman, Ian/0000-0003-0190-2869</t>
  </si>
  <si>
    <t>National Science Foundation (NSF); NSF [ARC-1107795, OCE-1357078]; Directorate For Geosciences; Division Of Ocean Sciences [1357078] Funding Source: National Science Foundation</t>
  </si>
  <si>
    <t>National Science Foundation (NSF)(National Science Foundation (NSF)); NSF(National Science Foundation (NSF)); Directorate For Geosciences; Division Of Ocean Sciences(National Science Foundation (NSF)NSF - Directorate for Geosciences (GEO))</t>
  </si>
  <si>
    <t>Without implying their endorsement, we are grateful to Sarah Gille, Art Miller, Paul Kushner, Neil Tandon, Frederic Laliberte, Till Wagner, and John Fyfe for helpful comments and discussions. This work was supported a National Science Foundation (NSF) Graduate Research Fellowship and NSF Grants ARC-1107795 and OCE-1357078. We acknowledge the World Climate Research Programme's Working Group on Coupled Modelling, which is responsible for CMIP5, and we thank the climate modeling groups (listed in Table S1 in the online supplemental material) for producing and making available their model output. We also acknowledge the CESM Large Ensemble Community Project and supercomputing resources provided by NSF/CISL/Yellowstone. Processed CMIP5 data used in this study are available at http://eisenman.ucsd.edu/code.html.</t>
  </si>
  <si>
    <t>10.1175/JCLI-D-16-0455.1</t>
  </si>
  <si>
    <t>WOS:000406040200012</t>
  </si>
  <si>
    <t>Cerrone, D; Fusco, G; Cotroneo, Y; Simmonds, I; Budillon, G</t>
  </si>
  <si>
    <t>Cerrone, D.; Fusco, G.; Cotroneo, Y.; Simmonds, I.; Budillon, G.</t>
  </si>
  <si>
    <t>The Antarctic Circumpolar Wave: Its Presence and Interdecadal Changes during the Last 142 Years</t>
  </si>
  <si>
    <t>VALUE DECOMPOSITION ANALYSIS; SOUTHERN-OSCILLATION INDEX; SINGULAR-SPECTRUM ANALYSIS; LOW-FREQUENCY VARIABILITY; SEA-ICE THICKNESS; OCEAN CIRCULATION; DATA ASSIMILATION; EL-NINO; HEMISPHERE; REANALYSIS</t>
  </si>
  <si>
    <t>The Southern Ocean (SO) is the region of the World Ocean bordering on Antarctica over which significant exchanges between the atmosphere, the ocean, and the sea ice take place. Here, the strong and nearly unhindered eastward flow of the Antarctic Circumpolar Current plays an important role in mean global climate as it transmits climate anomalies around the hemisphere. Features of interannual variability have been observed to propagate eastward around the SO with the circumpolar flow in the form of a system of coupled anomalies, known as the Antarctic circumpolar wave (ACW). In the present study, the 142-yr series of the Twentieth Century Reanalysis, version 2, dataset (850-hPa geopotential height, sea level pressure, sea surface temperature, surface meridional wind, and surface air temperature) spanning from 1871 to 2012 is used to investigate the presence and variability of ACWs. This examination shows, for the first time, the presence of the ACW before the mid-1950s and interdecadal changes in its characteristics. Modifications in the strength and speed of the circumpolar wave are shown to be linked with large-scale climate changes. Complex empirical orthogonal function analyses confirm that the ACW becomes apparent when the tropical El Nino-Southern Oscillation (ENSO) signal gives rise to the Pacific-South American (PSA) pattern and is a consequence of the constructive combination of the PSA and the subantarctic zonal wavenumber 3. Correlation analyses are also performed to quantify the role played by ENSO teleconnections for the appearance of the ACW, and the impact on the presence of ACWs of three super-El Nino events is investigated.</t>
  </si>
  <si>
    <t>[Cerrone, D.; Fusco, G.; Cotroneo, Y.; Budillon, G.] Univ Naples Parthenope, Sci &amp; Technol Dept, Naples, Italy; [Fusco, G.; Budillon, G.] Consorzio Nazl Interuniv Sci Mare, Rome, Italy; [Simmonds, I.] Univ Melbourne, Sch Earth Sci, Melbourne, Vic, Australia</t>
  </si>
  <si>
    <t>Parthenope University Naples; CoNISMa; University of Melbourne; Melbourne Bioinformatics</t>
  </si>
  <si>
    <t>Cerrone, D; Fusco, G (corresponding author), Univ Naples Parthenope, Sci &amp; Technol Dept, Naples, Italy.;Fusco, G (corresponding author), Consorzio Nazl Interuniv Sci Mare, Rome, Italy.</t>
  </si>
  <si>
    <t>dario.cerrone@uniparthenope.it; giannetta.fusco@uniparthenope.it</t>
  </si>
  <si>
    <t>Cotroneo, Yuri/M-4010-2019; Fusco, Giannetta/J-5118-2019</t>
  </si>
  <si>
    <t>Cotroneo, Yuri/0000-0002-0099-0142; Fusco, Giannetta/0000-0003-1769-2456; Simmonds, Ian/0000-0002-4479-3255</t>
  </si>
  <si>
    <t>Australian Research Council [DP110101388]</t>
  </si>
  <si>
    <t>This study was performed in the framework of Plankton biodiversity and functioning of the Ross Sea Ecosystems in a changing Southern Ocean (P-Rose) and Multiplatform Observations and Modelling in a sector of the Antarctic Circumpolar Current (MOMA) projects as part of the Italian National Program for Research in Antarctica (PNRA). This research was also made possible by Australian Research Council Grant DP110101388 (Simmonds). Data used in this study are provided by the NOAA/OAR/ESRL/PSD, Boulder, Colorado, from their website (http://www.esrl.noaa.gov/psd/).</t>
  </si>
  <si>
    <t>10.1175/JCLI-D-16-0646.1</t>
  </si>
  <si>
    <t>WOS:000406040200018</t>
  </si>
  <si>
    <t>Klein, RD; Rosa, CE; Colares, EP; Robaldo, RB; Martinez, PE; Bianchini, A</t>
  </si>
  <si>
    <t>Klein, Roberta Daniele; Rosa, Carlos Eduardo; Colares, Elton Pinto; Robaldo, Ricardo Berteaux; Martinez, Pablo Elias; Bianchini, Adalto</t>
  </si>
  <si>
    <t>Antioxidant defense system and oxidative status in Antarctic fishes: The sluggish rockcod Notothenia coriiceps versus the active marbled notothen Notothenia rossii</t>
  </si>
  <si>
    <t>Antarctica; Antioxidant defense system; Nototheniids fish; Oxidative damage</t>
  </si>
  <si>
    <t>SUPEROXIDE-DISMUTASE; OXYGEN-CONSUMPTION; PEROXYL RADICALS; MARINE ORGANISMS; SOUTH GEORGIA; TEMPERATURE; STRESS; WATER; EXPOSURE; WHITE</t>
  </si>
  <si>
    <t>Adaptive responses of antioxidant defense systems (ADS) to changes in increased levels of activity are critical, especially in Antarctic fishes. The benthopelagic marbled notothen (Notothenia rossii) shows higher spontaneous activity than the benthonic and sluggish rockcod (N. coriiceps). Therefore, we hypothesize that species-related responses of ADS would occur to counteract different rates of reactive oxygen species formation in these two Antarctic fish. Here we evaluated ADS and oxidative damage in tissues (brain, gills, liver and white muscle) of the two Antarctic fish. Despite no significant differences in lipid and protein oxidative damage were observed, we actually found species- and tissue-specific differences in ADS. Gill metallothionein-like proteins (MTLP) and liver reduced glutathione (GSH) concentrations were higher in N. coriiceps than in N. rossii. Brain and gill antioxidant capacity against peroxyl radicals (ACAP); gill enzyme [glutamate-cysteine ligase (GSL), superoxide dismutase (SOD) and catalase (CAT)] activity; liver GCL and SOD activity; and white muscle CAT activity were higher in N. rossii than in N. coriiceps. Therefore, the more active fish (N. rossii) maintains higher activities of enzymes involved in superoxide ions (021 detoxification and GSH production in peripheral tissues (gills, liver and white muscle). This allows the more active fish (N. rossii) to keep levels of lipid and protein oxidative damage similar to those observed in the sluggish fish (N. coriiceps). It is worth noting that the more active fish also shows a higher brain antioxidant capacity, which could involve other non-enzymatic antioxidants like vitamins C and E. In contrast, N. coriiceps shows lower consumption of non-enzymatic antioxidants in peripheral tissues than N. coriiceps. As hypothesized, our results indicate that differences in ADS profiles between fish species are likely related to their habits and metabolic rates. This would imply in different fish abilities to deal with oxidative stress associated with increasing seawater temperature.</t>
  </si>
  <si>
    <t>[Klein, Roberta Daniele; Rosa, Carlos Eduardo; Colares, Elton Pinto; Martinez, Pablo Elias; Bianchini, Adalto] Univ Fed Rio Grande, Inst Ciencias Biol, Programa Posgrad Ciencias Fisiol, Ave Italia Km 8, BR-96203900 Rio Grande, RS, Brazil; [Rosa, Carlos Eduardo; Colares, Elton Pinto; Martinez, Pablo Elias; Bianchini, Adalto] Univ Fed Rio Grande, Inst Ciencias Biol, Ave Italia Km 8, BR-96203900 Rio Grande, RS, Brazil; [Robaldo, Ricardo Berteaux] Univ Fed Pelotas, Inst Biol, Campus Univ S-N, BR-96010900 Pelotas, RS, Brazil</t>
  </si>
  <si>
    <t>Universidade Federal do Rio Grande; Universidade Federal do Rio Grande; Universidade Federal de Pelotas</t>
  </si>
  <si>
    <t>Bianchini, A (corresponding author), Univ Fed Rio Grande FURG, ICB, Ave Italia Km 8 Campus Carreiros, BR-96203900 Rio Grande, RS, Brazil.</t>
  </si>
  <si>
    <t>adaltobianchini@furg.br</t>
  </si>
  <si>
    <t>Martínez, Pablo Elías/D-4556-2016; Klein, Roberta Daniele/AAE-8383-2019; Rosa, Carlos E/C-9576-2017; Martinez, Pablo/M-4092-2019; Bianchini, Adalto/C-5384-2013</t>
  </si>
  <si>
    <t>Klein, Roberta Daniele/0000-0002-3293-2916; Martinez, Pablo/0000-0003-1585-6162; Bianchini, Adalto/0000-0002-7627-7650</t>
  </si>
  <si>
    <t>Brazilian Conselho Nacional de Desenvolvimento Cientifico e Tecnologico (CNPq) [550059/2007-5]; International Canada Research Chair Program of the International Development Research Centre (IDRC, Ottawa, Canada)</t>
  </si>
  <si>
    <t>Brazilian Conselho Nacional de Desenvolvimento Cientifico e Tecnologico (CNPq)(Conselho Nacional de Desenvolvimento Cientifico e Tecnologico (CNPQ)); International Canada Research Chair Program of the International Development Research Centre (IDRC, Ottawa, Canada)</t>
  </si>
  <si>
    <t>This study was supported by the Brazilian Conselho Nacional de Desenvolvimento Cientifico e Tecnologico (CNPq) (Grant # 550059/2007-5). The Brazilian Secretaria da ComissAo Interministerial para os Recursos do Mar (SECIRM) and Programa Antartico Brasileiro (PROANTAR) are acknowledged. R.D. Klein was a Ph.D. fellow from the Brazilian CNPq (# 554215/2010-1). A. Bianchini is a research fellow from the Brazilian CNPq (# 304430-2009-9) and supported by the International Canada Research Chair Program of the International Development Research Centre (IDRC, Ottawa, Canada).</t>
  </si>
  <si>
    <t>10.1016/j.jtherbio.2017.02.013</t>
  </si>
  <si>
    <t>FB2LU</t>
  </si>
  <si>
    <t>WOS:000405976100016</t>
  </si>
  <si>
    <t>Reyes, DP; Brinley, AA; Blue, RS; Gruschkus, SK; Allen, AT; Parazynski, SE</t>
  </si>
  <si>
    <t>Reyes, David P.; Brinley, Alaina A.; Blue, Rebecca S.; Gruschkus, Stephen K.; Allen, Andrew T.; Parazynski, Scott E.</t>
  </si>
  <si>
    <t>Clinical Herpes Zoster in Antarctica as a Model for Spaceflight</t>
  </si>
  <si>
    <t>AEROSPACE MEDICINE AND HUMAN PERFORMANCE</t>
  </si>
  <si>
    <t>viral reactivation; herpes zoster; isolation; confinement; extremes; spaceflight</t>
  </si>
  <si>
    <t>BARR-VIRUS REACTIVATION; PLASMA CYTOKINES; ASTRONAUTS; INFECTION; IMMUNITY</t>
  </si>
  <si>
    <t>INTRODUCTION: Antarctica is a useful analog for spaceflight, as both environments are remote, isolated, and with limited resources. While previous studies have demonstrated increased asymptomatic viral shedding in both the Antarctic and spaceflight environments, clinical manifestations of reactivated viral disease have been less frequently identified. We sought to identify the incidence of clinical herpes zoster from viral reactivation in the Antarctic winter-over population. METHODS: Medical records from the 2014 winter season were reviewed for the incidence of zoster in U.S. Antarctic personnel and then compared to the age-matched U.S. population. RESULTS: Five cases of clinical herpes zoster occurred in the Antarctic Station population of 204 persons, for an incidence of 33.3 per 1000 person-years vs. 3.2 per 1000 person-years in the general population. Four cases were in persons under age 40, yielding an incidence of 106.7 per 1000 person-years in persons ages 30-39 compared to an incidence of 2.0 per 1000 person-years in the same U.S. age group. DISCUSSION: Immune suppression due to the stressful Antarctic environment may have contributed to the increased incidence of herpes zoster in U.S. Antarctic personnel during the winter of 2014. Working and living in isolated, confined, and extreme environments can cause immune suppression, reactivating latent viruses and increasing viral shedding and symptomatic disease. Such changes have been observed in other austere environments, including spaceflight, suggesting that clinical manifestations of viral reactivation may be seen in future spaceflight.</t>
  </si>
  <si>
    <t>Univ Texas Med Branch, Dept Prevent Med &amp; Community Hlth, Galveston, TX 77555 USA; Univ Texas Med Branch, Sch Med, Galveston, TX 77555 USA; Johnson Space Ctr, Natl Aeronaut &amp; Space Adm, Houston, TX USA; Dyess Air Force Base, Aerosp Med Squadron 7, Houston, TX USA; Arizona State Univ, Sch Earth &amp; Space Explorat, Tempe, AZ USA</t>
  </si>
  <si>
    <t>University of Texas System; University of Texas Medical Branch Galveston; University of Texas System; University of Texas Medical Branch Galveston; National Aeronautics &amp; Space Administration (NASA); NASA Johnson Space Center; Arizona State University; Arizona State University-Tempe</t>
  </si>
  <si>
    <t>Reyes, DP (corresponding author), Univ Texas Med Branch, Prevent Med &amp; Community Hlth, 301 Univ Blvd, Galveston, TX 77555 USA.</t>
  </si>
  <si>
    <t>dpreyes@utmb.edu</t>
  </si>
  <si>
    <t>Allen, Andrew/0009-0009-9871-4434; Blue, Rebecca/0000-0003-3564-3324; Brinley Rajagopal, Alaina/0000-0002-2652-0309; Reyes, David P/0000-0002-6672-7910</t>
  </si>
  <si>
    <t>University of Texas Medical Branch, Center for Polar Medical Operations, as part of the National Science Foundation's U.S. Antarctic Program Antarctic Support Contract</t>
  </si>
  <si>
    <t>This work was supported by the University of Texas Medical Branch, Center for Polar Medical Operations, as part of the National Science Foundation's U.S. Antarctic Program Antarctic Support Contract.</t>
  </si>
  <si>
    <t>AEROSPACE MEDICAL ASSOC</t>
  </si>
  <si>
    <t>ALEXANDRIA</t>
  </si>
  <si>
    <t>320 S HENRY ST, ALEXANDRIA, VA 22314-3579 USA</t>
  </si>
  <si>
    <t>2375-6314</t>
  </si>
  <si>
    <t>2375-6322</t>
  </si>
  <si>
    <t>AEROSP MED HUM PERF</t>
  </si>
  <si>
    <t>Aerosp. Med.Hum. Perform.</t>
  </si>
  <si>
    <t>10.3357/AMHP.4450.2017</t>
  </si>
  <si>
    <t>Biophysics; Public, Environmental &amp; Occupational Health; Medicine, Research &amp; Experimental</t>
  </si>
  <si>
    <t>Biophysics; Public, Environmental &amp; Occupational Health; Research &amp; Experimental Medicine</t>
  </si>
  <si>
    <t>FB3TT</t>
  </si>
  <si>
    <t>WOS:000406066400010</t>
  </si>
  <si>
    <t>Erbe, C; Dunlop, R; Jenner, KCS; Jenner, MNM; McCauley, RD; Parnum, I; Parsons, M; Rogers, T; Salgado-Kent, C</t>
  </si>
  <si>
    <t>Erbe, Christine; Dunlop, Rebecca; Jenner, K. Curt S.; Jenner, Micheline-N. M.; McCauley, Robert D.; Parnum, Iain; Parsons, Miles; Rogers, Tracey; Salgado-Kent, Chandra</t>
  </si>
  <si>
    <t>Review of Underwater and In-Air Sounds Emitted by Australian and Antarctic Marine Mammals</t>
  </si>
  <si>
    <t>Marine mammal; Dolphin; Whale; Seal; Sea lion; Sounds</t>
  </si>
  <si>
    <t>BOTTLE-NOSED DOLPHINS; WHALES ORCINUS-ORCA; FINNED PILOT WHALES; SEAL LEPTONYCHOTES-WEDDELLII; MIGRATING HUMPBACK WHALES; RESIDENT KILLER WHALES; GULF-OF-MEXICO; BLAINVILLES BEAKED-WHALES; HAWAIIAN SPINNER DOLPHINS; MALE SPERM-WHALES</t>
  </si>
  <si>
    <t>The study of marine soundscapes is a growing field of research. Recording hardware is becoming more accessible; there are a number of off-the-shelf autonomous recorders that can be deployed for months at a time; software analysis tools exist as shareware; rawor preprocessed recordings are freely and publicly available. However, what is missing are catalogues of commonly recorded sounds. Sounds related to geophysical events (e.g. earthquakes) and weather (e.g. wind and precipitation), to human activities (e.g. ships) and to marine animals (e.g. crustaceans, fish and marine mammals) commonly occur. Marine mammals are distributed throughout Australia's oceans and significantly contribute to the underwater soundscape. However, due to a lack of concurrent visual and passive acoustic observations, it is often not known which species produces which sounds. To aid in the analysis of Australian and Antarctic marine soundscape recordings, a literature review of the sounds made by marine mammals was undertaken. Frequency, duration and source level measurements are summarised and tabulated. In addition to the literature review, new marine mammal data are presented and include recordings from Australia of Omura's whales (Balaenoptera omurai), dwarf sperm whales (Kogia sima), common dolphins (Delphinus delphis), short-finned pilot whales (Globicephala macrorhynchus), long-finned pilot whales (G. melas), Fraser's dolphins (Lagenodelphis hosei), false killer whales (Pseudorca crassidens), striped dolphins (Stenella coeruleoalba) and spinner dolphins (S. longirostris), as well as the whistles and burst-pulse sounds of Australian pygmy killer whales (Feresa attenuata). To date, this is the most comprehensive acoustic summary for marine mammal species in Australian waters.</t>
  </si>
  <si>
    <t>[Erbe, Christine; McCauley, Robert D.; Parnum, Iain; Parsons, Miles; Salgado-Kent, Chandra] Curtin Univ, Ctr Marine Sci &amp; Technol, Perth, WA 6102, Australia; [Dunlop, Rebecca] Univ Queensland, Sch Vet Sci, Cetacean Ecol &amp; Acoust Lab, St Lucia, Qld 4343, Australia; [Jenner, K. Curt S.; Jenner, Micheline-N. M.] Ctr Whale Res WA Inc, POB 1622, Fremantle, WA 6959, Australia; [Rogers, Tracey] Univ New South Wales, Sch Biol Earth &amp; Environm Sci, Evolut &amp; Ecol Res Ctr, Sydney, NSW 2052, Australia</t>
  </si>
  <si>
    <t>Curtin University; University of Queensland; University of New South Wales Sydney</t>
  </si>
  <si>
    <t>Erbe, C (corresponding author), Curtin Univ, Ctr Marine Sci &amp; Technol, Perth, WA 6102, Australia.</t>
  </si>
  <si>
    <t>c.erbe@curtin.edu.au; r.dunlop@uq.edu.au; curt@cwr.org.au; micheline@cwr.org.au; R.McCauley@cmst.curtin.edu.au; i.parnum@curtin.edu.au; Miles.Parsons@curtin.edu.au; tracey.rogers@unsw.edu.au; C.Salgado@cmst.curtin.edu.au</t>
  </si>
  <si>
    <t>Rogers, Tracey L/C-3419-2008; Parnum, Iain M/B-2428-2013; Erbe, Christine/AAA-3801-2021; Salgado Kent, Chandra/HHZ-2367-2022</t>
  </si>
  <si>
    <t>Erbe, Christine/0000-0002-7884-9907; Salgado Kent, Chandra/0000-0002-3460-609X; Rogers, Tracey/0000-0002-7141-4177; Parnum, Iain/0000-0003-4491-3445</t>
  </si>
  <si>
    <t>10.1007/s40857-017-0101-z</t>
  </si>
  <si>
    <t>WOS:000415005000006</t>
  </si>
  <si>
    <t>Schmale, J</t>
  </si>
  <si>
    <t>Schmale, Julia</t>
  </si>
  <si>
    <t>Setting the aerosol baseline - an Antarctic opportunity</t>
  </si>
  <si>
    <t>Schmale, Julia Yvonne/Q-3942-2019; Schmale, Julia/F-8851-2016</t>
  </si>
  <si>
    <t>Schmale, Julia Yvonne/0000-0002-1048-7962; Schmale, Julia/0000-0002-1048-7962</t>
  </si>
  <si>
    <t>10.1017/S0954102017000232</t>
  </si>
  <si>
    <t>WOS:000407733900001</t>
  </si>
  <si>
    <t>Dickinson, WW; Williams, G; Hill, M; Cox, SC; Baker, JA</t>
  </si>
  <si>
    <t>Dickinson, Warren W.; Williams, Grechen; Hill, Matt; Cox, Simon C.; Baker, Joel A.</t>
  </si>
  <si>
    <t>Granite erratics in Beacon Valley, Antarctica</t>
  </si>
  <si>
    <t>geochemical fingerprint; Granite Harbour Intrusives; granitoid plutons; lead isotopes; McMurdo Dry Valleys; southern Victoria Land; Taylor Glacier</t>
  </si>
  <si>
    <t>SOUTHERN-VICTORIA-LAND; MIOCENE GLACIER ICE; TAYLOR GLACIER; MID-MIOCENE; DRY-VALLEYS; SUBLIMATION; SHEET; SUPERGROUP; HISTORY; REGION</t>
  </si>
  <si>
    <t>We present the first quantitative attempt at reconciling the source and emplacement of granite erratics in Beacon Valley. The erratics are enigmatic because granite does not crop out in the valley and its nearest subaerial exposure is at least 10km downstream to the east of the valley. Detailed mapping of the valley shows three types of granite erratics, which are not present in equal amounts and do not show spatial patterns. Pb isotopic and elemental compositions of the erratics eliminate the Metschel Tillite as a source and indicate they derive from the Dry Valley plutons. Our limited study tentatively ties the erratics to suites of plutons, but it does not allow a direct tie of the erratics to specific plutons because of i) the geochemical variability of the plutons and ii) the limited number of erratics that were analysed. Published data suggest the erratics provide evidence of wet-based glaciation, which covered the Dry Valleys and much of Antarctica during the mid-Miocene. Our paper also explains the problems associated with the emplacement of these erratics and the age of the massive ice in Beacon Valley.</t>
  </si>
  <si>
    <t>[Dickinson, Warren W.; Williams, Grechen] Victoria Univ, Antarctic Res Ctr, POB 600, Wellington, New Zealand; [Hill, Matt] GNS Sci, Private Bag 30-368, Lower Hutt, New Zealand; [Cox, Simon C.] GNS Sci, Private Bag 1930, Dunedin, New Zealand; [Baker, Joel A.] Univ Auckland, Sch Environm, Private Bag 92019, Auckland, New Zealand</t>
  </si>
  <si>
    <t>Victoria University Wellington; GNS Science - New Zealand; GNS Science - New Zealand; University of Auckland</t>
  </si>
  <si>
    <t>Dickinson, WW (corresponding author), Victoria Univ, Antarctic Res Ctr, POB 600, Wellington, New Zealand.</t>
  </si>
  <si>
    <t>warren.dickinson@vuw.ac.nz</t>
  </si>
  <si>
    <t>Transantarctic Association; Antarctic Development Fund of the ARC, Victoria University</t>
  </si>
  <si>
    <t>Martin Bizzarro and the Danish Lithosphere Centre provided time and facilities for the isotopic analyses. Richard Wyzoscanski provided XRF analyses for GW thesis. Thanks to Martin Schiller and Ron Sletten for help in the field. Critical reviews by Doug Kowalewski and an anonymous reviewer greatly improved the manuscript. Thanks also to Stewart Bush for thin sections and John Patterson for sample photographs. John Simes and Mo Turnbull (GNS) provided additional samples. The Transantarctic Association and the Antarctic Development Fund of the ARC, Victoria University provided travel and accommodation funding, while Antarctica NZ provided logistical support to event K047 in the 2005-06 season. This work is condensed largely from a BSc Hons thesis by the senior author at Victoria University of Wellington.</t>
  </si>
  <si>
    <t>10.1017/S0954102017000013</t>
  </si>
  <si>
    <t>WOS:000407733900007</t>
  </si>
  <si>
    <t>Galassi, G; Spada, G</t>
  </si>
  <si>
    <t>Galassi, G.; Spada, G.</t>
  </si>
  <si>
    <t>Tide gauge observations in Antarctica (1958-2014) and recent ice loss</t>
  </si>
  <si>
    <t>Antarctic ice sheet; sea level change; tide gauge data</t>
  </si>
  <si>
    <t>SURFACE; SHEETS; UPLIFT; MODEL</t>
  </si>
  <si>
    <t>Several historical sea level time series from Antarctic tide gauges, available from the Permanent Service for Mean Sea Level, are analysed. Two sea level curves, obtained by averaging data from the Antarctic Peninsula and West Antarctica, for 1958-2014, show trends of (2.0 +/- 0.1) and (1.8 +/- 0.2) mm yr(-1), respectively. By empirical mode decomposition, cyclic and non-cyclic components of sea level change were separated. A periodicity of 4-5 years was confirmed and attributed to the effects of the Antarctic Circumpolar Wave. The non-cyclic components were found to show a 'levelling off' of approximate to 1 mm yr(-1) since c. 2000, which cannot be attributed to the isostatic response to Holocene ice melting. Using assessed mass balance data from the West Antarctic Ice Sheet and the Antarctic Peninsula, we studied the response to current ice loss in the region and found that the levelling off could be partly explained by accelerated melting during the last approximately two decades. This may represent the first evidence of sea level fingerprints of glacial melting in Antarctica.</t>
  </si>
  <si>
    <t>[Galassi, G.; Spada, G.] Univ Urbino Carlo Bo, Dipartimento Sci Pure &amp; Appl DiSPeA, Urbino, Italy; [Spada, G.] Ist Nazl Geofis &amp; Vulcanol, Bologna, Italy</t>
  </si>
  <si>
    <t>University of Urbino; Istituto Nazionale Geofisica e Vulcanologia (INGV)</t>
  </si>
  <si>
    <t>Galassi, G (corresponding author), Univ Urbino Carlo Bo, Dipartimento Sci Pure &amp; Appl DiSPeA, Urbino, Italy.</t>
  </si>
  <si>
    <t>gaia.galassi@gmail.com</t>
  </si>
  <si>
    <t>Galassi, Gaia/ABB-4752-2020</t>
  </si>
  <si>
    <t>galassi, gaia/0000-0002-0533-3889</t>
  </si>
  <si>
    <t>Programma Nazionale di Ricerche in Antartide (PNRA) [CUP D32I14000230005]; Department of Pure and Applied Sciences (DiSPeA) of the Urbino University 'Carlo Bo' [CUPs H32I160000000005, H32I15000160001]</t>
  </si>
  <si>
    <t>Programma Nazionale di Ricerche in Antartide (PNRA); Department of Pure and Applied Sciences (DiSPeA) of the Urbino University 'Carlo Bo'</t>
  </si>
  <si>
    <t>We thank Matt King for providing mass balance data and very constructive comments, and two anonymous reviewers for useful suggestions. Marco Olivieri is thanked for fruitful discussions and advice. The GIA data for models ICE-5G(VM2 L90) and ICE-6G(VM5a) have been downloaded from the home page of Richard Peltier (http://www.atmosp.physics.utoronto.ca/similar to peltier/data.php). The W12 data have been kindly provided by Pippa Whitehouse. All the figures have been drawn using the Generic Mapping Tools (http://gmt.soest.hawaii.edu/). This work was funded by Programma Nazionale di Ricerche in Antartide (PNRA; CUP D32I14000230005) and by research grants from the Department of Pure and Applied Sciences (DiSPeA) of the Urbino University 'Carlo Bo' (CUPs H32I160000000005 and H32I15000160001). The SELEN and REAR programs can be downloaded from https:// geodynamics.org/cig/software/selen/ and http://hpc.rm.ingv.it/rear, respectively.</t>
  </si>
  <si>
    <t>10.1017/S0954102016000729</t>
  </si>
  <si>
    <t>WOS:000407733900009</t>
  </si>
  <si>
    <t>Bergami, E; Pugnalini, S; Vannuccini, ML; Manfra, L; Faleri, C; Savorelli, F; Dawson, KA; Corsi, I</t>
  </si>
  <si>
    <t>Bergami, E.; Pugnalini, S.; Vannuccini, M. L.; Manfra, L.; Faleri, C.; Savorelli, F.; Dawson, K. A.; Corsi, I.</t>
  </si>
  <si>
    <t>Long-term toxicity of surface-charged polystyrene nanoplastics to marine planktonic species Dunaliella tertiolecta and Artemia franciscana</t>
  </si>
  <si>
    <t>AQUATIC TOXICOLOGY</t>
  </si>
  <si>
    <t>Surface charges; Polystyrene nanoparticles; Ecotoxicity; Marine plankton; Growth inhibition; Cathepsin L-like protease</t>
  </si>
  <si>
    <t>EXTRACELLULAR POLYMERIC SUBSTANCES; URCHIN PARACENTROTUS-LIVIDUS; MYTILUS-EDULIS L.; SILVER NANOPARTICLES; CYSTEINE CATHEPSINS; MEDITERRANEAN SEA; CARBON NANOTUBES; UPTAKE KINETICS; LIPID-BILAYERS; CELL-DEATH</t>
  </si>
  <si>
    <t>Plastic pollution has been globally recognized as a critical issue for marine ecosystems and nanoplastics constitute one of the last unexplored areas to understand the magnitude of this threat. However, current difficulties in sampling and identifying nano-sized debris make hard to assess their occurrence in marine environment. Polystyrene nanoparticles (PS NPs) are largely used as nanoplastics in ecotoxicological studies and although acute exposures have been already investigated, long-term toxicity on marine organisms is unknown. Our study aims at evaluating the effects of 40 run PS anionic carboxylated (PS-COOH) and 50 nm cationic amino-modified (PS-NH2) NPs in two planktonic species, the green microalga Dunaliella tertiolecta and the brine shrimp Anemia franciscana, respectively prey and predator. PS NP behaviour in exposure media was determined through DLS, while their toxicity to microalgae and brine shrimps evaluated through 72 h growth inhibition test and 14 d long-term toxicity test respectively. Moreover, the expression of target genes (i.e. clap and cstb), having a role in brine shrimp larval growth and molting, was measured in 48 h brine shrimp larvae. A different behaviour of the two PS NPs in exposure media as well as diverse toxicity to the two planktonic species was observed. PS-COOH formed micro-scale aggregates (Z-Average &gt; 1 pm) and did not affect the growth of microalgae up to 50 mu g/ml or that of brine shrimps up to 10 mu g/ml. However, these negatively charged NPs were adsorbed on microalgae and accumulated (and excreted) in brine shrimps, suggesting a potential trophic transfer from prey to predator. On the opposite, PS-NH2-formed nano-scale aggregates (Z-Average &lt; 200 nm), caused inhibition of algal growth (EC50 = 12.97 mu g/ml) and mortality in brine shrimps at 14 d (LC50 = 0.83 mu g/ml). Moreover, 1 mu g/ml PS-NH2 significantly induced clap and cstb genes, explaining the physiological alterations (e.g. increase in molting) previously observed in 48 h larvae, but also suggesting an apoptotic pathway triggered by cathepsin L like protease in brine shrimps upon PS-NH2 exposure. These findings provide a first insight into long-term toxicity of nanoplastics to marine plankton, underlining the role of the surface chemistry in determining the behaviour and effects of PS NPs, in terms of adsorption, growth inhibition, accumulation, gene modulation and mortality. The use of long-term end-point has been identified as valuable tool for assessing the impact of nanoplastics on marine planktonic species, being more predictable of real exposure scenarios for risk assessment purposes.</t>
  </si>
  <si>
    <t>[Bergami, E.; Pugnalini, S.; Vannuccini, M. L.; Corsi, I.] Univ Siena, Dept Phys Earth &amp; Environm Sci, Siena, Italy; [Manfra, L.] Inst Environm Protect &amp; Res ISPRA, Rome, Italy; [Manfra, L.] Anton Dohrn Zool Stn, Dept Biol &amp; Evolut Marine Organisms, I-80121 Naples, Italy; [Faleri, C.] Univ Siena, Dept Life Sci, I-53100 Siena, Italy; [Savorelli, F.] Reg Agcy Prevent Environm &amp; Energy Emilia Romagna, Ferrara, Italy; [Dawson, K. A.] Univ Coll Dublin, Sch Chem &amp; Chem Biol, Ctr BioNano Interact, Dublin, Ireland</t>
  </si>
  <si>
    <t>University of Siena; Italian Institute for Environmental Protection &amp; Research (ISPRA); Stazione Zoologica Anton Dohrn di Napoli; University of Siena; Regional Environmental Protection Agency - Italy; University College Dublin</t>
  </si>
  <si>
    <t>Bergami, E (corresponding author), Univ Siena, Dept Phys Earth &amp; Environm Sci, Siena, Italy.</t>
  </si>
  <si>
    <t>bergami@student.unisi.it</t>
  </si>
  <si>
    <t>Bergami, Elisa/JFJ-1703-2023; Corsi, Ilaria/D-3795-2012; Dawson, Kenneth A. A/L-2540-2016</t>
  </si>
  <si>
    <t>Bergami, Elisa/0000-0001-8149-9584; Corsi, Ilaria/0000-0002-1811-3041; Dawson, Kenneth A. A/0000-0002-0568-6588; Vannuccini, Maria Luisa/0000-0002-1465-1926</t>
  </si>
  <si>
    <t>University of Siena and the Italian National Antarctic Museum Felice Ippolito</t>
  </si>
  <si>
    <t>This study was performed in the framework of the PhD project entitled Polystyrene nanoparticles and their impact on marine ecosystems: accumulation, disposal and toxicity in marine species from Antarctic and Mediterranean Seas. PhD student Elisa Bergami, PhD School in Geological, Environmental and Polar sciences and technologies, Department of Physical, Earth and Environmental Sciences, University of Siena (Italy). Funded by the University of Siena and the Italian National Antarctic Museum Felice Ippolito. PS NP characterization by DLS analysis was conducted at facilities available at the Department of Biotechnologies, Chemistry and Pharmacy of the University of Siena (Italy).</t>
  </si>
  <si>
    <t>0166-445X</t>
  </si>
  <si>
    <t>1879-1514</t>
  </si>
  <si>
    <t>AQUAT TOXICOL</t>
  </si>
  <si>
    <t>Aquat. Toxicol.</t>
  </si>
  <si>
    <t>10.1016/j.aquatox.2017.06.008</t>
  </si>
  <si>
    <t>Marine &amp; Freshwater Biology; Toxicology</t>
  </si>
  <si>
    <t>FA9KU</t>
  </si>
  <si>
    <t>WOS:000405765300018</t>
  </si>
  <si>
    <t>Nielsen, SS; von Arx, G; Damgaard, CF; Abermann, J; Buchwal, A; Büntgen, U; Treier, UA; Barfod, AS; Normand, S</t>
  </si>
  <si>
    <t>Nielsen, Sigrid S.; von Arx, Georg; Damgaard, Christian F.; Abermann, Jakob; Buchwal, Agata; Buntgen, Ulf; Treier, Urs A.; Barfod, Anders S.; Normand, Signe</t>
  </si>
  <si>
    <t>Xylem anatomical trait variability provides insight on the climate-growth relationship of Betula nana in western Greenland</t>
  </si>
  <si>
    <t>HYDRAULIC ARCHITECTURE; IMAGE-ANALYSIS; SHRUB GROWTH; TEMPERATURE; HETEROGENEITY; PLASTICITY; EFFICIENCY</t>
  </si>
  <si>
    <t>Climate change has been reported to affect shrub growth positively at several sites at high northern latitudes, including several arctic environments. The observed growth rates are, however, not uniform in space and time, and the mechanistic drivers of these patterns remain poorly understood. Here we investigated spatio-temporal interactions between climatic conditions, xylem anatomical traits, and annual growth of 21 Betula nana L. individuals from western Greenland for the period 2001-2011. Structural equation modeling showed that summer precipitation and winter temperature are affecting annual growth positively. Furthermore, vessel lumen area and vessel grouping, which are related to water conductivity and hydraulic connectivity of the xylem, respectively, positively influenced annual growth. To optimize growth B. nana was thus able to adjust its water transporting system. Annual variation in vessel lumen area seemed to be driven mostly by spring and summer temperatures, whereas annual variation in vessel grouping was driven by winter temperature. Linear models did not reveal a pattern in the spatial variation of xylem anatomical traits across the sampled climatic gradient. However, growth was positively correlated with local variation in insolation. Our results suggest that B. nana can adjust its hydraulic capacity to annual fluctuations in climatic conditions in order to optimize its total radial stem growth rate.</t>
  </si>
  <si>
    <t>[Nielsen, Sigrid S.; Treier, Urs A.; Barfod, Anders S.; Normand, Signe] Aarhus Univ, Dept Biosci, Ecoinformat &amp; Biodivers, Ny Munkegade 114-116,Bldg 1540, DK-8000 Aarhus C, Denmark; [von Arx, Georg; Buntgen, Ulf; Treier, Urs A.; Normand, Signe] Swiss Fed Inst Forest Snow &amp; Landscape Res WSL, Zurcherstr 111, CH-8903 Birmensdorf, Switzerland; [von Arx, Georg] Inst Environm Sci, Climat Change &amp; Climate Impacts, 66 Blvd Carl Vogt, CH-1205 Geneva, Switzerland; [Damgaard, Christian F.] Aarhus Univ, Plant &amp; Insect Ecol, Dept Biosci, Vejlsovej 25,Bldg M3-15, DK-8600 Silkeborg, Denmark; [Abermann, Jakob] Asiaq, Greenland Survey, Qatserisut 8, Nuuk 3900, Greenland; [Buchwal, Agata] Adam Mickiewicz Univ, Inst Geoecol &amp; Geoinformat, B Krygowskiego 10, PL-61680 Poznan, Poland; [Buchwal, Agata] Univ Alaska Anchorage, Dept Biol Sci, 3151 Alumni Loop, Anchorage, AK 99508 USA; [Buntgen, Ulf] Univ Cambridge, Dept Geog, Downing Pl, Cambridge CB2 3EN, England; [Buntgen, Ulf] CzechGlobe, Kotlarska 2, Brno 61137, Czech Republic; [Buntgen, Ulf] Masaryk Univ, Kotlarska 2, Brno 61137, Czech Republic; [Treier, Urs A.; Normand, Signe] Aarhus Univ, ARC, Ny Munkegade 114-116,Bldg 1540, DK-8000 Aarhus C, Denmark</t>
  </si>
  <si>
    <t>Aarhus University; Swiss Federal Institutes of Technology Domain; Swiss Federal Institute for Forest, Snow &amp; Landscape Research; Aarhus University; Adam Mickiewicz University; University of Alaska System; University of Alaska Anchorage; University of Cambridge; Masaryk University Brno; Masaryk University Brno; Aarhus University</t>
  </si>
  <si>
    <t>Nielsen, SS (corresponding author), Aarhus Univ, Dept Biosci, Ecoinformat &amp; Biodivers, Ny Munkegade 114-116,Bldg 1540, DK-8000 Aarhus C, Denmark.</t>
  </si>
  <si>
    <t>sigrid.nielsen@bios.au.dk</t>
  </si>
  <si>
    <t>buentgen, ulf/J-6952-2013; Normand, Signe/AAA-4769-2022; Barfod, Anders S./JAC-5743-2023; Normand, Signe/A-1561-2012; Damgaard, Christian/G-2441-2010; Barfod, Anders S./AAP-5604-2020; Buchwal, Agata/F-5516-2013; von Arx, Georg/E-1785-2012; Treier, Urs Albert/A-1913-2012</t>
  </si>
  <si>
    <t>Normand, Signe/0000-0002-8782-4154; Damgaard, Christian/0000-0003-3932-4312; Buchwal, Agata/0000-0001-6879-6656; von Arx, Georg/0000-0002-8566-4599; Treier, Urs Albert/0000-0003-4027-739X</t>
  </si>
  <si>
    <t>Villum Kann Rasmussen Foundation [VKR023456]; Graduate School of Science and Technology, Aarhus University, Denmark; Ministry of Education, Youth and Sports of Czech Republic within the National Sustainability Program I (NPU I) [LO1415]; SAFT (Society for Arctic Science and Technology, Denmark); Villum Fonden [00007380] Funding Source: researchfish</t>
  </si>
  <si>
    <t>Villum Kann Rasmussen Foundation(Villum Fonden); Graduate School of Science and Technology, Aarhus University, Denmark; Ministry of Education, Youth and Sports of Czech Republic within the National Sustainability Program I (NPU I); SAFT (Society for Arctic Science and Technology, Denmark); Villum Fonden(Villum Fonden)</t>
  </si>
  <si>
    <t>We would like to thank Fritz Schweingruber for a helpful introduction to the lab techniques used to prepare the anatomical cross sections for this study. We are thankful for the constructive inputs from the two anonymous reviewers. The project was funded by the Villum Kann Rasmussen Foundation (VKR023456 to Signe Normand) and the Graduate School of Science and Technology, Aarhus University, Denmark. Ulf Buntgen received funding from the Ministry of Education, Youth and Sports of Czech Republic within the National Sustainability Program I (NPU I), grant number LO1415. We would also like to thank SAFT (Society for Arctic Science and Technology, Denmark) for funding travel expenses.</t>
  </si>
  <si>
    <t>10.1657/AAAR0016-041</t>
  </si>
  <si>
    <t>WOS:000407837100002</t>
  </si>
  <si>
    <t>Zou, Q; Zhou, GGD; Li, SS; Ouyang, CJ; Tang, JB</t>
  </si>
  <si>
    <t>Zou, Qiang; Zhou, Gordon G. D.; Li, Shusong; Ouyang, Chaojun; Tang, Jinbo</t>
  </si>
  <si>
    <t>Dynamic process analysis and hazard prediction of debris flow in eastern Qinghai-Tibet Plateau area-A case study at Ridi Gully</t>
  </si>
  <si>
    <t>RISK-ASSESSMENT; EARTHQUAKE; SIMULATION; EXAMPLE; MODELS</t>
  </si>
  <si>
    <t>Process analysis and hazard prediction are essential for the prevention and mitigation of debris-flow hazards in mountainous areas. Many villages and ongoing infrastructure projects in China are vulnerable to large debris flows during heavy rainfall or glacier lake outbursts. Without emergency management planning, such contingencies can lead to extensive loss of life and egregious property damage. In the eastern Qinghai-Tibet Plateau area, debris-flow disasters are a common phenomenon. Taking Ridi Gully in the Sichuan Province of China as a case study, we analyzed the process of debris-flow events by running a dynamic erosion model. Because of the dynamic nature of the process, we needed to take into account many variables. Some of these variables include strong erosion in the origin area, scouring and downward erosion in debris-flow path, and siltation in accumulation area. Subsequently, we analyzed the elements underlying the hazard formation conditions and proposed a systematic and quantitative method of debris-flow hazard prediction based on kinetic energy and flow depth. Finally, we predicted the hazard and damage potential induced by the debris flow triggered by a 100-year and 200-year return period precipitation in Ridi Gully. The simulation results indicate that debris flow will cause great damage to the Sichuan-Tibet railway (or highway) and the residential area on the alluvial fan. This strongly suggests that, given the high level of debris-flow hazard predicted, the proposed method may serve as pertinent and timely support in planning measures to prevent or reduce the debris-flow hazard, both in the eastern Qinghai-Tibet Plateau area and beyond.</t>
  </si>
  <si>
    <t>[Zou, Qiang; Zhou, Gordon G. D.; Ouyang, Chaojun; Tang, Jinbo] Chinese Acad Sci, Key Lab Mt Hazards &amp; Earth Surface Proc, Inst Mt Hazards &amp; Environm, 9,Block 4,South Renmin Rd, Chengdu 610041, Sichuan, Peoples R China; [Zou, Qiang; Zhou, Gordon G. D.; Ouyang, Chaojun; Tang, Jinbo] Univ Chinese Acad Sci, 19 A Yuquan Rd, Beijing 100049, Peoples R China; [Li, Shusong] Southwest Univ Sci &amp; Technol, Sch Environm &amp; Resource, 59 Qinglong Rd, Mianyang 621010, Sichuan, Peoples R China</t>
  </si>
  <si>
    <t>Chinese Academy of Sciences; Institute of Mountain Hazards &amp; Environment, CAS; Chinese Academy of Sciences; University of Chinese Academy of Sciences, CAS; Southwest University of Science &amp; Technology - China</t>
  </si>
  <si>
    <t>Zou, Q (corresponding author), Chinese Acad Sci, Key Lab Mt Hazards &amp; Earth Surface Proc, Inst Mt Hazards &amp; Environm, 9,Block 4,South Renmin Rd, Chengdu 610041, Sichuan, Peoples R China.;Zou, Q (corresponding author), Univ Chinese Acad Sci, 19 A Yuquan Rd, Beijing 100049, Peoples R China.</t>
  </si>
  <si>
    <t>zouqiangman@sina.com</t>
  </si>
  <si>
    <t>Ouyang, Chaojun/T-6518-2019</t>
  </si>
  <si>
    <t>National Nature Science Foundation of China [41401598]; Chinese Academy of Sciences [KFJ-EW-STS-094]; Technological Achievements Popularization Project of Chinese Transport Ministry [2015316T19060]; Research Foundation of Key Laboratory of Digital Mapping and Land Information Application of National Administration of Surveying, Mapping and Geoinformation [DM2016SC03]; Youth Innovation Promotion Association of Chinese Academy of Sciences</t>
  </si>
  <si>
    <t>National Nature Science Foundation of China(National Natural Science Foundation of China (NSFC)); Chinese Academy of Sciences(Chinese Academy of Sciences); Technological Achievements Popularization Project of Chinese Transport Ministry; Research Foundation of Key Laboratory of Digital Mapping and Land Information Application of National Administration of Surveying, Mapping and Geoinformation; Youth Innovation Promotion Association of Chinese Academy of Sciences</t>
  </si>
  <si>
    <t>This research was supported by the National Nature Science Foundation of China (Grant No. 41401598), the project of Science and Technology Service Network Plan of Chinese Academy of Sciences (Grant No. KFJ-EW-STS-094), the Technological Achievements Popularization Project of Chinese Transport Ministry (Grant No. 2015316T19060), and the Research Foundation of Key Laboratory of Digital Mapping and Land Information Application of National Administration of Surveying, Mapping and Geoinformation (Grant No. DM2016SC03), and the Youth Innovation Promotion Association of Chinese Academy of Sciences.</t>
  </si>
  <si>
    <t>10.1657/AAAR0017-019</t>
  </si>
  <si>
    <t>WOS:000407837100003</t>
  </si>
  <si>
    <t>Yuan, X; Knelman, JE; Wang, DL; Goebl, A; Gasarch, E; Seastedt, TR</t>
  </si>
  <si>
    <t>Yuan, Xia; Knelman, Joseph E.; Wang, Deli; Goebl, April; Gasarch, Eve; Seastedt, Timothy R.</t>
  </si>
  <si>
    <t>Patterns of soil bacterial richness and composition tied to plant richness, soil nitrogen, and soil acidity in alpine tundra</t>
  </si>
  <si>
    <t>LONG-TERM; MICROBIAL COMMUNITIES; ECOSYSTEM FUNCTION; SPECIES RICHNESS; DIVERSITY; DEPOSITION; RESPONSES; SNOW; FERTILIZATION; BIODIVERSITY</t>
  </si>
  <si>
    <t>Patterns of soil bacterial richness using operational taxonomic units (OTUs) and abundance of bacterial groups (phylum or class) were studied in relation to plant richness and soil characteristics in the alpine at Niwot Ridge, Colorado, U.S.A. The study used a landscape gradient and snow fence in addition to plots amended with nitrogen (N). Bacterial richness was not correlated with total soil carbon (C) or total soil N, but showed strong positive correlations with pH and corresponding correlations with metallic cation concentrations. Bacterial richness showed a strong negative correlation (r = -0.86) with soil acidity and declined 30% over the pH gradient of 6.0-4.5. Plant richness correlated with acidity (r = -0.70) and declined 50% over this gradient. Bacterial OTU richness was sensitive to acidity but not to N amendments. However, abundance of five bacterial groups responded positively to N, four responded negatively, and three groups exhibited no changes. In plots with additional snow, snow additions reduced OTU richness. However, when snow was included in an ANCOVA model with N and soil acidity, OTUs were not affected, suggesting that snow effects were largely captured by soil acidity changes. Bacterial richness was correlated with forb richness and cover, but causal relationships remain unresolved.</t>
  </si>
  <si>
    <t>[Yuan, Xia; Knelman, Joseph E.; Goebl, April; Gasarch, Eve; Seastedt, Timothy R.] Univ Colorado, Dept Ecol &amp; Evolutionary Biol, UCB 450, Boulder, CO 80309 USA; [Yuan, Xia; Knelman, Joseph E.; Goebl, April; Gasarch, Eve; Seastedt, Timothy R.] Univ Colorado, Inst Arctic &amp; Alpine Res, UCB 450, Boulder, CO 80309 USA; [Yuan, Xia; Wang, Deli] Northeast Normal Univ, Inst Grassland Sci, 5268 Renmin St, Changchun 130024, Jilin, Peoples R China; [Yuan, Xia; Wang, Deli] Minist Educ, Key Lab Vegetat Ecol, 5268 Renmin St, Changchun 130024, Jilin, Peoples R China</t>
  </si>
  <si>
    <t>University of Colorado System; University of Colorado Boulder; University of Colorado System; University of Colorado Boulder; Northeast Normal University - China</t>
  </si>
  <si>
    <t>Seastedt, TR (corresponding author), Univ Colorado, Dept Ecol &amp; Evolutionary Biol, UCB 450, Boulder, CO 80309 USA.</t>
  </si>
  <si>
    <t>timothy.seastedt@colorado.edu</t>
  </si>
  <si>
    <t>Wang, Deli/G-3379-2010; Seastedt, Tim/AAG-1100-2019</t>
  </si>
  <si>
    <t>SEASTEDT, TIM/0000-0001-5079-7511</t>
  </si>
  <si>
    <t>China Scholarship Council; National Science Foundation (NSF) [DEB-1258160]; NSF [DGE 1144083]; Niwot Ridge Long-Term Ecological Research program - NSF IGERT [DEB 1027341, 1144807]</t>
  </si>
  <si>
    <t>China Scholarship Council(China Scholarship Council); National Science Foundation (NSF)(National Science Foundation (NSF)); NSF(National Science Foundation (NSF)); Niwot Ridge Long-Term Ecological Research program - NSF IGERT</t>
  </si>
  <si>
    <t>We acknowledge both the inspiration and energy provided by Dr. Diana Nemergut, who passed away in December 2015. We thank Drs. Emily Farrar and Steven Schmidt for suggesting improvements to an earlier draft of this manuscript. Seth Flaaten helped with much of the Illumina sequencing. Xia Yuan was supported by the China Scholarship Council during much of this study. Research was funded in part by the National Science Foundation (NSF) through a grant (DEB-1258160) to Diana Nemergut, and an NSF graduate research fellowship to Joseph Knelman (DGE 1144083). The Niwot Ridge Long-Term Ecological Research program (DEB 1027341) supported the work of Eve Gasarch and Timothy R. Seastedt, whereas April Goebl was funded by NSF IGERT grant number 1144807 to the Quantitative Biology (IQ Biology) program at the BioFrontiers Institute, University of Colorado, Boulder. The data reported here are archived in the NWT LTER database (http://culter.colorado.edu/NWT/).</t>
  </si>
  <si>
    <t>10.1657/AAAR0016-050</t>
  </si>
  <si>
    <t>WOS:000407837100007</t>
  </si>
  <si>
    <t>Inglese, CN; Christiansen, CT; Lamhonwah, D; Moniz, K; Montross, SN; Lamoureux, S; Lafrenière, M; Grogan, P; Walker, VK</t>
  </si>
  <si>
    <t>Inglese, Cara N.; Christiansen, Casper T.; Lamhonwah, Daniel; Moniz, Kristy; Montross, Scott N.; Lamoureux, Scott; Lafreniere, Melissa; Grogan, Paul; Walker, Virginia K.</t>
  </si>
  <si>
    <t>Examination of soil microbial communities after permafrost thaw subsequent to an active layer detachment in the High Arctic</t>
  </si>
  <si>
    <t>GRADIENT GEL-ELECTROPHORESIS; AMMONIA-OXIDIZING ARCHAEA; GENE FRAGMENTS; WATER; DIVERSITY; BACTERIA; POPULATIONS; DYNAMICS</t>
  </si>
  <si>
    <t>Active layer detachments (ALDs) are permafrost disturbances associated with climate change and increased seasonal warming. Such perturbations result from thawing of the upper permafrost and downslope movement of the overlying thawed material, including the active layer. ALDs have the potential to impact soil microbial community composition and function in arctic soil ecosystems. Here we report an initial investigation of an ALD located at Cape Bounty on Melville Island in the Canadian High Arctic. We examined soil nutrient content as well as microbial community structure using denaturing gradient gel electrophoresis and sequencing. Soil from the disturbed site showed changes in microbial communities with strikingly different fungal community composition compared to soils from an adjacent undisturbed site. These community changes were correlated with enhanced levels of dissolved organic carbon, microbial carbon, total dissolved nitrogen, and microbial nitrogen. The Nitrososphaerales-an order of ammonia-oxidizing Archaea-were more abundant in the disturbed soil and may have been responsible for the altered nitrogen cycling that resulted in higher levels of total dissolved nitrogen there. The fungal communities at both sites were dominated by orders within the Ascomycota, a phylum of mainly hyphal fungi. Intriguingly however, they were more numerous in the undisturbed soil compared to the disturbed soil, suggesting that certain Ascomycota could not reestablish within six years of the ALD, and more generally that fungal hyphal networks may help to stabilize tundra surface soils against erosional losses.</t>
  </si>
  <si>
    <t>[Inglese, Cara N.; Christiansen, Casper T.; Moniz, Kristy; Grogan, Paul; Walker, Virginia K.] Queens Univ, Dept Biol, 116 Barrie St, Kingston, ON K7L 3N6, Canada; [Lamhonwah, Daniel; Montross, Scott N.; Lamoureux, Scott; Lafreniere, Melissa] Queens Univ, Dept Geog &amp; Planning, 68 Univ Ave, Kingston, ON K7L 3N6, Canada; [Lamoureux, Scott; Walker, Virginia K.] Queens Univ, Sch Environm Studies, 116 Barrie St, Kingston, ON K7L 3N6, Canada; [Inglese, Cara N.] BC Womens Hosp &amp; Hlth Ctr, Prov Med Genet Program, 4500 Oak St, Vancouver, BC V6H 3N1, Canada; [Christiansen, Casper T.] Uni Res Climate, Nygardsgaten 112, N-5008 Bergen, Norway</t>
  </si>
  <si>
    <t>Queens University - Canada; Queens University - Canada; Queens University - Canada</t>
  </si>
  <si>
    <t>Inglese, CN (corresponding author), Queens Univ, Dept Biol, 116 Barrie St, Kingston, ON K7L 3N6, Canada.;Inglese, CN (corresponding author), BC Womens Hosp &amp; Hlth Ctr, Prov Med Genet Program, 4500 Oak St, Vancouver, BC V6H 3N1, Canada.</t>
  </si>
  <si>
    <t>cara.inglese@cw.bc.ca</t>
  </si>
  <si>
    <t>Christiansen, Casper/0000-0002-4526-614X; Lafreniere, Melissa/0000-0002-9639-6825</t>
  </si>
  <si>
    <t>Natural Sciences and Engineering Research Council (NSERC) of Canada and Arctic Development and Adaptation to Permafrost in Transition (ADAPT); ArcticNet Network Centres of Excellence; NSERC</t>
  </si>
  <si>
    <t>Natural Sciences and Engineering Research Council (NSERC) of Canada and Arctic Development and Adaptation to Permafrost in Transition (ADAPT)(Natural Sciences and Engineering Research Council of Canada (NSERC)); ArcticNet Network Centres of Excellence; NSERC(Natural Sciences and Engineering Research Council of Canada (NSERC))</t>
  </si>
  <si>
    <t>This work was supported by funding from the Natural Sciences and Engineering Research Council (NSERC) of Canada and Arctic Development and Adaptation to Permafrost in Transition (ADAPT) program, ArcticNet Network Centres of Excellence, and NSERC Discovery grants to P. Grogan, S. F. Lamoureux, M. J. Lafrenisre, and V. K. Walker. Polar Continental Shelf Programme provided logistics for field sampling.</t>
  </si>
  <si>
    <t>10.1657/AAAR0016-066</t>
  </si>
  <si>
    <t>WOS:000407837100008</t>
  </si>
  <si>
    <t>Hobbie, EA; Shamhart, J; Sheriff, M; Ouimette, AP; Trappe, M; Schuur, EAG; Hobbie, JE; Boonstra, R; Barnes, BM</t>
  </si>
  <si>
    <t>Hobbie, Erik A.; Shamhart, Julee; Sheriff, Michael; Ouimette, Andrew P.; Trappe, Matt; Schuur, Edward A. G.; Hobbie, John E.; Boonstra, Rudy; Barnes, Brian M.</t>
  </si>
  <si>
    <t>Stable isotopes and radiocarbon assess variable importance of plants and fungi in diets of arctic ground squirrels</t>
  </si>
  <si>
    <t>ECTOMYCORRHIZAL FUNGI; NITROGEN ISOTOPES; CARBON-ISOTOPE; TISSUE-TYPE; DISCRIMINATION; DELTA-N-15; DELTA-C-13; PATTERNS; TUNDRA; FOOD</t>
  </si>
  <si>
    <t>Arctic ground squirrels (Urocitellus parryii) rely primarily on dietary protein derived from plants to fuel gluconeogenesis during hibernation, yet fungal sporocarps may be an important, yet overlooked, protein source. Fungivory levels depend on sporocarp productivity, which varies with the dominant plant species and is higher on acidic than on non-acidic soils. To test whether these factors altered fungal consumption, we used stable isotopes to investigate arctic ground squirrel diets at two sites in northern Alaska, Toolik (primarily moist acidic tundra) and Atigun (primarily moist non-acidic tundra). Radiocarbon estimates can also indicate fungivory levels because ectomycorrhizal fungi assimilate soil-derived organic nitrogen whose C-14 levels are higher than current photosynthesis. We measured radiocarbon in hair and delta C-13 and delta N-15 in hair, feces, ectomycorrhizal sporocarps, graminoids, and dicots. Feces were higher in delta C-13 and delta N-15 at Toolik than at Atigun, and fecal delta N-15 increased in August at Toolik, coincident with sporocarp production and fungal spores in feces. Mixing models indicated that graminoids contributed 64%, dicots 35%, and sporocarps 1% to Atigun hair protein, whereas graminoids contributed 37%, dicots 16%, and sporocarps 47% to Toolik hair protein. Acidic soils appeared to correlate with higher sporocarp production and fungivory at Toolik than at Atigun. Atigun hair resembled atmospheric CO2 in C-14, whereas Toolik hair had higher C-14, consistent with greater fungal consumption at Toolik. Late-season sporocarps may be a key protein source for some squirrels and may provide an integrated signal of the soil organic nitrogen assimilated by ectomycorrhizal fungi.</t>
  </si>
  <si>
    <t>[Hobbie, Erik A.; Shamhart, Julee; Ouimette, Andrew P.] Univ New Hampshire, Earth Syst Res Ctr, 8 Coll Rd,Morse Hall, Durham, NH 03824 USA; [Sheriff, Michael] Penn State Univ, Dept Ecosyst Sci &amp; Management, 405 Forest Resources Bldg, University Pk, PA 16802 USA; [Trappe, Matt] Oregon State Univ, Coll Forestry, 140 Peavy Hall,3100 SW Jefferson Way, Corvallis, OR 97331 USA; [Schuur, Edward A. G.] No Arizona Univ, Ctr Ecosyst Sci &amp; Soc, Dept Biol Sci, Box 5640, Flagstaff, AZ 86011 USA; [Hobbie, John E.] Marine Biol Lab, Ctr Ecosyst, 7 MBL St, Woods Hole, MA 02543 USA; [Boonstra, Rudy] Univ Toronto Scarborough, Dept Biol Sci, 1265 Mil Trail, Toronto, ON M1C 1A4, Canada; [Barnes, Brian M.] Univ Alaska Fairbanks, Inst Arctic Biol, 311 Irving 1 Bldg, Fairbanks, AK 99775 USA</t>
  </si>
  <si>
    <t>University System Of New Hampshire; University of New Hampshire; Pennsylvania Commonwealth System of Higher Education (PCSHE); Pennsylvania State University; Pennsylvania State University - University Park; Oregon State University; Northern Arizona University; Marine Biological Laboratory - Woods Hole; University of Toronto; University Toronto Scarborough; University of Alaska System; University of Alaska Fairbanks</t>
  </si>
  <si>
    <t>Hobbie, EA (corresponding author), Univ New Hampshire, Earth Syst Res Ctr, 8 Coll Rd,Morse Hall, Durham, NH 03824 USA.</t>
  </si>
  <si>
    <t>erik.hobbie@unh.edu</t>
  </si>
  <si>
    <t>Ouimette, Andrew/0000-0003-3016-5730</t>
  </si>
  <si>
    <t>NSF LTER network; U.S. National Science Foundation [OPP-1108074, IOS-1147232]; Direct For Biological Sciences; Division Of Integrative Organismal Systems [1558160] Funding Source: National Science Foundation; Division Of Integrative Organismal Systems; Direct For Biological Sciences [1147232] Funding Source: National Science Foundation</t>
  </si>
  <si>
    <t>NSF LTER network; U.S. National Science Foundation(National Science Foundation (NSF)); Direct For Biological Sciences; Division Of Integrative Organismal Systems(National Science Foundation (NSF)NSF - Directorate for Biological Sciences (BIO)NSF - Division of Integrative Organismal Systems (IOS)); Division Of Integrative Organismal Systems; Direct For Biological Sciences(National Science Foundation (NSF)NSF - Directorate for Biological Sciences (BIO)NSF - Division of Integrative Organismal Systems (IOS))</t>
  </si>
  <si>
    <t>We thank Rebecca Rowe, Ryan Stephens, Andy Maguire, and several anonymous reviewers for comments on previous versions. This study was supported by the NSF LTER network and grants from U.S. National Science Foundation OPP-1108074 and IOS-1147232.</t>
  </si>
  <si>
    <t>10.1657/AAAR0016-062</t>
  </si>
  <si>
    <t>WOS:000407837100010</t>
  </si>
  <si>
    <t>Arndt, DS; Blunden, J; Dunn, RJH; Aaron-Morrison, AP; Abdallah, A; Ackerman, SA; Adler, R; Alfaro, EJ; Allan, RP; Allan, R; Alvarez, LA; Alves, LM; Amador, JA; Andreassen, LM; Arce, D; Argüez, A; Arndt, DS; Arzhanova, NM; Augustine, J; Awatif, E; Azorin-Molina, C; Báez, J; Bardin, MU; Barichivich, J; Baringer, MO; Barreira, S; Baxter, S; Beck, HE; Becker, A; Bedka, KM; Behrenfeld, MJ; Bell, GD; Belmont, M; Benedetti, A; Bernhard, GH; Berrisford, P; Berry, DI; Bettolli, ML; Bhatt, US; Bidegain, M; Biskaborn, B; Bissolli, P; Bjerke, J; Blake, ES; Blunden, J; Bosilovich, MG; Boucher, O; Boudet, D; Box, JE; Boyer, T; Braathen, GO; Brimelow, J; Bromwich, DH; Brown, R; Buehler, S; Bulygina, ON; Burgess, D; Calderón, B; Camargo, SJ; Campbell, JD; Cappelen, J; Caroff, P; Carrea, L; Carter, BR; Chambers, DP; Chandler, E; Cheng, MD; Christiansen, HH; Christy, JR; Chung, D; Chung, ES; Clem, KR; Coelho, CAS; Coldewey-Egbers, M; Colwell, S; Cooper, OR; Copland, L; Cross, JN; Crouch, J; Cutié, V; Davis, SM; de Eyto, E; de Jeu, RAM; de Laat, J; deGasperi, CL; Degenstein, D; Demircan, M; Derksen, C; di Girolamo, L; Diamond, HJ; Dindyal, S; Dlugokencky, EJ; Dohan, K; Dokulil, MT; Dolman, AJ; Domingues, CM; Donat, MG; Dong, S; Dorigo, WA; Drozdov, DS; Dunn, RJH; Durán-Quesada, AM; Dutton, GS; ElKharrim, M; Elkins, JW; Epstein, HE; Espinoza, JC; Etienne-LeBlanc, S; Famiglietti, JS; Farrell, S; Fateh, S; Fausto, RS; Feely, RA; Feng, Z; Fenimore, C; Fettweis, X; Fioletov, VE; Flannigan, M; Flemming, J; Fogt, RL; Folland, C; Fonseca, C; Forbes, BC; Foster, MJ; Francis, SD; Franz, BA; Frey, RA; Frith, SM; Froidevaux, L; Ganter, C; Gerland, S; Gilson, J; Gobron, N; Goldenberg, SB; Goni, G; Gonzalez, IT; Goto, A; Greenhough, MD; Grooss, JU; Gruber, A; Guard, C; Gupta, SK; Gutiérrez, JM; Haas, C; Hagos, S; Hahn, S; Haimberger, L; Hall, BD; Halpert, MS; Hamlington, BD; Hanna, E; Hanssen-Bauer, I; Hare, J; Harris, I; Heidinger, AK; Heim, RR; Hendricks, S; Hernàndez, M; Hernàndez, R; Hidalgo, HG; Ho, SP; Hobbs, WR; Huang, B; Huelsing, HK; Hurst, DF; Ialongo, I; Ijampy, JA; Inness, A; Isaksen, K; Ishii, M; Jevrejeva, S; Jiménez, C; Jin, XZ; John, V; Johns, WE; Johnsen, B; Johnson, B; Johnson, GC; Johnson, KS; Jones, PD; Jumaux, G; Kabidi, K; Kaiser, JW; Kass, D; Kato, S; Kazemi, A; Kelem, G; Keller, LM; Kelly, BP; Kendon, M; Kennedy, J; Kerr, K; Kholodov, AL; Khoshkam, M; Killick, R; Kim, HJ; Kim, SJ; Kimberlain, TB; Klotzbach, PJ; Knaff, JA; Kochtubajda, B; Kohler, J; Korhonen, J; Korshunova, NN; Kramarova, N; Kratz, DP; Kruger, A; Kruk, MC; Krumpen, T; Lakatos, M; Lakkala, K; Lanckmann, JP; Lander, MA; Landschützer, P; Landsea, CW; Lankhorst, M; Lantz, K; Lazzara, MA; Leuliette, E; Lewis, SR; L'Heureux, M; Lieser, JL; Lin, II; Liu, HX; Liu, YH; Locarnini, R; Loeb, NG; Long, CS; Loranty, M; Lorrey, AM; Loyola, D; Lu, MM; Lumpkin, R; Luo, JJ; Luojus, K; Lyman, JM; Macara, G; Macdonald, AM; Macias-Fauria, M; Malkova, GV; Manney, G; Marchenko, SS; Marengo, JA; Marra, JJ; Marszelewski, W; Martens, B; Martínez-Güingla, R; Massom, RA; Mathis, JT; May, L; Mayer, M; Mazloff, M; McBride, C; McCabe, MF; McCarthy, G; McCarthy, M; McDonagh, EL; McGree, S; McVicar, TR; Mears, CA; Meier, W; Mekonnen, A; Menezes, VV; Tsidu, GM; Menzel, WP; Merchant, CJ; Meredith, MP; Merrifield, MA; Minnis, P; Miralles, DG; Mistelbauer, T; Mitchum, GT; Mitro, S; Monselesan, D; Montzka, SA; Mora, N; Morice, C; Morrow, B; Mote, T; Mudryk, L; Mühle, J; Mullan, AB; Müller, R; Nash, ER; Nerem, RS; Newman, L; Newman, PA; Nieto, JJ; Noetzli, J; O'Neel, S; Osborn, TJ; Overland, J; Oyunjargal, L; Parinussa, RM; Park, EH; Pasch, RJ; Pascual-Ramirez, R; Paterson, AM; Pearce, PR; Pellichero, V; Pelto, MS; Peng, L; Perkins-Kirkpatrick, SE; Perovich, D; Petropavlovskikh, I; Pezza, AB; Phillips, C; Phillips, D; Phoenix, G; Pinty, B; Pitts, MC; Pons, MR; Porter, AO; Quintana, J; Rahimzadeh, F; Rajeevan, M; Rayner, D; Raynolds, MK; Razuvaev, VN; Read, P; Reagan, J; Reid, P; Reimer, C; Remy, S; Renwick, JA; Revadekar, JV; Richter-Menge, J; Rimmer, A; Robinson, DA; Rodell, M; Rollenbeck, R; Romanovsky, VE; Ronchail, J; Roquet, F; Rosenlof, KH; Roth, C; Rusak, JA; Sallee, JB; Sanchez-Lugo, A; Santee, ML; Sarmiento, JL; Sawaengphokhai, P; Sayouri, A; Scambos, TA; Schemm, J; Schladow, SG; Schmid, C; Schmid, M; Schoeneich, P; Schreck, CJ; Schuur, T; Selkirk, HB; Send, U; Sensoy, S; Sharp, M; Shi, L; Shiklomanov, NI; Shimaraeva, SV; Siegel, DA; Signorini, SR; Silov, E; Sima, F; Simmons, AJ; Smeed, DA; Smeets, CJPP; Smith, A; Smith, SL; Soden, B; Spence, JM; Srivastava, AK; Stackhouse, PW; Stammerjohn, S; Steinbrecht, W; Stella, JL; Stennett-Brown, R; Stephenson, TS; Strahan, S; Streletskiy, DA; Sun-Mack, S; Swart, S; Sweet, W; Tamar, G; Taylor, MA; Tedesco, M; Thoman, RL; Thompson, L; Thompson, PR; Timmermans, ML; Timofeev, MA; Tirnanes, JA; Tobin, S; Trachte, K; Trewin, BC; Trotman, AR; Tschudi, M; Tweedy, O; van As, D; van de Wal, RSW; van der Schalie, R; van der Schrier, G; van der Werf, GR; van Meerbeeck, CJ; Velicogna, I; Verburg, P; Vieira, G; Vincent, LA; Vömel, H; Vose, RS; Wagner, W; Wahlin, A; Walker, DA; Walsh, J; Wang, B; Wang, CZ; Wang, JH; Wang, L; Wang, M; Wang, SH; Wanninkhof, R; Watanabe, S; Weber, M; Weller, RA; Weyhenmeyer, GA; Whitewood, R; Wiese, DN; Wijffels, SE; Wilber, AC; Wild, JD; Willett, KM; Willie, S; Willis, JK; Wolken, G; Wong, T; Wood, EF; Woolway, RI; Wouters, B; Xue, Y; Yim, SY; Yin, XG; Yu, L; Zambrano, E; Zhang, HM; Zhang, PQ; Zhao, GG; Zhao, L; Ziemke, JR; Zilberman, N</t>
  </si>
  <si>
    <t>Arndt, D. S.; Blunden, J.; Dunn, R. J. H.; Aaron-Morrison, Arlene P.; Abdallah, A.; Ackerman, Steven A.; Adler, Robert; Alfaro, Eric J.; Allan, Richard P.; Allan, Rob; Alvarez, Luis A.; Alves, Lincoln M.; Amador, Jorge A.; Andreassen, L. M.; Arce, Dayana; Argueez, Anthony; Arndt, Derek S.; Arzhanova, N. M.; Augustine, John; Awatif, E. M.; Azorin-Molina, Cesar; Baez, Julian; Bardin, M. U.; Barichivich, Jonathan; Baringer, Molly O.; Barreira, Sandra; Baxter, Stephen; Beck, H. E.; Becker, Andreas; Bedka, Kristopher M.; Behrenfeld, Michael J.; Bell, Gerald D.; Belmont, M.; Benedetti, Angela; Bernhard, G. H.; Berrisford, Paul; Berry, David I.; Bettolli, Maria L.; Bhatt, U. S.; Bidegain, Mario; Biskaborn, B.; Bissolli, Peter; Bjerke, J.; Blake, Eric S.; Blunden, Jessica; Bosilovich, Michael G.; Boucher, Olivier; Boudet, Dagne; Box, J. E.; Boyer, Tim; Braathen, Geir O.; Brimelow, Julian; Bromwich, David H.; Brown, R.; Buehler, S.; Bulygina, Olga N.; Burgess, D.; Calderon, Blanca; Camargo, Suzana J.; Campbell, Jayaka D.; Cappelen, J.; Caroff, P.; Carrea, Laura; Carter, Brendan R.; Chambers, Don P.; Chandler, Elise; Cheng, Ming-Dean; Christiansen, Hanne H.; Christy, John R.; Chung, Daniel; Chung, E. -S.; Clem, Kyle R.; Coelho, Caio A. S.; Coldewey-Egbers, Melanie; Colwell, Steve; Cooper, Owen R.; Copland, L.; Cross, J. N.; Crouch, Jake; Cutie, Virgen; Davis, Sean M.; de Eyto, Elvira; de Jeu, Richard A. M.; de Laat, Jos; DeGasperi, Curtis L.; Degenstein, Doug; Demircan, M.; Derksen, C.; Di Girolamo, Larry; Diamond, Howard J.; Dindyal, S.; Dlugokencky, Ed J.; Dohan, Kathleen; Dokulil, Martin T.; Dolman, A. Johannes; Domingues, Catia M.; Donat, Markus G.; Dong, Shenfu; Dorigo, Wouter A.; Drozdov, D. S.; Dunn, Robert J. H.; Duran-Quesada, Ana M.; Dutton, Geoff S.; ElKharrim, M.; Elkins, James W.; Epstein, H. E.; Espinoza, Jhan C.; Etienne-LeBlanc, Sheryl; Famiglietti, James S.; Farrell, S.; Fateh, S.; Fausto, R. S.; Feely, Richard A.; Feng, Z.; Fenimore, Chris; Fettweis, X.; Fioletov, Vitali E.; Flannigan, Mike; Flemming, Johannes; Fogt, Ryan L.; Folland, Chris; Fonseca, C.; Forbes, B. C.; Foster, Michael J.; Francis, S. D.; Franz, Bryan A.; Frey, Richard A.; Frith, Stacey M.; Froidevaux, Lucien; Ganter, Catherine; Gerland, S.; Gilson, John; Gobron, Nadine; Goldenberg, Stanley B.; Goni, Gustavo; Gonzalez, Idelmis T.; Goto, A.; Greenhough, Marianna D.; Grooss, J. -U.; Gruber, Alexander; Guard, Charles; Gupta, S. K.; Gutierrez, J. M.; Haas, C.; Hagos, S.; Hahn, Sebastian; Haimberger, Leo; Hall, Brad D.; Halpert, Michael S.; Hamlington, Benjamin D.; Hanna, E.; Hanssen-Bauer, I; Hare, Jon; Harris, Ian; Heidinger, Andrew K.; Heim, Richard R., Jr.; Hendricks, S.; Hernandez, Marieta; Hernandez, Rafael; Hidalgo, Hugo G.; Ho, Shu-peng; Hobbs, William R.; Huang, Boyin; Huelsing, Hannah K.; Hurst, Dale F.; Ialongo, I.; Ijampy, J. A.; Inness, Antje; Isaksen, K.; Ishii, Masayoshi; Jevrejeva, Svetlana; Jimenez, C.; Jin Xiangze; John, Viju; Johns, William E.; Johnsen, B.; Johnson, Bryan; Johnson, Gregory C.; Johnson, Kenneth S.; Jones, Philip D.; Jumaux, Guillaume; Kabidi, Khadija; Kaiser, J. W.; Kass, David; Kato, Seiji; Kazemi, A.; Kelem, G.; Keller, Linda M.; Kelly, B. P.; Kendon, Mike; Kennedy, John; Kerr, Kenneth; Kholodov, A. L.; Khoshkam, Mahbobeh; Killick, Rachel; Kim, Hyungjun; Kim, S. -J.; Kimberlain, Todd B.; Klotzbach, Philip J.; Knaff, John A.; Kochtubajda, Bob; Kohler, J.; Korhonen, Johanna; Korshunova, Natalia N.; Kramarova, Natalya; Kratz, D. P.; Kruger, Andries; Kruk, Michael C.; Krumpen, T.; Lakatos, M.; Lakkala, K.; Lanckmann, J. -P.; Lander, Mark A.; Landschuetzer, Peter; Landsea, Chris W.; Lankhorst, Matthias; Lantz, Kathleen; Lazzara, Matthew A.; Leuliette, Eric; Lewis, Stephen R.; L'Heureux, Michelle; Lieser, Jan L.; Lin, I-I; Liu, Hongxing; Liu, Yinghui; Locarnini, Ricardo; Loeb, Norman G.; Long, Craig S.; Loranty, M.; Lorrey, Andrew M.; Loyola, Diego; Lu, Mong-Ming; Lumpkin, Rick; Luo, Jing-Jia; Luojus, K.; Lyman, John M.; Macara, Gregor; Macdonald, Alison M.; Macias-Fauria, M.; Malkova, G. V.; Manney, G.; Marchenko, S. S.; Marengo, Jose A.; Marra, John J.; Marszelewski, Wlodzimierz; Martens, B.; Martinez-Gueingla, Rodney; Massom, Robert A.; Mathis, Jeremy T.; May, Linda; Mayer, Michael; Mazloff, Matthew; McBride, Charlotte; McCabe, M. F.; McCarthy, Gerard; McCarthy, M.; McDonagh, Elaine L.; McGree, Simon; McVicar, Tim R.; Mears, Carl A.; Meier, W.; Mekonnen, A.; Menezes, V. V.; Mengistu Tsidu, G.; Menzel, W. Paul; Merchant, Christopher J.; Meredith, Michael P.; Merrifield, Mark A.; Minnis, Patrick; Miralles, Diego G.; Mistelbauer, T.; Mitchum, Gary T.; Mitro, Srkani; Monselesan, Didier; Montzka, Stephen A.; Mora, Natalie; Morice, Colin; Morrow, Blair; Mote, T.; Mudryk, L.; Muehle, Jens; Mullan, A. Brett; Mueller, R.; Nash, Eric R.; Nerem, R. Steven; Newman, Louise; Newman, Paul A.; Nieto, Juan Jose; Noetzli, Jeannette; O'Neel, S.; Osborn, Tim J.; Overland, J.; Oyunjargal, Lamjav; Parinussa, Robert M.; Park, E-hyung; Pasch, Richard J.; Pascual-Ramirez, Reynaldo; Paterson, Andrew M.; Pearce, Petra R.; Pellichero, V.; Pelto, Mauri S.; Peng, Liang; Perkins-Kirkpatrick, Sarah E.; Perovich, D.; Petropavlovskikh, Irina; Pezza, Alexandre B.; Phillips, C.; Phillips, David; Phoenix, G.; Pinty, Bernard; Pitts, Michael C.; Pons, M. R.; Porter, Avalon O.; Quintana, Juan; Rahimzadeh, Fatemeh; Rajeevan, Madhavan; Rayner, Darren; Raynolds, M. K.; Razuvaev, Vyacheslav N.; Read, Peter; Reagan, James; Reid, Phillip; Reimer, Christoph; Remy, Samuel; Renwick, James A.; Revadekar, Jayashree V.; Richter-Menge, J.; Rimmer, Alon; Robinson, David A.; Rodell, Matthew; Rollenbeck, Ruetger; Romanovsky, Vladimir E.; Ronchail, Josyane; Roquet, F.; Rosenlof, Karen H.; Roth, Chris; Rusak, James A.; Sallee, Jean-Bapiste; Sanchez-Lugo, Ahira; Santee, Michelle L.; Sarmiento, Jorge L.; Sawaengphokhai, P.; Sayouri, Amal; Scambos, Ted A.; Schemm, Jae; Schladow, S. Geoffrey; Schmid, Claudia; Schmid, Martin; Schoeneich, P.; Schreck, Carl J., III; Schuur, Ted; Selkirk, H. B.; Send, Uwe; Sensoy, Serhat; Sharp, M.; Shi, Lei; Shiklomanov, Nikolai I.; Shimaraeva, Svetlana V.; Siegel, David A.; Signorini, Sergio R.; Silov, Eugene; Sima, Fatou; Simmons, Adrian J.; Smeed, David A.; Smeets, C. J. P. P.; Smith, Adam; Smith, Sharon L.; Soden, B.; Spence, Jaqueline M.; Srivastava, A. K.; Stackhouse, Paul W., Jr.; Stammerjohn, Sharon; Steinbrecht, Wolfgang; Stella, Jose L.; Stennett-Brown, Roxann; Stephenson, Tannecia S.; Strahan, Susan; Streletskiy, Dimitri A.; Sun-Mack, Sunny; Swart, Sebastiaan; Sweet, William; Tamar, Gerard; Taylor, Michael A.; Tedesco, M.; Thoman, R. L.; Thompson, L.; Thompson, Philip R.; Timmermans, M. -L.; Timofeev, Maxim A.; Tirnanes, Joaquin A.; Tobin, Skie; Trachte, Katja; Trewin, Blair C.; Trotman, Adrian R.; Tschudi, M.; Tweedy, Olga; van As, D.; van de Wal, R. S. W.; van der Schalie, Robin; van der Schrier, Gerard; van der Werf, Guido R.; van Meerbeeck, Cedric J.; Velicogna, I.; Verburg, Piet; Vieira, G.; Vincent, Lucie A.; Voemel, Holger; Vose, Russell S.; Wagner, Wolfgang; Wahlin, Anna; Walker, D. A.; Walsh, J.; Wang, Bin; Wang, Chunzai; Wang, Junhong; Wang, Lei; Wang, M.; Wang, Sheng-Hung; Wanninkhof, Rik; Watanabe, Shohei; Weber, Mark; Weller, Robert A.; Weyhenmeyer, Gesa A.; Whitewood, Robert; Wiese, David N.; Wijffels, Susan E.; Wilber, Anne C.; Wild, Jeanette D.; Willett, Kate M.; Willie, Shem; Willis, Josh K.; Wolken, G.; Wong, Takmeng; Wood, E. F.; Woolway, R. Iestyn; Wouters, B.; Xue, Yan; Yim, So-Young; Yin, Xungang; Yu, Lisan; Zambrano, Eduardo; Zhang, Huai-Min; Zhang, Peiqun; Zhao, Guanguo; Zhao, Lin; Ziemke, Jerry R.; Zilberman, Nathalie</t>
  </si>
  <si>
    <t>State of the Climate in 2016</t>
  </si>
  <si>
    <t>SEA-SURFACE TEMPERATURE; MADDEN-JULIAN OSCILLATION; PACIFIC TROPICAL CYCLONE; WESTERN NORTH PACIFIC; MERIDIONAL OVERTURNING CIRCULATION; LONG-TERM TRENDS; MASS-BALANCE OBSERVATIONS; ORGANIC-CARBON POOLS; SOIL-MOISTURE DATA; OCEAN MIXED-LAYER</t>
  </si>
  <si>
    <t>In 2016, the dominant greenhouse gases released into Earth's atmosphere-carbon dioxide, methane, and nitrous oxide-continued to increase and reach new record highs. The 3.5 +/- 0.1 ppm rise in global annual mean carbon dioxide from 2015 to 2016 was the largest annual increase observed in the 58-year measurement record. The annual global average carbon dioxide concentration at Earth's surface surpassed 400 ppm (402.9 +/- 0.1 ppm) for the first time in the modern atmospheric measurement record and in ice core records dating back as far as 800000 years. One of the strongest El Nino events since at least 1950 dissipated in spring, and a weak La Nina evolved later in the year. Owing at least in part to the combination of El Nino conditions early in the year and a long-term upward trend, Earth's surface observed record warmth for a third consecutive year, albeit by a much slimmer margin than by which that record was set in 2015. Above Earth's surface, the annual lower troposphere temperature was record high according to all datasets analyzed, while the lower stratospheric temperature was record low according to most of the in situ and satellite datasets. Several countries, including Mexico and India, reported record high annual temperatures while many others observed near-record highs. A week-long heat wave at the end of April over the northern and eastern Indian peninsula, with temperatures surpassing 44 degrees C, contributed to a water crisis for 330 million people and to 300 fatalities. In the Arctic the 2016 land surface temperature was 2.0 degrees C above the 1981-2010 average, breaking the previous record of 2007, 2011, and 2015 by 0.8 degrees C, representing a 3.5 degrees C increase since the record began in 1900. The increasing temperatures have led to decreasing Arctic sea ice extent and thickness. On 24 March, the sea ice extent at the end of the growth season saw its lowest maximum in the 37-year satellite record, tying with 2015 at 7.2% below the 1981-2010 average. The September 2016 Arctic sea ice minimum extent tied with 2007 for the second lowest value on record, 33% lower than the 1981-2010 average. Arctic sea ice cover remains relatively young and thin, making it vulnerable to continued extensive melt. The mass of the Greenland Ice Sheet, which has the capacity to contribute similar to 7 m to sea level rise, reached a record low value. The onset of its surface melt was the second earliest, after 2012, in the 37-year satellite record. Sea surface temperature was record high at the global scale, surpassing the previous record of 2015 by about 0.01 degrees C. The global sea surface temperature trend for the 21st century-to-date of +0.162 degrees C decade(-1) is much higher than the longer term 1950-2016 trend of +0.100 degrees C decade(-1). Global annual mean sea level also reached a new record high, marking the sixth consecutive year of increase. Global annual ocean heat content saw a slight drop compared to the record high in 2015. Alpine glacier retreat continued around the globe, and preliminary data indicate that 2016 is the 37th consecutive year of negative annual mass balance. Across the Northern Hemisphere, snow cover for each month from February to June was among its four least extensive in the 47-year satellite record. Continuing a pattern below the surface, record high temperatures at 20-m depth were measured at all permafrost observatories on the North Slope of Alaska and at the Canadian observatory on northernmost Ellesmere Island. In the Antarctic, record low monthly surface pressures were broken at many stations, with the southern annular mode setting record high index values in March and June. Monthly high surface pressure records for August and November were set at several stations. During this period, record low daily and monthly sea ice extents were observed, with the November mean sea ice extent more than 5 standard deviations below the 1981-2010 average. These record low sea ice values contrast sharply with the record high values observed during 2012-14. Over the region, springtime Antarctic stratospheric ozone depletion was less severe relative to the 1991-2006 average, but ozone levels were still low compared to pre-1990 levels. Closer to the equator, 93 named tropical storms were observed during 2016, above the 1981-2010 average of 82, but fewer than the 101 storms recorded in 2015. Three basins-the North Atlantic, and eastern and western North Pacific-experienced above-normal activity in 2016. The Australian basin recorded its least active season since the beginning of the satellite era in 1970. Overall, four tropical cyclones reached the Saffir-Simpson category 5 intensity level. The strong El Nino at the beginning of the year that transitioned to a weak La Nina contributed to enhanced precipitation variability around the world. Wet conditions were observed throughout the year across southern South America, causing repeated heavy flooding in Argentina, Paraguay, and Uruguay. Wetter-than-usual conditions were also observed for eastern Europe and central Asia, alleviating the drought conditions of 2014 and 2015 in southern Russia. In the United States, California had its first wetter-than-average year since 2012, after being plagued by drought for several years. Even so, the area covered by drought in 2016 at the global scale was among the largest in the post-1950 record. For each month, at least 12% of land surfaces experienced severe drought conditions or worse, the longest such stretch in the record. In northeastern Brazil, drought conditions were observed for the fifth consecutive year, making this the longest drought on record in the region. Dry conditions were also observed in western Bolivia and Peru; it was Bolivia's worst drought in the past 25 years. In May, with abnormally warm and dry conditions already prevailing over western Canada for about a year, the human-induced Fort McMurray wildfire burned nearly 590000 hectares and became the costliest disaster in Canadian history, with $3 billion (U.S. dollars) in insured losses.</t>
  </si>
  <si>
    <t>[Arndt, D. S.; Blunden, J.; Argueez, Anthony; Arndt, Derek S.; Boyer, Tim; Crouch, Jake; Marra, John J.; Zhang, Huai-Min] NOAA NESDIS Natl Ctr Environm Informat, Asheville, NC 28801 USA; [Dunn, R. J. H.; Allan, Rob; Folland, Chris; John, Viju; Kendon, Mike; Killick, Rachel; McCarthy, M.; Morice, Colin; Willett, Kate M.] Met Off Hadley Ctr, Exeter, Devon, England; [Aaron-Morrison, Arlene P.; Kerr, Kenneth] Trinidad &amp; Tobago Meteorol Serv, Piarco, Trinidad Tobago; [Abdallah, A.] Agence Natl Aviat Civile &amp; Meteorol, Moroni, Comoros; [Ackerman, Steven A.; Foster, Michael J.; Frey, Richard A.; Liu, Yinghui] Univ Wisconsin, CIMSS, Madison, WI USA; [Adler, Robert] Univ Maryland, College Pk, MD USA; [Alfaro, Eric J.; Amador, Jorge A.; Arce, Dayana; Calderon, Blanca; Duran-Quesada, Ana M.; Mora, Natalie] Univ Costa Rica, Ctr Geophys Res, San Jose, Costa Rica; [Alfaro, Eric J.; Amador, Jorge A.; Arce, Dayana; Duran-Quesada, Ana M.; Mora, Natalie] Univ Costa Rica, Sch Phys, San Jose, Costa Rica; [Allan, Richard P.] Univ Reading, Reading, Berks, England; [Alvarez, Luis A.] Inst Hidrol Meteorol &amp; Estudios Ambientales Colom, Bogota, Colombia; [Alves, Lincoln M.] Inst Nacl Pesquisas Espaciais, Ctr Ciencias Sistema Terrestre, Sao Paulo, Brazil; [Andreassen, L. M.] Norwegian Water Resources &amp; Energy Directorate, Sect Glaciers Ice &amp; Snow, Oslo, Norway; [Arzhanova, N. M.] Russian Inst Hydrometeorol Informat, Obninsk, Russia; [Augustine, John; Cooper, Owen R.; Dlugokencky, Ed J.; Lantz, Kathleen; Montzka, Stephen A.; Rosenlof, Karen H.] NOAA OAR Earth Syst Res Lab, Boulder, CO USA; [Awatif, E. M.] Egyptian Meteorol Author, Cairo Numer Weather Predict, Dept Seasonal Forecast &amp; Climate Res, Cairo, Egypt; [Azorin-Molina, Cesar; Wahlin, Anna] Univ Gothenburg, Dept Earth Sci, Reg Climate Grp, Gothenburg, Sweden; [Baez, Julian] Direcc Meteorol &amp; Hidrol DINAC, Asuncion, Paraguay; [Bardin, M. U.; Khoshkam, Mahbobeh] Islamic Republ Iran Meteorol Org, Tehran, Iran; [Barichivich, Jonathan] Univ Austral Chile, Inst Conservac Biodiversidad &amp; Terr, Valdivia, Chile; [Barichivich, Jonathan] Ctr Climate &amp; Resilience Res, Santiago, Chile; [Barichivich, Jonathan] Pontificia Univ Catolica Valparaiso, Inst Geog, Valparaiso, Chile; [Baringer, Molly O.; Lumpkin, Rick; Schmid, Claudia; Wanninkhof, Rik] NOAA OAR Atlantic Oceanog &amp; Meteorol Lab, Miami, FL 33149 USA; [Barreira, Sandra] Argentine Naval Hydrog Serv, Buenos Aires, DF, Argentina; [Baxter, Stephen; Bell, Gerald D.; L'Heureux, Michelle; Schemm, Jae] NOAA NWS Climate Predict Ctr, College Pk, MD USA; [Beck, H. E.; Wood, E. F.] Princeton Univ, Dept Civil &amp; Environm Engn, Princeton, NJ 08536 USA; [Becker, Andreas] Deutsch Wetterdienst, Global Precipitat Climatol Ctr, Offenbach, Germany; [Bedka, Kristopher M.; Kratz, D. P.; Loeb, Norman G.; Minnis, Patrick; Pitts, Michael C.; Stackhouse, Paul W., Jr.; Wong, Takmeng] NASA Langley Res Ctr, Hampton, VA USA; [Behrenfeld, Michael J.] Oregon State Univ, Corvallis, OR USA; [Belmont, M.] Seychelles Natl Meteorol Serv, Pointe Larue, Mahe, Seychelles; [Benedetti, Angela; Berrisford, Paul; Flemming, Johannes; Simmons, Adrian J.] European Ctr Medium Range Weather Forecasts, Reading, Berks, England; [Bernhard, G. H.] Biospher Instruments, San Diego, CA USA; [Berry, David I.; Smeed, David A.] Natl Oceanog Ctr, Southampton, Hants, England; [Bettolli, Maria L.] Univ Buenos Aires, Fac Ciencias Exactas &amp; Nat, Dept Ciencias Atmosfera &amp; Oceanos, Buenos Aires, DF, Argentina; [Bhatt, U. S.; Kholodov, A. L.; Marchenko, S. S.; Romanovsky, Vladimir E.] Univ Alaska Fairbanks, Geophys Inst, Fairbanks, AK USA; [Bidegain, Mario] Inst Uruguayo Meteorol, Montevideo, Uruguay; [Biskaborn, B.] Alfred Wegener Inst, Helmholtz Ctr Polar &amp; Marine Res, Potsdam, Germany; [Bissolli, Peter] Deutscher Wetterdienst, WMO RA VI Reg Climate Ctr Network, Offenbach, Germany; [Bjerke, J.] Norwegian Inst Nat Res, Tromso, Norway; [Blake, Eric S.; Kimberlain, Todd B.; Landsea, Chris W.; Pasch, Richard J.] NOAA NWS Natl Hurricane Ctr, Miami, FL USA; [Bosilovich, Michael G.] NASA Goddard Space Flight Ctr, Global Modeling &amp; Assimilat Off, Greenbelt, MD USA; [Boucher, Olivier; Remy, Samuel] CNRS UPMC, Inst Pierre Simon Laplace, Paris, France; [Boudet, Dagne; Cutie, Virgen; Fonseca, C.; Gonzalez, Idelmis T.] Inst Meteorol Cuba, Climate Ctr, Havana, Cuba; [Box, J. E.; van As, D.] Geol Survey Denmark &amp; Greenland, Copenhagen, Denmark; [Braathen, Geir O.] WMO Atmospher Environm Res Div, Geneva, Switzerland; [Brimelow, Julian; Greenhough, Marianna D.; Kochtubajda, Bob; Morrow, Blair; Phillips, David] Environm &amp; Climate Change Canada, Edmonton, AB, Canada; [Bromwich, David H.; Wang, Sheng-Hung] Ohio State Univ, Byrd Polar &amp; Climate Res Ctr, Columbus, OH USA; [Brown, R.; Mudryk, L.] Environm &amp; Climate Change Canada, Climate Res Div, Montreal, PQ, Canada; [Buehler, S.] Univ Hamburg, Hamburg, Germany; [Bulygina, Olga N.] Russian Inst Hydrometeorol Informat, Obninsk, Russia; [Burgess, D.] Geol Survey Canada, Ottawa, ON, Canada; [Camargo, Suzana J.; Tedesco, M.] Columbia Univ, Lamont Doherty Earth Observ, Palisades, NY USA; [Campbell, Jayaka D.; Stennett-Brown, Roxann; Stephenson, Tannecia S.; Taylor, Michael A.] Univ West Indies, Dept Phys, Kingston, Jamaica; [Cappelen, J.] Danish Meteorol Inst, Copenhagen, Denmark; [Caroff, P.] RSMC La Reunion, Meteo France, La Reunion, France; [Carrea, Laura] Univ Reading, Dept Meteorol, Reading, Berks, England; [Carter, Brendan R.; Wang, M.] Univ Washington, Joint Inst Study Atmosphere &amp; Ocean, Seattle, WA USA; [Carter, Brendan R.; Cross, J. N.; Lyman, John M.; Overland, J.] NOAA OAR Pacific Marine Environm Lab, Seattle, WA USA; [Chambers, Don P.; Mitchum, Gary T.] Univ S Florida, Coll Marine Sci, St Petersburg, FL USA; [Chandler, Elise; Ganter, Catherine; Tobin, Skie] Bur Meteorol, Melbourne, Vic, Australia; [Cheng, Ming-Dean; Lin, I-I; Lu, Mong-Ming] Natl Taiwan Univ, Taipei, Taiwan; [Cheng, Ming-Dean; Lu, Mong-Ming] Cent Weather Bur, Taipei, Taiwan; [Christiansen, Hanne H.] Univ Ctr Svalbard, Dept Geol, Longyearbyen, Norway; [Christy, John R.] Univ Alabama Huntsville, Huntsville, AL USA; [Chung, Daniel; Dorigo, Wouter A.; Reimer, Christoph; Wagner, Wolfgang] Vienna Univ Technol, Dept Geodesy &amp; Geoinformat, Vienna, Austria; [Chung, E. -S.; Soden, B.] Univ Miami, Rosenstiel Sch Marine &amp; Atmospher Sci, Miami, FL USA; [Clem, Kyle R.] Victoria Univ Wellington, Sch Geography Environm &amp; Earth Sci, Wellington, New Zealand; [Coelho, Caio A. S.] CPTEC INPE, Ctr Weather Forecasts &amp; Climate Studies, Cachoeira Paulista, Brazil; [Coldewey-Egbers, Melanie; Loyola, Diego] German Aerosp Ctr DLR Oberpfaffenhofen, Wessling, Germany; [Colwell, Steve; Meredith, Michael P.; Sallee, Jean-Bapiste] British Antarctic Survey, Cambridge, England; [Cooper, Owen R.; Davis, Sean M.; Dutton, Geoff S.; Lantz, Kathleen; Nerem, R. Steven] Univ Colorado Boulder, Cooperat Inst Res Environm Sci, Boulder, CO USA; [Copland, L.] Univ Ottawa, Dept Geography, Ottawa, ON, Canada; [de Eyto, Elvira] Marine Inst, Newport, Shrops, England; [de Jeu, Richard A. M.; Parinussa, Robert M.; van der Schalie, Robin] VanderSat BV, Haarlem, Netherlands; [de Laat, Jos; van der Schrier, Gerard] Royal Netherlands Meteorol Inst KNMI, De Bilt, Netherlands; [DeGasperi, Curtis L.] King Cty Water &amp; Land Resources Div, Seattle, WA USA; [Degenstein, Doug; Roth, Chris] Univ Saskatchewan, Saskatoon, SK, Canada; [Demircan, M.; Sensoy, Serhat] Turkish State Meteorol Serv, Ankara, Turkey; [Derksen, C.] Environm &amp; Climate Change Canada, Climate Res Div, Toronto, ON, Canada; [Di Girolamo, Larry; Zhao, Guanguo] Univ Illinois, Urbana, IL USA; [Diamond, Howard J.] NOAA OAR Air Resources Lab, Silver Spring, MD USA; [Dindyal, S.] Mauritius Meteorological Serv, Vacoas, Mauritius; [Dohan, Kathleen] Earth &amp; Space Res, Seattle, WA USA; [Dokulil, Martin T.] Univ Innsbruck, Res Inst Limnology, Mondsee, Austria; [Dolman, A. Johannes] Vrije Univ Amsterdam, Dept Earth Sci Earth &amp; Climate Cluster, Amsterdam, Netherlands; [Domingues, Catia M.] Univ Tasmania, Inst Marine &amp; Antarctic Studies, Hobart, Tas, Australia; [Domingues, Catia M.] Antarctic Climate &amp; Ecosyst Cooperat Res Ctr, Hobart, Tas, Australia; [Donat, Markus G.; Perkins-Kirkpatrick, Sarah E.] Univ New S Wales, Climate Change Res Ctr, Sydney, NSW, Australia; [Dong, Shenfu] Cooperat Inst Marine &amp; Atmospher Sci, Miami, FL USA; [Drozdov, D. S.; Malkova, G. V.] Earth Cryosphere Inst, Tumen, Russia; [Drozdov, D. S.; Malkova, G. V.] Tyumen State Oil &amp; Gas Univ, Tyumen, Russia; [ElKharrim, M.] Direction Meteorol Natl Maroc, Rabat, Morocco; [Epstein, H. E.] Univ Virginia, Dept Environm Sci, Charlottesville, VA USA; [Espinoza, Jhan C.] Inst Geofisico Peru, Lima, Peru; [Etienne-LeBlanc, Sheryl] Meteorol Dept St Maarten, St Maarten, Netherlands; [Famiglietti, James S.; Froidevaux, Lucien; Wiese, David N.; Willis, Josh K.] CALTECH, Jet Propulsion Lab, Pasadena, CA USA; [Farrell, S.; Reagan, James] Univ Maryland, Earth Syst Sci Interdiscipl Ctr, College Pk, MD USA; [Fateh, S.] Islamic Republic Iranian Meteorol, Tehran, Iran; [Fausto, R. S.] Geolog Survey Denmark &amp; Greenland, Copenhagen, Denmark; [Feng, Z.] FCSD ASGC Pacific Northwest Natl Lab, Richland, WA USA; [Fettweis, X.] Univ Liege, Liege, Belgium; [Flannigan, Mike] Univ Alberta, Dept Renewable Resources, Edmonton, AB, Canada; [Fogt, Ryan L.] Ohio Univ, Dept Geography, Athens, OH USA; [Folland, Chris] Univ East Anglia, Sch Environm Sci, Norwich, Norfolk, England; [Folland, Chris] Univ Southern Queensland, Int Ctr Appl Climate Sci, Toowoomba, Qld, Australia; [Forbes, B. C.] Univ Lapland, Arctic Ctr, Rovaniemi, Finland; [Francis, S. D.] Nigerian Meteorol Agcy, Natl Weather Forecast &amp; Climate Res Ctr, Abuja, Nigeria; [Franz, Bryan A.; Frith, Stacey M.; Meier, W.; Newman, Paul A.; Ziemke, Jerry R.] NASA Goddard Space Flight Ctr, Greenbelt, MD USA; [Frith, Stacey M.; Sawaengphokhai, P.; Sun-Mack, Sunny; Wilber, Anne C.] Sci Syst &amp; Appl Inc, Greenbelt, MD USA; [Gerland, S.] Norwegian Polar Res Inst, Fram Ctr, Tromso, Norway; [Gilson, John; Lankhorst, Matthias; Mazloff, Matthew; Muehle, Jens; Send, Uwe; Zilberman, Nathalie] Univ Calif San Diego, Scripps Inst Oceanog, La Jolla, CA USA; [Gobron, Nadine; Pinty, Bernard] European Commiss, Joint Res Ctr, Ispra, Italy; [Goto, A.] Japan Meteorol Agcy, Tokyo, Japan; [Vincent, Lucie A.; Whitewood, Robert] Environm &amp; Climate Change Canada, Toronto, ON, Canada; [Grooss, J. -U.; Mueller, R.] Forschungszentrum Julich, Julich, Germany; [Guard, Charles] NOAA NWS Weather Forecast Off, Mangilao, GU USA; [Gupta, S. K.] Sci Syst &amp; Applicat Inc, Hampton, VA USA; [Gutierrez, J. M.] CSIC Univ Cantabria, Inst Fis Cantabria, Santander, Spain; [Haas, C.; Krumpen, T.] Alfred Wegener Inst, Bremerhaven, Germany; [Haas, C.] York Univ, Earth &amp; Space Sci &amp; Engn, Toronto, ON, Canada; [Hagos, S.] Pacific Northwest Natl Lab, FCSD ASGC Climate Phys Grp, Richland, WA USA; [Haimberger, Leo; Mayer, Michael] Univ Vienna, Dept Meteorol &amp; Geophys, Vienna, Austria; [Hamlington, Benjamin D.] Old Dominion Univ, Ctr Coastal Phys Oceanography, Norfolk, VA USA; [Hanna, E.] Univ Sheffield, Dept Geography, Sheffield, S Yorkshire, England; [Hanssen-Bauer, I] Norwegian Meteorol Inst, Blindern, Oslo, Norway; [Hare, Jon] NOAA NMFS Northeast Fisheries Sci Ctr, Woods Hole, MA USA; [Harris, Ian] Univ East Anglia, Natl Ctr Atmospheric Sci, Norwich, NY USA; [Harris, Ian; Osborn, Tim J.] Univ East Anglia, Climatic Res Unit, Sch Environm Sci, Norwich, NY USA; [Heidinger, Andrew K.] NOAA NESDIS STAR Univ Wisconsin Madison, Madison, WI USA; [Heim, Richard R., Jr.] NOAA NESDIS Natl Ctr, Asheville, NC USA; [Hendricks, S.] Alfred Wegener Inst, Bremerhaven, Germany; [Hernandez, Marieta] Climate Ctr, Inst Meteorol, Havana, Cuba; [Hernandez, Rafael] Inst Nacl Meteorol &amp; Hidrolog Venezuela, Caracas, Venezuela; [Ho, Shu-peng; Peng, Liang] Univ Corp Atmospheric Res, COSMIC Project Off, Boulder, CO USA; [Hobbs, William R.] Univ Tasmania, Antarctic Climate &amp; Ecosystems, Hobart, Tas 7001, Australia; [Huelsing, Hannah K.; Wang, Junhong] SUNY Albany, Albany, NY USA; [Ialongo, I.; Luojus, K.] Finnish Meteorolog Inst, Helsinki, Finland; [Ijampy, J. A.] Nigerian Meteorol Agcy, Abuja, Nigeria; [Inness, Antje] European Ctr Medium Range, Reading, Berks, England; [Isaksen, K.] Norwegian Meteorolog Inst, Oslo, Norway; [Ishii, Masayoshi] Japan Meteorolog Agcy, Meteorolog Res Inst, Climat Res Dept, Tsukuba, Ibaraki, Japan; [Jimenez, C.] Estellus, Paris, France; [Jimenez, C.] PSL Res Univ, LERMA, Observatoire Paris, Paris, France; [Jin Xiangze; Macdonald, Alison M.; Menezes, V. V.; Weller, Robert A.; Yu, Lisan] Woods Hole Oceanog Inst, Woods Hole, MA USA; [John, Viju] EUMETSAT, Darmstadt, Germany; [Johns, William E.] Rosenstiel Sch Marine &amp; Atmospher Sci, Miami, FL USA; [Johnsen, B.] Norwegian Radiat Protect Authority, Osteras, Norway; [Johnson, Bryan; Petropavlovskikh, Irina] NOAA OAR Earth System Res Lab, Global Monitoring Div, Boulder, CO USA; [Johnson, Bryan; Petropavlovskikh, Irina] Univ Colorado Boulder, Boulder, CO USA; [Johnson, Kenneth S.] Monterey Bay Aquarium Res Inst, Moss Landing, CA USA; [Jones, Philip D.] Univ East Anglia, Climat Res Unit, Sch Environm Sci, Norwich, Norfolk, England; [Jumaux, Guillaume] Meteo France, Direct Interreg Ocean Indien, St Denis, Reunion, France; [Kabidi, Khadija; Sayouri, Amal] Direct Meteorolog Natl Maroc, Rabat, Morocco; [Kaiser, J. W.] Max Planck Inst Chem, Mainz, Germany; [Kass, David] California Inst Technol, Jet Propulsion Lab, Pasadena, CA USA; [Kazemi, A.] Islamic Republic Iran Meteorolog Org, Tehran, Iran; [Kelem, G.] Ethiopian Meteorolog Agcy, Addis Ababa, Ethiopia; [Keller, Linda M.; Phillips, C.] Univ Wisconsin Madison, Dept Atmospheric &amp; Oceanic Sci, Madison, WI USA; [Kelly, B. P.] Study Environm Arctic Change SEARCH, Fairbanks, AK USA; [Kelly, B. P.; Walsh, J.; Wolken, G.] Univ Alaska Fairbanks, Int Arctic Res Ctr, Fairbanks, AK USA; [Kelly, B. P.] Ctr Blue Economy, Middlebury Inst Int Studies, Monterey, CA USA; [Kim, Hyungjun] Univ Tokyo, Inst Ind Sci, Tokyo 1138654, Japan; [Kim, S. -J.] Korea Polar Res Inst, Incheon, South Korea; [Klotzbach, Philip J.] Colorado State Univ, Dept Atmospher Sci, Ft Collins, CO USA; [Knaff, John A.] NOAA NESDIS Ctr Satellite Applicat &amp; Res, Ft Collins, CO USA; [Kohler, J.] Norwegian Polar Res Inst, Tromso, Norway; [Korhonen, Johanna] Finnish Environm Inst SYKE, Freshwater Ctr, Helsinki, Finland; [Korshunova, Natalia N.] World Data Ctr, All Russian Res Inst Hydrometeorol Informat, Obninsk, Russia; [Kramarova, Natalya; Nash, Eric R.] NASA Goddard Space Flight Ctr, Sci Syst &amp; Applicat Inc, Greenbelt, MD USA; [Kruger, Andries; McBride, Charlotte] South African Weather Serv, Pretoria, South Africa; [Kruk, Michael C.; Yin, Xungang] NOAA NESDIS Natl Environm Informat, ERT Inc, Asheville, NC USA; [Lakatos, M.] Hungarian Meteorol Serv, Climatol Div, Budapest, Hungary; [Lakkala, K.] Finnish Meteorol Inst, Arctic Res Ctr, Sodankyla, Finland; [Lanckmann, J. -P.] Arctic Portal, Akureyri, Iceland; [Lander, Mark A.] Univ Guam, Mangilao, GU USA; [Landschuetzer, Peter] Max Planck Inst Meteorol, Hamburg, Germany; [Lazzara, Matthew A.; Menzel, W. Paul] Univ Wisconsin, Space Sci &amp; Engn Ctr, Madison, WI 53706 USA; [Lazzara, Matthew A.] Madison Area Tech Coll, Dept Phys Sci, Sch Arts &amp; Sci, Madison, WI USA; [Leuliette, Eric] NOAA, NWS NCWCP Lab Satellite Altimetry, College Pk, MD USA; [Lewis, Stephen R.] Open Univ, Sch Phys Sci, Fac Sci Technol Engn &amp; Math, Milton Keynes, Bucks, England; [Lieser, Jan L.] Univ Tasmania, Antarctic Climate &amp; Ecosyst Cooperat Res Ctr, Hobart, Tas, Australia; [Liu, Hongxing] Univ Cincinnati, Dept Geog, Cincinnati, OH 45221 USA; [Locarnini, Ricardo; Reagan, James; Sanchez-Lugo, Ahira; Shi, Lei; Smith, Adam; Vose, Russell S.] NOAA NESDIS Natl Ctr Environm Informat, Silver Spring, MD USA; [Long, Craig S.; Xue, Yan] NOAA NWS Natl Ctr Environm Predict, College Pk, MD USA; [Loranty, M.] Colgate Univ, Dept Geog, Hamilton, NY USA; [Lorrey, Andrew M.; Mullan, A. Brett; Pearce, Petra R.] Natl Inst Water &amp; Atmospher Res Ltd, Auckland, New Zealand; [Luo, Jing-Jia; Reid, Phillip; Trewin, Blair C.] Australian Bur Meteorol, Melbourne, Vic, Australia; [Lyman, John M.; Merrifield, Mark A.; Thompson, Philip R.] Univ Hawaii, Joint Inst Marine &amp; Atmospher Res, Honolulu, HI USA; [Macara, Gregor; Verburg, Piet] Natl Inst Water &amp; Atmospher Res, Wellington, New Zealand; [Macias-Fauria, M.] Univ Oxford, Sch Geog &amp; Environm, Oxford, England; [Manney, G.] New Mexico Inst Mining &amp; Technol, Socorro, NM USA; [Manney, G.] NorthWest Res Ass, Socorro, NM USA; [Marengo, Jose A.] Ctr Nacl Monitoramento Alertas Desastres Nat, Cachoeira Paulista, SP, Brazil; [Marszelewski, Wlodzimierz] Nicolaus Copernicus Univ, Dept Hydrol &amp; Water Management, Torun, Poland; [Martens, B.; Miralles, Diego G.] Univ Ghent, Lab Hydrol &amp; Water Management, Ghent, Belgium; [Martinez-Gueingla, Rodney; Nieto, Juan Jose; Zambrano, Eduardo] Ctr Int Invest Fenomeno El Nino, Guayaquil, Ecuador; [Massom, Robert A.] Univ Tasmania, Antarctic Climate &amp; Ecosystems Cooperat Res Ctr, Hobart, Tas, Australia; [Massom, Robert A.] Univ Tasmania, Australian Antarctic Div, Hobart, Tas, Australia; [Mathis, Jeremy T.] NOAA, OAR Arctic Res Program, Silver Spring, MD USA; [May, Linda] Ctr Ecol &amp; Hydrol, Edinburgh, Midlothian, Scotland; [McCabe, M. F.] King Abdullah Univ Sci &amp; Technol, Div Biol &amp; Environm Sci &amp; Engn, Water Desalinat &amp; Reuse Ctr, Thuwal, Saudi Arabia; [McCarthy, Gerard; Rayner, Darren] Natl Oceanog Ctr, Southampton, Hants, England; [McGree, Simon] Bur Meteorol, Melbourne, Vic, Australia; [McVicar, Tim R.] CSIRO Land &amp; Water Flagship, Canberra, ACT, Australia; [McVicar, Tim R.] Australian Capital Territory, Sydney, NSW, Australia; [McVicar, Tim R.] Australian Res Council, Ctr Excellence Climate Syst Sci, Sydney, NSW, Australia; [Mears, Carl A.] Remote Sensing Syst, Santa Rosa, CA USA; [Mekonnen, A.] North Carolina A&amp;T State Univ, Dept Energy &amp; Environm Syst, Greensboro, NC USA; [Mengistu Tsidu, G.] Botswana Int Univ Sci &amp; Technol, Dept Earth &amp; Environm Sci, Palapye, Botswana; [Mengistu Tsidu, G.] Addis Ababa Univ, Dept Phys, Addis Ababa, Ethiopia; Univ Reading, Natl Ctr Earth Observat, Reading RG6 2AH, Berks, England; [Woolway, R. Iestyn] Univ Reading, Dept Meteorol, Reading RG6 2AH, Berks, England; [Mistelbauer, T.] Earth Observing Data Ctr GmbH, Vienna, Austria; [Mitro, Srkani] Meteorol Serv Suriname, Paramaribo, Suriname; [Monselesan, Didier; Wijffels, Susan E.] CSIRO Oceans &amp; Atmos, Hobart, Tas, Australia; [Mote, T.] Univ Georgia, Dept Geog, Athens, GA 30602 USA; [Newman, Louise] Univ Tasmania, Inst Marine &amp; Antarctic Studies, SOOS Int Project Off, Hobart, Tas 7001, Australia; [Noetzli, Jeannette] WSL Inst Snow &amp; Avalanche Res, Davos, Switzerland; [O'Neel, S.] USGS, Alaska Sci Ctr, Anchorage, AK USA; [Oyunjargal, Lamjav] Natl Agcy Meteorol, Inst Meteorol &amp; Hydrol, Hydrol &amp; Environ Monitoring, Ulaanbaatar, Mongolia; [Park, E-hyung; Yim, So-Young] Korea Meteorol Adm, Seoul, South Korea; [Pascual-Ramirez, Reynaldo] Natl Meteorol Serv Mexico, Mexico City, DF, Mexico; [Paterson, Andrew M.; Rusak, James A.] Ontario Ministry Environ &amp; Climate Change, Dorset Environ Sci Ctr, Dorset, ON, Canada; [Pellichero, V.; Sallee, Jean-Bapiste] Sorbonne Univ, LOCEAN IPSL, CNRS IRD MNHN, Paris, France; [Pelto, Mauri S.] Nichols Coll, Dudley, MA USA; [Perovich, D.] USACE, ERDC, Cold Reg Res &amp; Engn Lab, Hanover, NH USA; [Perovich, D.] Dartmouth Coll, Thayer Sch Eng, Hanover, NH USA; [Pezza, Alexandre B.] Greater Wellington Reg Council, Wellington, New Zealand; [Phoenix, G.] Univ Sheffield, Dept Anim &amp; Plant Sci, Sheffield S10 2TN, S Yorkshire, England; [Pons, M. R.] Agencia Estatal Meteorol, Santander, Spain; [Porter, Avalon O.] Cayman Isl Natl Weather Serv, Grand Cayman, Cayman Islands; [Quintana, Juan] Direcc Meteorol Chile, Santiago, Chile; [Rahimzadeh, Fatemeh] Atmospher Sci &amp; Meteorol Res Ctr, Tehran, Iran; [Rajeevan, Madhavan] Minist Earth Sci, Earth System Sci Org, New Delhi, India; [Raynolds, M. K.; Walker, D. A.] Univ Alaska Fairbanks, Inst Arct Biol, Fairbanks, AK 99701 USA; [Razuvaev, Vyacheslav N.] All Russian Res Inst Hydrometeorol Informat, Obninsk, Russia; [Read, Peter] Univ Oxford, Dept Phys, Oxford OX1 2JD, England; [Reid, Phillip] CAWRC, Hobart, Tas, Australia; [Reimer, Christoph] EODC, Vienna, Austria; [Renwick, James A.] Victoria Univ Wellington, Wellington, New Zealand; [Revadekar, Jayashree V.] Indian Inst Trop Meteorol, Pune, Maharashtra, India; [Richter-Menge, J.] Univ Alaska Fairbanks, Fairbanks, AK USA; [Rimmer, Alon] Israel Oceanog &amp; Limnol Res, Yigal Allon Kinneret Limnol Lab, Migdal, Israel; [Robinson, David A.] Rutgers State Univ, Dept Geog, Piscataway, NJ 08855 USA; [Rodell, Matthew] NASA Goddard Space Flight Ctr, Hydrol Sci Lab, Greenbelt, MD USA; [Rollenbeck, Ruetger] Univ Marburg, Fac Geog, Lab Climatol Remote Sensing, Marburg, Germany; [Romanovsky, Vladimir E.] Tyumen State Univ, Tyumen, Russia; [Ronchail, Josyane] Univ Paris Diderot, Lab LOCEAN IPSL, Paris, France; [Roquet, F.] Stockholm Univ MISU, Dept Meteorol, Stockholm, Sweden; [Santee, Michelle L.] NASA Jet Propuls Lab, Pasadena, CA USA; [Sarmiento, Jorge L.] Princeton Univ, Atmospher &amp; Ocean Sci Program, Princeton, NJ USA; [Scambos, Ted A.] Univ Colorado Boulder, Natl Snow &amp; Ice Data Ctr, Boulder, CO USA; [Schladow, S. Geoffrey; Watanabe, Shohei] Univ Calif Davis, Tahoe Environm Res Ctr, Davis, CA USA; [Schmid, Martin] Swiss Federal Inst Aquat Sci &amp; Technol, Eawag, Kastanienbaum, Switzerland; [Schoeneich, P.] Univ Grenoble Alpes, Inst Geog Alpine, Grenoble, France; [Schreck, Carl J., III] N Carolina State Univ, Cooperat Inst Climate &amp; Satellites, Asheville, NC USA; [Schuur, Ted] No Arizona Univ, Ctr Ecosystem Sci &amp; Soc, Flagstaff, AZ 86011 USA; [Selkirk, H. B.; Strahan, Susan] NASA Goddard Space Flight Ctr, Univ Space Res Assoc, Greenbelt, MD USA; [Sharp, M.] Univ Alberta, Dept Earth &amp; Atmospher Sci, Edmonton, AB, Canada; [Shiklomanov, Nikolai I.; Streletskiy, Dimitri A.] George Washington Univ, Dept Geog, Washington, DC 20052 USA; [Shimaraeva, Svetlana V.; Silov, Eugene; Timofeev, Maxim A.] Irkutsk State Univ, Inst Biol, Irkutsk 664003, Russia; [Siegel, David A.] Univ Calif Santa Barbara, Santa Barbara, CA USA; [Signorini, Sergio R.] Sci Applicat Int Corp, Beltsville, MD USA; [Sima, Fatou] Dept Water Resources, Div Meteorol, Banjul, Gambia; [Smeets, C. J. P. P.; van de Wal, R. S. W.] Univ Utrecht, Inst Marine &amp; Atmospher Res Utrecht, Utrecht, Netherlands; [Smith, Sharon L.] Nat Resources Canada, Geol Survey Canada, Ottawa, ON, Canada; [Spence, Jaqueline M.] Meteorol Serv, Kingston, Jamaica; [Srivastava, A. K.] Indian Meteorol Dept, Jaipur, Rajasthan, India; [Stammerjohn, Sharon] Univ Colorado Boulder, Inst Arctic &amp; Alpine Res, Boulder, CO USA; [Steinbrecht, Wolfgang] German Weather Serv DWD, Hohenpeissenberg, Germany; [Stella, Jose L.] Serv Meteorol Nacl, Buenos Aires, DF, Argentina; [Swart, Sebastiaan] CSIR Southern Ocean Carbon &amp; Climate Observ, Stellenbosch, South Africa; [Sweet, William] NOAA NOS Ctr Operat Oceanog Products &amp; Serv, Silver Spring, MD USA; [Tamar, Gerard] Grenada Airports Author, St Georges, Grenada; [Tedesco, M.] NASA Goddard Inst Space Studies, New York, NY USA; [Thoman, R. L.] NOAA Natl Weather Serv, Fairbanks, AK USA; [Thompson, L.] Simon Fraser Univ, Dept Earth Sci, Burnaby, BC, Canada; [Timmermans, M. -L.] Yale Univ, New Haven, CT USA; [Tirnanes, Joaquin A.] Univ Santiago Compostela, Lab Syst, Technol Res Inst, Santiago De Compostela, Spain; [Trachte, Katja] Philipps Univ, Lab Climatol &amp; Remote Sensing, Marburg, Germany; [Trotman, Adrian R.; van Meerbeeck, Cedric J.] Caribbean Inst Meteorol &amp; Hydrol, Bridgetown, Barbados; [Tschudi, M.] Univ Colorado Boulder, Aerospace Engn Sci, Boulder, CO USA; [Tweedy, Olga] Johns Hopkins Univ, Baltimore, MD USA; [van der Werf, Guido R.] Vrije Univ Amsterdam, Fac Earth &amp; Life Sci, Amsterdam, Netherlands; [Velicogna, I.] Univ Calif Irvine, Irvine, CA 92717 USA; [Vieira, G.] Univ Lisbon, Inst Geog &amp; Ordenamento Territorio, P-1699 Lisbon, Portugal; [Voemel, Holger] Natl Ctr Atmospher Res, Earth Observing Lab, Boulder, CO USA; [Wang, Bin] Univ Hawaii, SOEST, Dept Meteorol, Honolulu, HI USA; [Wang, Bin] IPRC, Honolulu, HI USA; [Wang, Chunzai] South China Sea Inst Oceanol, State Key Lab Trop Oceanog, Guangzhou, Guangdong, Peoples R China; [Wang, Lei] Louisiana State Univ, Dept Geog &amp; Anthropol, Baton Rouge, LA USA; [Weber, Mark] Univ Bremen, Bremen, Germany; Uppsala Univ, Dept Ecol &amp; Genet Limnol, Uppsala, Sweden; [Wild, Jeanette D.] NOAA Climate Predict Ctr, INNOVIM, College Pk, MD USA; [Willie, Shem] St Lucia Meteorol Serv, St Lucia, Qld, Australia; [Wouters, B.] Univ Bristol, Sch Geog Sci, Bristol BS8 1TH, Avon, England; [Zhang, Peiqun] Beijing Climate Ctr, Beijing, Peoples R China; [Zhao, Lin] Cold &amp; Arid Reg Environm &amp; Engn Res Inst, Lanzhou, Gansu, Peoples R China; [Ziemke, Jerry R.] Morgan State Univ, Goddard Earth Sci Technol &amp; Res, Baltimore, MD USA</t>
  </si>
  <si>
    <t>Met Office - UK; Hadley Centre; University of Wisconsin System; University of Wisconsin Madison; University System of Maryland; University of Maryland College Park; Universidad Costa Rica; Universidad Costa Rica; University of Reading; Instituto Nacional de Pesquisas Espaciais (INPE); Norwegian Water Resources &amp; Energy Directorate; Egyptian Meteorological Authority; University of Gothenburg; Universidad Austral de Chile; Pontificia Universidad Catolica de Valparaiso; National Oceanic Atmospheric Admin (NOAA) - USA; Atlantic Oceanographic &amp; Meteorological Laboratory (AOML); Princeton University; Deutscher Wetterdienst; National Aeronautics &amp; Space Administration (NASA); NASA Langley Research Center; Oregon State University; European Centre for Medium-Range Weather Forecasts (ECMWF); NERC National Oceanography Centre; University of Buenos Aires; University of Alaska System; University of Alaska Fairbanks; Helmholtz Association; Alfred Wegener Institute, Helmholtz Centre for Polar &amp; Marine Research; Deutscher Wetterdienst; Norwegian Institute Nature Research; National Oceanic Atmospheric Admin (NOAA) - USA; National Hurricane Center, NOAA; National Aeronautics &amp; Space Administration (NASA); NASA Goddard Space Flight Center; Centre National de la Recherche Scientifique (CNRS); CNRS - National Institute for Earth Sciences &amp; Astronomy (INSU); Sorbonne Universite; Universite Paris Cite; Universite Paris Saclay; Geological Survey Of Denmark &amp; Greenland; Environment &amp; Climate Change Canada; University System of Ohio; Ohio State University; Environment &amp; Climate Change Canada; University of Hamburg; Natural Resources Canada; Lands &amp; Minerals Sector - Natural Resources Canada; Geological Survey of Canada; Columbia University; University West Indies Mona Jamaica; Danish Meteorological Institute DMI; University of Reading; University of Washington; University of Washington Seattle; State University System of Florida; University of South Florida; Bureau of Meteorology - Australia; National Taiwan University; Central Weather Bureau (CWB); University Centre Svalbard (UNIS); University of Alabama System; University of Alabama Huntsville; Technische Universitat Wien; University of Miami; Victoria University Wellington; Instituto Nacional de Pesquisas Espaciais (INPE); Helmholtz Association; German Aerospace Centre (DLR); UK Research &amp; Innovation (UKRI); Natural Environment Research Council (NERC); NERC British Antarctic Survey; University of Colorado System; University of Colorado Boulder; University of Ottawa; Royal Netherlands Meteorological Institute; University of Saskatchewan; Ministry of Forestry &amp; Water Affairs - Turkey; Environment &amp; Climate Change Canada; University of Illinois System; University of Illinois Urbana-Champaign; University of Innsbruck; Vrije Universiteit Amsterdam; University of Tasmania; Antarctic Climate &amp; Ecosystems Cooperative Research Centre (ACE CRC); University of New South Wales Sydney; Tyumen Industrial University; University of Virginia; National Aeronautics &amp; Space Administration (NASA); NASA Jet Propulsion Laboratory (JPL); California Institute of Technology; University System of Maryland; University of Maryland College Park; Geological Survey Of Denmark &amp; Greenland; University of Liege; University of Alberta; University System of Ohio; Ohio University; University of East Anglia; University of Southern Queensland; University of Lapland; National Aeronautics &amp; Space Administration (NASA); NASA Goddard Space Flight Center; Norwegian Polar Institute; University of California System; University of California San Diego; Scripps Institution of Oceanography; European Commission Joint Research Centre; EC JRC ISPRA Site; Japan Meteorological Agency; Environment &amp; Climate Change Canada; Helmholtz Association; Research Center Julich; National Oceanic Atmospheric Admin (NOAA) - USA; Science Systems and Applications Inc; Consejo Superior de Investigaciones Cientificas (CSIC); Universidad de Cantabria; CSIC - Instituto de Fisica de Cantabria (IFCA); Helmholtz Association; Alfred Wegener Institute, Helmholtz Centre for Polar &amp; Marine Research; York University - Canada; United States Department of Energy (DOE); Pacific Northwest National Laboratory; University of Vienna; Old Dominion University; University of Sheffield; Norwegian Meteorological Institute; Helmholtz Association; Alfred Wegener Institute, Helmholtz Centre for Polar &amp; Marine Research; National Center Atmospheric Research (NCAR) - USA; University of Tasmania; State University of New York (SUNY) System; State University of New York (SUNY) Albany; Finnish Meteorological Institute; Norwegian Meteorological Institute; Japan Meteorological Agency; Sorbonne Universite; Universite PSL; Observatoire de Paris; Woods Hole Oceanographic Institution; European Organisation for the Exploitation of Meteorological Satellites; University of Colorado System; University of Colorado Boulder; Monterey Bay Aquarium Research Institute; University of East Anglia; Meteo France; Max Planck Society; California Institute of Technology; National Aeronautics &amp; Space Administration (NASA); NASA Jet Propulsion Laboratory (JPL); University of Wisconsin System; University of Wisconsin Madison; University of Alaska System; University of Alaska Fairbanks; University of Tokyo; Korea Polar Research Institute (KOPRI); Colorado State University; National Oceanic Atmospheric Admin (NOAA) - USA; Norwegian Polar Institute; Finnish Environment Institute; Science Systems and Applications Inc; National Aeronautics &amp; Space Administration (NASA); NASA Goddard Space Flight Center; South African Weather Service (SAWS); Finnish Meteorological Institute; University of Guam; Max Planck Society; University of Wisconsin System; University of Wisconsin Madison; National Oceanic Atmospheric Admin (NOAA) - USA; Open University - UK; University of Tasmania; Antarctic Climate &amp; Ecosystems Cooperative Research Centre (ACE CRC); University System of Ohio; University of Cincinnati; National Oceanic Atmospheric Admin (NOAA) - USA; Colgate University; National Institute of Water &amp; Atmospheric Research (NIWA) - New Zealand; Bureau of Meteorology - Australia; University of Hawaii System; National Institute of Water &amp; Atmospheric Research (NIWA) - New Zealand; University of Oxford; New Mexico Institute of Mining Technology; Nicolaus Copernicus University; Ghent University; University of Tasmania; Australian Antarctic Division; University of Tasmania; National Oceanic Atmospheric Admin (NOAA) - USA; UK Centre for Ecology &amp; Hydrology (UKCEH); King Abdullah University of Science &amp; Technology; NERC National Oceanography Centre; Bureau of Meteorology - Australia; Commonwealth Scientific &amp; Industrial Research Organisation (CSIRO); University of North Carolina; North Carolina A&amp;T State University; Addis Ababa University; University of Reading; UK Research &amp; Innovation (UKRI); Natural Environment Research Council (NERC); NERC National Centre for Earth Observation; University of Reading; Commonwealth Scientific &amp; Industrial Research Organisation (CSIRO); University System of Georgia; University of Georgia; University of Tasmania; Swiss Federal Institutes of Technology Domain; Swiss Federal Institute for Forest, Snow &amp; Landscape Research; United States Department of the Interior; United States Geological Survey; Ministry of Nature Environment &amp;Tourism Mongolia; Korea Meteorological Administration (KMA); Institut de Recherche pour le Developpement (IRD); Museum National d'Histoire Naturelle (MNHN); Sorbonne Universite; United States Department of Defense; United States Army; U.S. Army Corps of Engineers; U.S. Army Engineer Research &amp; Development Center (ERDC); Cold Regions Research &amp; Engineering Laboratory (CRREL); Dartmouth College; University of Sheffield; Agencia Estatal de Meteorologia (AEMET); Ministry of Earth Sciences (MoES) - India; University of Alaska System; University of Alaska Fairbanks; University of Oxford; Victoria University Wellington; Ministry of Earth Sciences (MoES) - India; Indian Institute of Tropical Meteorology (IITM); University of Alaska System; University of Alaska Fairbanks; Israel Oceanographic &amp; Limnological Research Institute; Rutgers University System; Rutgers University New Brunswick; National Aeronautics &amp; Space Administration (NASA); NASA Goddard Space Flight Center; Philipps University Marburg; Tyumen State University; Sorbonne Universite; Universite Paris Cite; Stockholm University; National Aeronautics &amp; Space Administration (NASA); NASA Jet Propulsion Laboratory (JPL); National Oceanic Atmospheric Admin (NOAA) - USA; Princeton University; University of Colorado System; University of Colorado Boulder; University of California System; University of California Davis; Swiss Federal Institutes of Technology Domain; Swiss Federal Institute of Aquatic Science &amp; Technology (EAWAG); Communaute Universite Grenoble Alpes; Universite Grenoble Alpes (UGA); North Carolina State University; Northern Arizona University; National Aeronautics &amp; Space Administration (NASA); NASA Goddard Space Flight Center; Universities Space Research Association (USRA); University of Alberta; George Washington University; Irkutsk State University; University of California System; University of California Santa Barbara; Science Applications International Corporation (SAIC); Utrecht University; Natural Resources Canada; Lands &amp; Minerals Sector - Natural Resources Canada; Geological Survey of Canada; Ministry of Earth Sciences (MoES) - India; India Meteorological Department (IMD); University of Colorado System; University of Colorado Boulder; Deutscher Wetterdienst; National Aeronautics &amp; Space Administration (NASA); NASA Goddard Space Flight Center; Goddard Institute for Space Studies; National Oceanic Atmospheric Admin (NOAA) - USA; Simon Fraser University; Yale University; Universidade de Santiago de Compostela; Philipps University Marburg; University of Colorado System; University of Colorado Boulder; Johns Hopkins University; Vrije Universiteit Amsterdam; University of California System; University of California Irvine; Universidade de Lisboa; National Center Atmospheric Research (NCAR) - USA; University of Hawaii System; Chinese Academy of Sciences; South China Sea Institute of Oceanology, CAS; Louisiana State University System; Louisiana State University; University of Bremen; Uppsala University; National Oceanic Atmospheric Admin (NOAA) - USA; University of Bristol; Chinese Academy of Sciences; Cold &amp; Arid Regions Environmental &amp; Engineering Research Institute, CAS; Morgan State University</t>
  </si>
  <si>
    <t>Arndt, DS (corresponding author), NOAA NESDIS Natl Ctr Environm Informat, Asheville, NC 28801 USA.</t>
  </si>
  <si>
    <t>Biskaborn, Boris K./D-2419-2011; Smith, Adam/AAL-3882-2021; HURST, DALE/AAC-9948-2022; Farrell, Sinead L/F-5586-2010; Reagan/ABE-6875-2020; Kaiser, Johannes W./GOP-0832-2022; Davis, Sean/C-9570-2011; Box, Jason E/AAE-1654-2019; Osborn, Timothy/E-9740-2011; Strahan, Susan E/H-1965-2012; Schmid, Claudia/D-5875-2013; Augustine, John/AAG-8203-2019; Carter, Brendan/AAB-1327-2021; Vose, Russell/GSI-5687-2022; Baringer, Molly O/D-2277-2012; Tsidu, Gizaw Mengistu/AAG-6048-2019; Camargo, Suzana J./C-6106-2009; Drozdov, Dmitry S/N-4264-2018; Dorigo, Wouter A/C-7794-2014; Kramarova, Natalya A/D-2270-2014; Gutiérrez, José/GSJ-1846-2022; Velicogna, Isabella/R-5561-2018; Carter, Brendan/ABG-9706-2021; Sensoy, Serhat/AGI-2242-2022; Gutiérrez, José M./C-5754-2009; Dong, Shenfu/I-4435-2013; Trinanes, Joaquin A/B-3881-2015; Mote, Thomas/U-6681-2017; Selkirk, Henry B/H-2021-2012; Folland, Chris K/I-2524-2013; SALLEE, Jean baptiste/HDO-5355-2022; Wang, JunHong/HKE-0286-2023; Fausto, Robert S./K-6185-2018; Perkins-Kirkpatrick, Sarah E/O-5042-2015; Luojus, Kari/AAO-7912-2020; Johnson, Gregory C/I-6559-2012; Blunden, Jessica/G-1309-2012; Alfaro, Eric/AAV-3131-2021; van der Werf, Guido/JXY-9197-2024; Macias-Fauria, Marc/A-4591-2009; Leuliette, Eric/D-1527-2010; Muhle, Jens/GPX-3244-2022; Lantz, Kathleen/JDV-7677-2023; Wang, Chunzai/C-9712-2009; Killick, Rachel/ISA-5992-2023; Azorin-Molina, Cesar/ABB-5381-2021; Lumpkin, Rick/C-9615-2009; Rajeevan, Madhavan Nair/ABG-8604-2021; Klotzbach, Philip J/P-1911-2014; Newman, Louise/HNI-7544-2023; Alves, Lincoln M/G-8894-2015; Harris, Ian C/O-7772-2014; Buehler, Stefan Alexander/A-4056-2009; Feely, Richard A./ABI-5740-2020; Davis, Sean/HGC-5795-2022; Box, Jason/H-5770-2013; Hendricks, Stefan/D-5168-2011; Thompson, Philip R/H-4509-2013; Zhao, Lin/M-9536-2018; Durán-Quesada, Ana María/ABG-4788-2020; Miralles, Diego/K-8857-2013; Barichivich, Jonathan/A-2776-2010; Azorin-Molina, Cesar/IZP-9544-2023; Fioletov, Vitali/AAM-1044-2020; de Jeu, Richard/AAE-6922-2019; Bosilovich, Michael/F-8175-2012; Wong, Takmeng/AHD-3691-2022; Rollenbeck, Rütger/M-4154-2015; Bhatt, Uma S/D-3674-2009; Burford, Dante/A-2091-2010; Derksen, Chris/S-9828-2017; Steinbrecht, Wolfgang/G-6113-2010; sallée, jean-baptiste/A-5837-2010; Dlugokencky, Edward/AAN-8746-2020; Frith, Stacey/HMD-9437-2023; Caroff, Philippe/B-7335-2008; Beck, Hylke/ABD-9012-2020; Santee, MIchelle/R-5762-2019; Bernhard, Germar/AAZ-7169-2020; Menezes, Viviane/AAG-8235-2020; Loyola, Diego/GYO-3213-2022; Isaksen, Ketil/C-6493-2011; Cooper, Owen/H-4875-2013; Hamlington, Benjamin/R-4928-2019; McVicar, Tim R/D-8614-2011; Landschützer, Peter/IQU-3835-2023; Soden, Brian/ABC-3659-2021; Minnis, Patrick/G-1902-2010; Dutton, Geoffrey Scott/V-9977-2019; Wåhlin, Anna/U-3790-2017; Lin, I-I/J-4695-2013; Hobbs, Will R/G-5116-2014; van de wal, roderik/D-1705-2011; Hurst, Dale/D-1554-2016; Goni, Gustavo J/D-2017-2012; Schmid, Martin/C-3953-2009; Bulygina, Olga/H-1251-2016; Ackerman, Steven A/G-1640-2011; Carrea, Laura/GXM-6341-2022; Merchant, Christopher J/E-1180-2014; Müller, Rolf/ABA-8213-2021; Hanna, Edward/W-5927-2019; Loeb, Norman/ABC-7817-2021; Gruber, Alexander/ABA-3286-2020; Lu, Mong-Ming/AAU-6521-2021; KIM, HYUNGJUN/I-5099-2014; Diamond, Howard/ABC-9877-2021; Boucher, Olivier/K-7483-2012; Wouters, Bert/A-5301-2017; Lakkala, Kaisa/AAN-4342-2020; Zhang, Peiqun/AAQ-5385-2020; Johnson, Kenneth S/F-9742-2011; Luo, Jing-Jia/T-9612-2019; Jones, Philip Douglas/C-8718-2009; Newman, Louise/Q-8592-2019; Swart, Sebastiaan/U-5498-2017; Wouters, Bert/AAA-4254-2019; Smeed, David/B-4726-2012; Osborn, Timothy/AAK-9279-2020; Dunn, Robert/O-5910-2016; Forbes, Bruce C./L-4431-2013; Shimaraeva, Svetlana/ABC-7160-2021; Willis, Josh/AGY-7817-2022; Hidalgo, Hugo G./I-7170-2019; Rosenlof, Karen H/B-5652-2008; Berry, David I/C-1268-2011; Arguez, Anthony/I-9375-2017; Timofeyev, Maxim/F-2071-2010; Ho, shu-peng/E-5199-2019; Mazloff, Matthew/AAG-6463-2019; Newman, Paul A/D-6208-2012; Read, Peter Leonard/AAS-2773-2020; Trachte, Katja/M-7310-2015; Weber, Mark/F-1409-2011; wilber, anne/F-6270-2011; Arndt, Derek S/J-3022-2013; Bernhard, Germar H/B-4460-2018; Franz, Bryan A/D-6284-2012; Wang, Muyin/K-4006-2014; Heidinger, Andrew/F-5591-2010; Schreck, Carl J/B-8711-2011; John, Viju/S-6989-2019; Donat, Markus/J-8331-2012; Van Meerbeeck, Cedric JVC/D-1231-2010; Famiglietti, James/G-7383-2017; Grooß, Jens-Uwe/N-3305-2019; Heim, Richard R./H-9667-2017; Allan, Richard Philip/B-5782-2008; Boucher, Olivier/J-5810-2012; Espinoza, Jhan Carlo/A-9396-2011; Merchant, Christopher/KHY-0611-2024; Weyhenmeyer, Gesa/Y-6135-2019; Timmermans, Mary-Louise/N-5983-2014; Adler, Robert/AHD-5560-2022; Wagner, Wolfgang/AAC-5507-2019; Bettolli, Maria/AAA-7570-2021; McCabe, Matthew F/G-5194-2011; Marszelewski, Wlodzimierz/D-4630-2014; McBride, Charlotte/GSI-4733-2022; Müller, Rolf/A-6669-2013; Dokulil, Martin/J-3464-2019; Ialongo, Iolanda/E-1638-2014; Noetzli, Jeannette/ABA-4132-2020; Clem, Kyle/AAG-6626-2021; montzka, stephen/V-6162-2019; Vieira, Goncalo/G-5958-2010; Domingues, Catia M./A-2901-2015; L'Heureux, Michelle L/C-7517-2013; Wong, Takmeng/AHD-3210-2022; Menzel, W. Paul/B-8306-2011; Loranty, Michael Mark/A-1518-2009; Streletskiy, Dmitry/C-3333-2017; van der Werf, Guido/M-8260-2016; Knaff, John/F-5599-2010; Rodell, Matthew/E-4946-2012; sweet, william/D-4310-2019</t>
  </si>
  <si>
    <t>Biskaborn, Boris K./0000-0003-2378-0348; Smith, Adam/0000-0003-2573-3609; HURST, DALE/0000-0002-6315-2322; Reagan/0000-0002-0021-6210; Kaiser, Johannes W./0000-0003-3696-9123; Davis, Sean/0000-0001-9276-6158; Box, Jason E/0000-0003-0052-8705; Augustine, John/0000-0002-6645-7404; Camargo, Suzana J./0000-0002-0802-5160; Sensoy, Serhat/0000-0002-6150-6035; Dong, Shenfu/0000-0001-8247-8072; Selkirk, Henry B/0000-0001-9431-5385; Folland, Chris K/0000-0002-3143-5918; Fausto, Robert S./0000-0003-1317-8185; Luojus, Kari/0000-0002-4066-6005; Johnson, Gregory C/0000-0002-8023-4020; Alfaro, Eric/0000-0001-9278-5017; Leuliette, Eric/0000-0002-3425-4039; Muhle, Jens/0000-0001-9776-3642; Lantz, Kathleen/0000-0001-9515-160X; Wang, Chunzai/0000-0002-7611-0308; Killick, Rachel/0000-0001-5335-4097; Lumpkin, Rick/0000-0002-6690-1704; Rajeevan, Madhavan Nair/0000-0002-3000-2459; Davis, Sean/0000-0001-9276-6158; Box, Jason/0000-0003-0052-8705; Hendricks, Stefan/0000-0002-1412-3146; Thompson, Philip R/0000-0002-0875-4208; Zhao, Lin/0000-0003-0245-8413; Durán-Quesada, Ana María/0000-0003-0913-0154; Miralles, Diego/0000-0001-6186-5751; Fioletov, Vitali/0000-0002-2731-5956; Dlugokencky, Edward/0000-0003-0612-6985; Frith, Stacey/0000-0001-6894-0574; Bernhard, Germar/0000-0002-1264-0756; Menezes, Viviane/0000-0002-4885-2056; Isaksen, Ketil/0000-0003-2356-5330; Cooper, Owen/0000-0001-7391-1161; McVicar, Tim R/0000-0002-0877-8285; Landschützer, Peter/0000-0002-7398-3293; Dutton, Geoffrey Scott/0000-0001-7777-9268; Wåhlin, Anna/0000-0003-1799-6476; Lin, I-I/0000-0002-8364-8106; van de wal, roderik/0000-0003-2543-3892; Hurst, Dale/0000-0002-6315-2322; Merchant, Christopher J/0000-0003-4687-9850; Müller, Rolf/0000-0002-5024-9977; Hanna, Edward/0000-0002-8683-182X; Gruber, Alexander/0000-0002-3280-7023; Lu, Mong-Ming/0000-0003-1694-034X; KIM, HYUNGJUN/0000-0003-1083-8416; Lakkala, Kaisa/0000-0003-2840-1132; Luo, Jing-Jia/0000-0003-2181-0638; Jones, Philip Douglas/0000-0001-5032-5493; Newman, Louise/0000-0001-9523-8713; Wouters, Bert/0000-0002-1086-2435; Smeed, David/0000-0003-1740-1778; Osborn, Timothy/0000-0001-8425-6799; Dunn, Robert/0000-0003-2469-5989; Forbes, Bruce C./0000-0002-4593-5083; Hidalgo, Hugo G./0000-0003-4638-0742; Rosenlof, Karen H/0000-0002-0903-8270; Timofeyev, Maxim/0000-0002-5250-6818; Ho, shu-peng/0000-0002-3010-8544; Mazloff, Matthew/0000-0002-1650-5850; Trachte, Katja/0000-0003-4269-9668; Arndt, Derek S/0000-0001-7698-6740; Wang, Muyin/0000-0001-5233-4588; Donat, Markus/0000-0002-0608-7288; Famiglietti, James/0000-0002-6053-5379; Grooß, Jens-Uwe/0000-0002-9485-866X; Allan, Richard Philip/0000-0003-0264-9447; Espinoza, Jhan Carlo/0000-0001-7732-8504; Weyhenmeyer, Gesa/0000-0002-4013-2281; Wagner, Wolfgang/0000-0001-7704-6857; Bettolli, Maria/0000-0001-7423-0544; McBride, Charlotte/0000-0001-9557-7520; Dokulil, Martin/0000-0002-6369-1457; Ialongo, Iolanda/0000-0002-1125-0756; Noetzli, Jeannette/0000-0001-9188-6318; Clem, Kyle/0000-0002-1419-2758; montzka, stephen/0000-0002-9396-0400; Vieira, Goncalo/0000-0001-7611-3464; Domingues, Catia M./0000-0001-5100-4595; Menzel, W. Paul/0000-0001-5690-1201; Loranty, Michael Mark/0000-0001-8851-7386; metzl, nicolas/0000-0002-1165-1074; John, Viju/0000-0002-8640-8810; de Eyto, Elvira/0000-0003-2281-2491; Walker, Donald/0000-0001-9581-7811; Lazzara, Matthew/0000-0002-4343-498X; Benedetti, Angela/0000-0002-9971-9976; Dolman, A.J./0000-0003-0099-0457; Streletskiy, Dmitry/0000-0003-2563-2664; van der Werf, Guido/0000-0001-9042-8630; Knaff, John/0000-0003-0427-1409; Carter, Brendan/0000-0003-2445-0711; Rodell, Matthew/0000-0003-0106-7437; Rusak, James/0000-0002-4939-6478; Coldewey-Egbers, Melanie/0000-0002-9275-498X; sweet, william/0000-0002-0149-8336; Tretiakov, Mikhail/0000-0003-3702-6362</t>
  </si>
  <si>
    <t>Grants-in-Aid for Scientific Research [16H06291] Funding Source: KAKEN; NERC [NE/P006809/1, NE/L011859/1, NE/N006054/1, NE/K005480/1, ceh020009, ncas10008, NE/N006038/1, nceo020006] Funding Source: UKRI; STFC [ST/L000776/1] Funding Source: UKRI; Natural Environment Research Council [ceh020009, NE/N006054/1, NE/K005480/1, ncas10008, nceo020006, NE/N006038/1, NE/L011859/1] Funding Source: researchfish; Science and Technology Facilities Council [1139870] Funding Source: researchfish; UK Space Agency [ST/M00306X/1, ST/I003096/1, ST/R001405/1] Funding Source: researchfish; Office of Polar Programs (OPP); Directorate For Geosciences [1304555, 1500931] Funding Source: National Science Foundation; Office of Polar Programs (OPP); Directorate For Geosciences [1543305] Funding Source: National Science Foundation</t>
  </si>
  <si>
    <t>Grants-in-Aid for Scientific Research(Ministry of Education, Culture, Sports, Science and Technology, Japan (MEXT)Japan Society for the Promotion of ScienceGrants-in-Aid for Scientific Research (KAKENHI));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 UK Space Agency; Office of Polar Programs (OPP); Directorate For Geosciences(National Science Foundation (NSF)NSF - Directorate for Geosciences (GEO)); Office of Polar Programs (OPP); Directorate For Geosciences(National Science Foundation (NSF)NSF - Directorate for Geosciences (GEO))</t>
  </si>
  <si>
    <t>S1</t>
  </si>
  <si>
    <t>10.1175/2017BAMSStateoftheClimate.1</t>
  </si>
  <si>
    <t>FJ5BC</t>
  </si>
  <si>
    <t>Green Submitted, Green Accepted, Green Published, hybrid</t>
  </si>
  <si>
    <t>WOS:000412758300001</t>
  </si>
  <si>
    <t>Dou, J; Wu, ZW; Zhou, YF</t>
  </si>
  <si>
    <t>Dou, Juan; Wu, Zhiwei; Zhou, Yefan</t>
  </si>
  <si>
    <t>Potential impact of the May Southern Hemisphere annular mode on the Indian summer monsoon rainfall</t>
  </si>
  <si>
    <t>Southern Hemisphere annular mode; Indian summer monsoon rainfall; Empirical model</t>
  </si>
  <si>
    <t>SPRING ANTARCTIC OSCILLATION; NORTH-ATLANTIC OSCILLATION; EXTRATROPICAL CIRCULATION; INTERANNUAL VARIABILITY; WEAKENING RELATIONSHIP; WINTER PRECIPITATION; OCEAN DIPOLE; ENSO; SYSTEM; PREDICTABILITY</t>
  </si>
  <si>
    <t>El Nino-Southern Oscillation (ENSO) is probably a most important external forcing to Indian summer monsoon (ISM) rainfall (ISMR), yet the observed ENSO-ISMR relationship has become weak in recent years. It's essential to explore other predominant modes of variability which can contribute to the ISMR. As the leading mode of the variability in Southern Hemisphere (SH) extratropical atmospheric circulation, the SH annular mode (SAM) has potential influence both on the northern and southern hemispheric climate. The present study investigates the relationship between the SAM and ISMR. It is found that the May SAM exhibits a significant positive correlation with the monsoon precipitation over the Indian sub-continent and the adjacent areas in June-July (JJ). Observational and numerical evidences indicate that the May SAM anomaly can trigger a South Indian Ocean dipole (SIOD) sea surface temperature anomaly (SSTA) through air-sea interactions. The SIOD SSTA persisting into the following months of JJ excites abnormal meridional circulation and modulates the low-level cross-equatorial flow. Accordingly, the ascending (or descending) motion and water vapor transportation are enhanced (or suppressed), which favors more (or less) precipitation over the Indian sub-continent and the adjacent areas. In fact, the SIOD SSTA plays an ocean bridge role to prolong the influence of the May SAM to the subsequent season and in turn impacts on the ISMR. Moreover, an empirical model is established to forecast the JJ ISMR strength based on the ENSO, Indian Ocean Dipole and May SAM. The hindcast is carried out for the period 1979-2014, and performs better than the multimodel ensemble mean (MME) obtained from the Development of a European MME system for seasonal to interannual prediction (DEMETER) project. Since all these predictors can be monitored in real time before the early boreal summer, the empirical model might provide a practical real-time forecast tool for predicting ISMR variations.</t>
  </si>
  <si>
    <t>[Dou, Juan; Wu, Zhiwei; Zhou, Yefan] NUIST, Earth Syst Modeling Ctr, Nanjing 210044, Jiangsu, Peoples R China</t>
  </si>
  <si>
    <t>Nanjing University of Information Science &amp; Technology</t>
  </si>
  <si>
    <t>Wu, ZW (corresponding author), NUIST, Earth Syst Modeling Ctr, Nanjing 210044, Jiangsu, Peoples R China.</t>
  </si>
  <si>
    <t>zhiweiwu@nuist.edu.cn</t>
  </si>
  <si>
    <t>Wu, Zhiwei/KHE-4328-2024</t>
  </si>
  <si>
    <t>National Natural Science Foundation of China (NSFC) [91437216]; Ministry of Science and Technology of China [2016YFA0601801, 2015CB453201]; NSFC [41575075]</t>
  </si>
  <si>
    <t>National Natural Science Foundation of China (NSFC)(National Natural Science Foundation of China (NSFC)); Ministry of Science and Technology of China(Ministry of Science and Technology, China); NSFC(National Natural Science Foundation of China (NSFC))</t>
  </si>
  <si>
    <t>We are grateful to the ECMWF for providing the re-analysis data and the two anonymous reviews for the valuable comments. The authors are funded by the National Natural Science Foundation of China (NSFC) (Grant No. 91437216), the Ministry of Science and Technology of China (Grant Nos. 2016YFA0601801, 2015CB453201) and the NSFC (Grant No. 41575075).</t>
  </si>
  <si>
    <t>10.1007/s00382-016-3380-4</t>
  </si>
  <si>
    <t>FD0RU</t>
  </si>
  <si>
    <t>WOS:000407247200007</t>
  </si>
  <si>
    <t>He, YY; Wang, YB; Zheng, Z; Liu, FM; An, ML; He, XD; Qu, CF; Li, LL; Miao, JL</t>
  </si>
  <si>
    <t>He, Ying-ying; Wang, Yi-bin; Zheng, Zhou; Liu, Fang-ming; An, Mei-ling; He, Xiao-dong; Qu, Chang-feng; Li, Lu-lu; Miao, Jin-lai</t>
  </si>
  <si>
    <t>Cloning and Stress-Induced Expression Analysis of Calmodulin in the Antarctic Alga Chlamydomonas sp ICE-L</t>
  </si>
  <si>
    <t>CURRENT MICROBIOLOGY</t>
  </si>
  <si>
    <t>Antarctic ice alga; Chlamydomonas sp ICE-L . Calmodulin; QRT-PCR; Bioinformatics analysis</t>
  </si>
  <si>
    <t>BINDING PROTEINS; SEA-ICE; CALCIUM; GENE; SIGNAL; MECHANISM; ROLES</t>
  </si>
  <si>
    <t>Calmodulin (CaM) is a Ca2+-binding protein that plays a role in several Ca2+ signaling pathways, which dynamically regulates the activities of hundreds of proteins. The ice alga Chlamydomonas sp. ICE-L, which has the ability to adapt to extreme polar conditions, is a crucial primary producer in Antarctic ecosystem. This study hypothesized that Cam helps the ICE-L to adapt to the fluctuating conditions in the polar environment. It first verified the overall length of Cam, through RT-PCR and RACE-PCR, based on partial Cam transcriptome library of ICE-L. Then, the nucleotide and predicted amino acid sequences were, respectively, analyzed by various bioinformatics approaches to gain more insights into the computed physicochemical properties of the CaM. Potential involvements of Cam in responding to certain stimuli (i.e., UVB radiation, high salinity, and temperature) were investigated by differential expression, measuring its transcription levels by means of quantitative RT-PCR. Results showed that CaM was indeed inducible and regulated by high UVB radiation, high salinity, and nonoptimal temperature conditions. Different conditions had different expression tendencies, which provided an important basis for investigating the adaptation mechanism of Cam in ICE-L.</t>
  </si>
  <si>
    <t>[He, Ying-ying; Wang, Yi-bin; Zheng, Zhou; Liu, Fang-ming; An, Mei-ling; He, Xiao-dong; Qu, Chang-feng; Li, Lu-lu; Miao, Jin-lai] State Ocean Adm, Inst Oceanog 1, 6 Xianxialing Rd, Qingdao 266061, Peoples R China; [He, Ying-ying; Wang, Yi-bin; Zheng, Zhou; Liu, Fang-ming; An, Mei-ling; He, Xiao-dong; Qu, Chang-feng; Li, Lu-lu; Miao, Jin-lai] SOA, Key Lab Marine Bioact Subst, Qingdao 266061, Peoples R China; [Wang, Yi-bin; Zheng, Zhou; Liu, Fang-ming; Miao, Jin-lai] Qingdao Natl Lab Marine Sci &amp; Technol, Qingdao 266235, Peoples R China</t>
  </si>
  <si>
    <t>First Institute of Oceanography, Ministry of Natural Resources; Laoshan Laboratory</t>
  </si>
  <si>
    <t>Wang, YB; Miao, JL (corresponding author), State Ocean Adm, Inst Oceanog 1, 6 Xianxialing Rd, Qingdao 266061, Peoples R China.;Wang, YB; Miao, JL (corresponding author), SOA, Key Lab Marine Bioact Subst, Qingdao 266061, Peoples R China.;Wang, YB; Miao, JL (corresponding author), Qingdao Natl Lab Marine Sci &amp; Technol, Qingdao 266235, Peoples R China.</t>
  </si>
  <si>
    <t>Zheng, Zhou/JJD-0602-2023; Wang, Yibin/J-6584-2017; He, Ying Ying/HZL-0137-2023</t>
  </si>
  <si>
    <t>Wang, Yibin/0000-0001-5278-7245; He, Ying Ying/0000-0002-8759-3157</t>
  </si>
  <si>
    <t>National Natural Science Foundation of China [41576187]; National Natural Science Foundation of China-Shandong Joint Fund [U1406402]; Polar Strategic Foundation of China [20150303]; Basic Scientific Fund for National Public Research Institutes of China [2015G10]; Key Research and Development Plan of Shandong Province [2016ZDJS06A03]; Public Science and Technology Research Funds Projects of Ocean [201405015]; Scientific and Technological Innovation Project - Qingdao National Laboratory for Marine Science and Technology and the Science [2015ASKJ02]; Qingdao Entrepreneurship and Innovation Pioneers Program [15-10-3-15(44)-zch]</t>
  </si>
  <si>
    <t>National Natural Science Foundation of China(National Natural Science Foundation of China (NSFC)); National Natural Science Foundation of China-Shandong Joint Fund; Polar Strategic Foundation of China; Basic Scientific Fund for National Public Research Institutes of China; Key Research and Development Plan of Shandong Province; Public Science and Technology Research Funds Projects of Ocean; Scientific and Technological Innovation Project - Qingdao National Laboratory for Marine Science and Technology and the Science; Qingdao Entrepreneurship and Innovation Pioneers Program</t>
  </si>
  <si>
    <t>This study was supported by the National Natural Science Foundation of China (No. 41576187), the National Natural Science Foundation of China-Shandong Joint Fund (No. U1406402), the Polar Strategic Foundation of China (No. 20150303), the Basic Scientific Fund for National Public Research Institutes of China (No. 2015G10), the Key Research and Development Plan of Shandong Province (No. 2016ZDJS06A03), the Public Science and Technology Research Funds Projects of Ocean (No. 201405015), the Scientific and Technological Innovation Project Financially Supported by Qingdao National Laboratory for Marine Science and Technology and the Science (No. 2015ASKJ02), and Qingdao Entrepreneurship and Innovation Pioneers Program (No. 15-10-3-15(44)-zch). The authors thank MogoEdit Co. for its linguistic assistance during the preparation of this manuscript.</t>
  </si>
  <si>
    <t>0343-8651</t>
  </si>
  <si>
    <t>1432-0991</t>
  </si>
  <si>
    <t>CURR MICROBIOL</t>
  </si>
  <si>
    <t>Curr. Microbiol.</t>
  </si>
  <si>
    <t>10.1007/s00284-017-1263-5</t>
  </si>
  <si>
    <t>FC1LU</t>
  </si>
  <si>
    <t>WOS:000406599500005</t>
  </si>
  <si>
    <t>Rogers, TL</t>
  </si>
  <si>
    <t>Rogers, Tracey L.</t>
  </si>
  <si>
    <t>Calling underwater is a costly signal: size-related differences in the call rates of Antarctic leopard seals</t>
  </si>
  <si>
    <t>CURRENT ZOOLOGY</t>
  </si>
  <si>
    <t>acoustic cues; costly signaling; display behavior; honest advertisement; marine mammals; vocalizations</t>
  </si>
  <si>
    <t>PACK-ICE SEALS; HYDRURGA-LEPTONYX; INDIVIDUAL VARIATION; BEARDED SEALS; RED DEER; FEMALE CHOICE; FALLOW BUCKS; PRYDZ BAY; BEHAVIOR; VOCALIZATIONS</t>
  </si>
  <si>
    <t>It is proposed that where sexually selected vocal communication is an honest signal, the call production rate is predicted to change throughout the breeding season. Male leopard seals call underwater for many hours each day over their three-to four-month breeding season, and it is hypothesized that a decrease in calling rate would be associated with the declining body condition of smaller males. The calling rates of leopard seals were measured (N = 49 recordings) and compared between seals of different size classes throughout the breeding season. Male leopard seals produce their calls at more stable rates as they become larger. In this study, larger male leopard seals adopted a strategy of consistent underwater calling throughout the breeding season, whereas there was a breakdown in the calling stereotypy of the smaller males at its height. Toward the end of the breeding season, the smaller seals produced fewer calls in shortened calling bouts, and they took more rest periods. Therefore, underwater calling may represent an honest signal in the leopard seal. For marine mammals that call underwater, the production of repetitive sequences advertises the breath-holding ability of the caller to the listeners, and this ability may be related to male stamina and endurance, thus representing an honest signal that could be widespread in other species.</t>
  </si>
  <si>
    <t>[Rogers, Tracey L.] Univ New South Wales, Sch BEES, Evolut &amp; Ecol Res Ctr, Sydney, NSW 2052, Australia</t>
  </si>
  <si>
    <t>Rogers, TL (corresponding author), Univ New South Wales, Sch BEES, Evolut &amp; Ecol Res Ctr, Sydney, NSW 2052, Australia.</t>
  </si>
  <si>
    <t>tracey.rogers@unsw.edu.au</t>
  </si>
  <si>
    <t>Rogers, Tracey L/C-3419-2008</t>
  </si>
  <si>
    <t>Rogers, Tracey/0000-0002-7141-4177</t>
  </si>
  <si>
    <t>Antarctic Scientific Advisory Committee [ASAC 1144]; Sea World Research and Rescue Foundation Inc.; Winifred Violet Scott Charitable Trust; ASAC Project [552, 1144]; Scott Foundation</t>
  </si>
  <si>
    <t>Antarctic Scientific Advisory Committee; Sea World Research and Rescue Foundation Inc.; Winifred Violet Scott Charitable Trust; ASAC Project; Scott Foundation</t>
  </si>
  <si>
    <t>This study was supported financially by the Antarctic Scientific Advisory Committee (ASAC 1144), the Sea World Research and Rescue Foundation Inc., the Winifred Violet Scott Charitable Trust. The funders had no role in study design, data collection and analysis, decision to publish, or preparation of the manuscript. This work was partly supported by ASAC Project 552, ASAC Project 1144, and the Scott Foundation.</t>
  </si>
  <si>
    <t>1674-5507</t>
  </si>
  <si>
    <t>2396-9814</t>
  </si>
  <si>
    <t>CURR ZOOL</t>
  </si>
  <si>
    <t>Curr. Zool.</t>
  </si>
  <si>
    <t>10.1093/cz/zox028</t>
  </si>
  <si>
    <t>FB1FU</t>
  </si>
  <si>
    <t>WOS:000405889900009</t>
  </si>
  <si>
    <t>Xie, RFC; Galer, SJG; Abouchami, W; Rijkenberg, MJA; de Baar, HJW; De Jong, J; Andreae, MO</t>
  </si>
  <si>
    <t>Xie, Ruifang C.; Galer, Stephen J. G.; Abouchami, Wafa; Rijkenberg, Micha J. A.; de Baar, Hein J. W.; De Jong, Jeroen; Andreae, Meinrat O.</t>
  </si>
  <si>
    <t>Non-Rayleigh control of upper-ocean Cd isotope fractionation in the western South Atlantic</t>
  </si>
  <si>
    <t>GEOTRACES GA02 section; dissolved Cd isotopes; deep water mixing; open system steady-state model; Cd adsorption</t>
  </si>
  <si>
    <t>CADMIUM; ZINC; ADSORPTION; METAL; IRON; PHYTOPLANKTON; ZN; SPECIATION; SEAWATER; WATERS</t>
  </si>
  <si>
    <t>We present seawater Cd isotopic compositions in five depth profiles and a continuous surface water transect, from 50 degrees S to the Equator, in the western South Atlantic, sampled during GEOTRACES cruise 74JC057 (GA02 section, Leg 3), and investigate the mechanisms governing Cd isotope cycling in the upper and deep ocean. The depth profiles generally display high epsilon Cd-112/110 at the surface and decrease with increasing depth toward values typical of Antarctic Bottom Water (AABW). However, at stations north of the Subantarctic Front, the decrease in epsilon Cd-112/110 is interrupted by a shift to values intermediate between those of surface and bottom waters, which occurs at depths occupied by North Atlantic Deep Water (NADW). This pattern is associated with variations in Cd concentration from low surface values to a maximum at mid-depths and is attributed to preferential utilization of light Cd by phytoplankton in the surface ocean. Our new results show that in this region Cd-deficient waters do not display the extreme, highly fractionated epsilon Cd-112/110 reported in some earlier studies from other oceanic regions. Instead, in the surface and subsurface southwest (SW) Atlantic, when [Cd] drops below 0.1 nmol kg(-1), epsilon Cd-112/110 are relatively homogeneous and cluster around a value of +3.7, in agreement with the mean value of 3.8 +/- 3.3 (2SD, n = 164) obtained from a statistical evaluation of the global ocean Cd isotope dataset. We suggest that Cd-deficient surface waters may acquire their Cd isotope signature via sorption of Cd onto organic ligands, colloids or bacteriallpicoplankton extracellular functional groups. Alternatively, we show that an open system, steady-state model is in good accord with the observed Cd isotope systematics in the upper ocean north of the Southern Ocean. The distribution of epsilon Cd-112/110 in intermediate and deep waters is consistent with the water mass distribution, with the north-south variations reflecting changes in the mixing proportion of NADW and either AABW or AAIW depending on the depth. Overall, the SW Atlantic Cd isotope dataset demonstrates that the large-scale ocean circulation exerts the primary control on epsilon(112/110) Cd cycling in the global deep ocean. (C) 2017 Elsevier B.V. All rights reserved.</t>
  </si>
  <si>
    <t>[Xie, Ruifang C.; Galer, Stephen J. G.; Andreae, Meinrat O.] Max Planck Inst Chem, Biogeochem Dept, POB 3060, D-55020 Mainz, Germany; [Abouchami, Wafa] Inst Phys Globe Paris, 1 Rue Jussieu, F-75238 Paris 05, France; [Rijkenberg, Micha J. A.; de Baar, Hein J. W.] NIOZ Royal Netherlands Inst Sea Res, Dept Ocean Syst OCS, POB 59, NL-1790 AB Den Burg, Texel, Netherlands; [Rijkenberg, Micha J. A.] Univ Utrecht, POB 59, NL-1790 AB Den Burg, Texel, Netherlands; [de Baar, Hein J. W.] Univ Groningen, POB 59, NL-1790 AB Den Burg, Texel, Netherlands; [De Jong, Jeroen] Univ Libre Bruxelles, Dept Earth &amp; Environm Sci, B-1050 Brussels, Belgium; [Andreae, Meinrat O.] Univ Calif San Diego, Scripps Inst Oceanog, La Jolla, CA 92093 USA; [Xie, Ruifang C.] GEOMAR Helmholtz Ctr Ocean Res Kiel, Wischhofstr 1-3, D-24148 Kiel, Germany</t>
  </si>
  <si>
    <t>Max Planck Society; Universite Paris Cite; Utrecht University; Royal Netherlands Institute for Sea Research (NIOZ); Utrecht University; University of Groningen; Universite Libre de Bruxelles; University of California System; University of California San Diego; Scripps Institution of Oceanography; Helmholtz Association; GEOMAR Helmholtz Center for Ocean Research Kiel</t>
  </si>
  <si>
    <t>Xie, RFC (corresponding author), Max Planck Inst Chem, Biogeochem Dept, POB 3060, D-55020 Mainz, Germany.;Xie, RFC (corresponding author), GEOMAR Helmholtz Ctr Ocean Res Kiel, Wischhofstr 1-3, D-24148 Kiel, Germany.</t>
  </si>
  <si>
    <t>rxie@geomar.de; steve.galer@mpic.de; wabouchami@ipgp.fr; Micha.Rijkenberg@nioz.nl; Hein.de.Baar@nioz.nl; jdejong@ulb.ac.be; m.andreae@mpic.de</t>
  </si>
  <si>
    <t>Xie, Ruifang/JMD-0243-2023; Andreae, Meinrat O./B-1068-2008; de Jong, Jeroen/F-3190-2011; Rijkenberg, Micha JA/C-3245-2012</t>
  </si>
  <si>
    <t>de Jong, Jeroen/0000-0002-3034-5929; Xie, Ruifang/0000-0002-6628-9236</t>
  </si>
  <si>
    <t>UnivEarths LABEX program at Sorbonne Paris Cite [ANR-10-LABEX-0023, ANR-11-IDEX-0005-02]; German Max Planck Society; grant Geotraces, Global Change and Microbial Oceanography in the West Atlantic Ocean of Earth and Life Sciences (ALW) division of the Netherlands Organisation for Scientific Research (NWO) [839.08.410]</t>
  </si>
  <si>
    <t>UnivEarths LABEX program at Sorbonne Paris Cite; German Max Planck Society(Max Planck Society); grant Geotraces, Global Change and Microbial Oceanography in the West Atlantic Ocean of Earth and Life Sciences (ALW) division of the Netherlands Organisation for Scientific Research (NWO)</t>
  </si>
  <si>
    <t>We thank the Captain and crew of the RRS James Cook, and the scientific party on-board GEOTRACES cruise GA02 74JC057. We thank H. Feldmann for his help in the TIMS lab, R. Jotter and S. Hermann for their support in the clean lab, and D. Janssen for fruitful discussion. Tim Conway, Michael Ellwood, an anonymous reviewer and the editor, Derek Vance, are thanked for their constructive and insightful comments. W.A. was funded by UnivEarths LABEX program at Sorbonne Paris Cite (ANR-10-LABEX-0023 and ANR-11-IDEX-0005-02). This study was supported by the German Max Planck Society. The cruise was funded by the grant Geotraces, Global Change and Microbial Oceanography in the West Atlantic Ocean (Grant # 839.08.410) of Earth and Life Sciences (ALW) division of the Netherlands Organisation for Scientific Research (NWO).</t>
  </si>
  <si>
    <t>10.1016/j.epsl.2017.04.024</t>
  </si>
  <si>
    <t>EY0CH</t>
  </si>
  <si>
    <t>WOS:000403625300010</t>
  </si>
  <si>
    <t>Alexeev, VA; Walsh, JE; Ivanov, VV; Semenov, VA; Smirnov, AV</t>
  </si>
  <si>
    <t>Alexeev, Vladimir A.; Walsh, John E.; Ivanov, Vladimir V.; Semenov, Vladimir A.; Smirnov, Alexander V.</t>
  </si>
  <si>
    <t>Warming in the Nordic Seas, North Atlantic storms and thinning Arctic sea ice</t>
  </si>
  <si>
    <t>Atlantic water; Arctic sea ice; declining winter ice</t>
  </si>
  <si>
    <t>MULTIDECADAL VARIABILITY; POLAR AMPLIFICATION; CLIMATE VARIABILITY; OCEANIC HEAT; SNOW DEPTH; IMPACT; BARENTS; WATER; OSCILLATION; TEMPERATURE</t>
  </si>
  <si>
    <t>Arctic sea ice over the last few decades has experienced a significant decline in coverage both in summer and winter. The currently warming Atlantic Water layer has a pronounced impact on sea ice in the Nordic Seas (including the Barents Sea). More open water combined with the prevailing atmospheric pattern of airflow from the southeast, and persistent North Atlantic storms such as the recent extremely strong Storm Frank in December 2015, lead to increased energy transport to the high Arctic. Each of these storms brings sizeable anomalies of heat to the high Arctic, resulting in significant warming and slowing down of sea ice growth or even melting. Our analysis indicates that the recently observed sea ice decline in the Nordic Seas during the cold season around Svalbard, Franz Joseph Land and Novaya Zemlya, and the associated heat release from open water into the atmosphere, contributed significantly to the increase in the downward longwave radiation throughout the entire Arctic. Added to other changes in the surface energy budget, this increase since the 1960s to the present is estimated to be at least 10 W m(-2), which can result in thinner (up to at least 15-20 cm) Arctic ice at the end of the winter. This change in the surface budget is an important contributing factor accelerating the thinning of Arctic sea ice.</t>
  </si>
  <si>
    <t>[Alexeev, Vladimir A.; Walsh, John E.; Ivanov, Vladimir V.; Semenov, Vladimir A.] Univ Alaska Fairbanks, Int Arctic Res Ctr, 930 Koyukuk Dr, Fairbanks, AK 99775 USA; [Ivanov, Vladimir V.; Smirnov, Alexander V.] Arctic &amp; Antarctic Res Inst, Bering St 38, St Petersburg 199397, Russia; [Ivanov, Vladimir V.] Hydrometeorol Ctr Russia, 11-13 B Predtechensky Per, Moscow 123242, Russia; AM Obukhov Inst Atmospher Phys, Pyzhevskii Per 3, Moscow 119017, Russia; Russian Acad Sci, Inst Geog, Staromonetniy 29, Moscow 119017, Russia</t>
  </si>
  <si>
    <t>University of Alaska System; University of Alaska Fairbanks; Arctic &amp; Antarctic Research Institute; Russian Academy of Sciences; Obukhov Institute of Atmospheric Physics of Russian Academy of Sciences; Institute of Geography, Russian Academy of Sciences; Russian Academy of Sciences</t>
  </si>
  <si>
    <t>Alexeev, VA; Semenov, VA (corresponding author), Univ Alaska Fairbanks, Int Arctic Res Ctr, 930 Koyukuk Dr, Fairbanks, AK 99775 USA.</t>
  </si>
  <si>
    <t>valexeev@alaska.edu</t>
  </si>
  <si>
    <t>Ivanov, Vladimir/J-5979-2014; Semenov, Vladimir/U-9488-2019; Walsh, John/GQI-2785-2022; alexeev, vladimir/B-2234-2010; Smirnov, Alexey Sergeevich/AAB-2521-2020; Smirnov, Alexander/J-5935-2014</t>
  </si>
  <si>
    <t>Ivanov, Vladimir/0000-0003-2569-6027; Semenov, Vladimir/0000-0001-7632-7921; Walsh, John/0000-0002-2510-8734; alexeev, vladimir/0000-0003-3519-2797; Smirnov, Alexey Sergeevich/0000-0001-5361-8232; Smirnov, Alexander/0000-0003-3231-7283; Walsh, John/0000-0001-9541-5927</t>
  </si>
  <si>
    <t>NSF [ARC-1417300, 1203473, ARC-1602720]; Arctic Landscape Conservation Cooperative; Alaska EPSCOR; RNF [14-37-00053]; Russian Science Foundation [RNF 14-17-00647]; Russian Science Foundation [17-17-00044, 17-37-00006] Funding Source: Russian Science Foundation; Office of Polar Programs (OPP); Directorate For Geosciences [1602720] Funding Source: National Science Foundation</t>
  </si>
  <si>
    <t>NSF(National Science Foundation (NSF)); Arctic Landscape Conservation Cooperative; Alaska EPSCOR; RNF(Russian Science Foundation (RSF)); Russian Science Foundation(Russian Science Foundation (RSF)); Russian Science Foundation(Russian Science Foundation (RSF)); Office of Polar Programs (OPP); Directorate For Geosciences(National Science Foundation (NSF)NSF - Directorate for Geosciences (GEO))</t>
  </si>
  <si>
    <t>VAA was supported by NSF Grants ARC-1417300, 1203473 with additional funding from the Arctic Landscape Conservation Cooperative and Alaska EPSCOR. JEW was supported by NSF Grant ARC-1602720. VVI, AVS were supported by Grant RNF 14-37-00053, and VS was supported by Grant RNF 14-17-00647 from the Russian Science Foundation.</t>
  </si>
  <si>
    <t>10.1088/1748-9326/aa7a1d</t>
  </si>
  <si>
    <t>WOS:000406858700002</t>
  </si>
  <si>
    <t>Truong, C; Sánchez-Ramírez, S; Kuhar, F; Kaplan, Z; Smith, ME</t>
  </si>
  <si>
    <t>Truong, Camille; Sanchez-Ramirez, Santiago; Kuhar, Francisco; Kaplan, Zachary; Smith, Matthew E.</t>
  </si>
  <si>
    <t>The Gondwanan connection Southern temperate Amanita lineages and the description of the first sequestrate species from the Americas</t>
  </si>
  <si>
    <t>FUNGAL BIOLOGY</t>
  </si>
  <si>
    <t>Agaricales; Biogeography; Ectomycorrhizas; Nothofagaceae; Southern Hemisphere; Truffles</t>
  </si>
  <si>
    <t>TRUFFLE-LIKE FUNGI; LONG-DISTANCE DISPERSAL; ECTOMYCORRHIZAL FUNGI; HISTORICAL BIOGEOGRAPHY; DIVERSITY; DIVERSIFICATION; NOTHOFAGUS; EVOLUTION; FOREST; COMMUNITIES</t>
  </si>
  <si>
    <t>Amanita is a diverse and cosmopolitan genus of ectomycorrhizal fungi. We describe Amanita nouhrae sp. nov., a new hypogeous('truffle-like') species associated with Nothofagus antarctica in northern Patagonia. This constitutes the first report of a sequestrate Amanita from the Americas. Thick-walled basidiospores ornamented on the interior spore wall ('crassospores') were observed consistently in A. nouhrae and its sister epigeous taxon Amanita morenoi, a rarely collected but apparently common species from northern Patagonia that has sometimes been misidentified as the Australian taxon Amanita umbrinella. Nuclear 18S and 28S ribosomal DNA and mitochondrial 16S and 26S DNA placed these two species in a southern temperate Glade within subgenus Amanita, together with other South American and Australian species. Based on a dated genus-level phylogeny, we estimate that the southern temperate Glade may have originated near the Eocene/Oligocene boundary (ca. 35 Ma 10 Ma). This date suggests a broadly distributed ancestor in the Southern Hemisphere, which probably diversified as a result of continental drift, as well as the initiation of the Antarctic glaciation. By comparison, we show that this Glade follows an exceptional biogeographic pattern within a genus otherwise seemingly dominated by Northern Hemisphere dispersal. (C) 2017 British Mycological Society. Published by Elsevier Ltd. All rights reserved.</t>
  </si>
  <si>
    <t>[Truong, Camille; Kaplan, Zachary; Smith, Matthew E.] Univ Florida, Dept Plant Pathol, 2523 Fifield Hall, Gainesville, FL 32611 USA; [Sanchez-Ramirez, Santiago] Univ Toronto, Dept Ecol &amp; Evolutionary Biol, 100 Queens Pk, Toronto, ON M5S 2C6, Canada; [Kuhar, Francisco] Ctr Invest &amp; Extens Forestal Andino Patagon CONIC, Ruta 259,Km 4, RA-9200 Esquel, Chubut, Argentina</t>
  </si>
  <si>
    <t>State University System of Florida; University of Florida; University of Toronto</t>
  </si>
  <si>
    <t>Truong, C (corresponding author), Univ Florida, Dept Plant Pathol, 2523 Fifield Hall, Gainesville, FL 32611 USA.</t>
  </si>
  <si>
    <t>camille.truong@ufi.edu</t>
  </si>
  <si>
    <t>Smith, Matthew E./ABC-3015-2020; Ramirez, Santiago Sanchez/Y-5185-2019; Truong, Camille/R-7670-2019; Kuhar, Francisco/N-5899-2017; Smith, Matthew Edward/A-8115-2012</t>
  </si>
  <si>
    <t>Smith, Matthew E./0000-0002-0878-0932; Ramirez, Santiago Sanchez/0000-0002-5963-9410; Truong, Camille/0000-0002-8510-1761; Kuhar, Francisco/0000-0003-4482-4231; Smith, Matthew Edward/0000-0002-0878-0932</t>
  </si>
  <si>
    <t>US National Science Foundation [DEB 1354802]; Swiss National Science Foundation; Harvard University; UF Institute for Food and Agricultural Sciences IFAS; Parque Nacional Lanin [2016/720]; Division Of Environmental Biology; Direct For Biological Sciences [1354802] Funding Source: National Science Foundation</t>
  </si>
  <si>
    <t>US National Science Foundation(National Science Foundation (NSF)); Swiss National Science Foundation(Swiss National Science Foundation (SNSF)); Harvard University; UF Institute for Food and Agricultural Sciences IFAS; Parque Nacional Lanin; Division Of Environmental Biology; Direct For Biological Sciences(National Science Foundation (NSF)NSF - Directorate for Biological Sciences (BIO))</t>
  </si>
  <si>
    <t>This work was supported by the US National Science Foundation grant DEB 1354802 (to MES), an Advanced Postdoc Mobility Fellowship from the Swiss National Science Foundation (to CT), a Friends of the Farlow Fellowship from Harvard University (to FK), and the UF Institute for Food and Agricultural Sciences IFAS (to MES). Dr Eduardo Nouhra (University of Cordoba) helped to obtain permits and the Administracion de Parques Nacionales of Argentina kindly authorized our collecting expeditions in Parque Nacional Nahuel Huapi and Parque Nacional Lanin under Projecto 2016/720 (to E. Nouhra). In Tierra del Fuego, Dr Alicia Moretto provided guidance in obtaining research permits and the Secretaria de Desarollo Sustentable y Ambiente graciously authorized the collection of specimens under Resolucion S.D.S. y A. NRO. 0218/2015 (to CT). The Chilean Corporacion Nacional Forestal (Gerencia de Areas Silvestres Protegidas) provided permission to collect fungi in Puyehue National Park under permit No. 014/2014 (to MES). Eduardo Nouhra, Giuliana Furci, and Natalia Fernandez offered critical guidance during fieldwork, while Lisandro Fernandez, Rosanne Healy, P. Brandon Matheny, Alija E. Mujic, Hugo Pereyra and Pablo Sandoval provided additional collections of fresh specimens. Several members of the research team also graciously provided photographs. Dr Alfredo Justo and Dr David Hibbett (Clark University) kindly provided DNA extracts from Australian species of Amanita. We thank Susana Pereira and Andrea Romero (BAFC herbarium) for their assistance and curators from the herbaria of CORD, NYBG, and PERTH for generously sending specimens on loan. Laszlo Nagy and two anonymous reviewers provided valuable comments to improve the manuscript before publication.</t>
  </si>
  <si>
    <t>1878-6146</t>
  </si>
  <si>
    <t>1878-6162</t>
  </si>
  <si>
    <t>FUNGAL BIOL-UK</t>
  </si>
  <si>
    <t>Fungal Biol.</t>
  </si>
  <si>
    <t>10.1016/j.funbio.2017.04.006</t>
  </si>
  <si>
    <t>FC3JT</t>
  </si>
  <si>
    <t>WOS:000406735600002</t>
  </si>
  <si>
    <t>Orellana, P; Pavón, A; Céspedes, S; Salazar, L; Gutiérrez, A; Castillo, D; Corsini, G</t>
  </si>
  <si>
    <t>Orellana, Paz; Pavon, Alequis; Cespedes, Sandra; Salazar, Lorena; Gutierrez, Ana; Castillo, Daniel; Corsini, Gino</t>
  </si>
  <si>
    <t>Draft Genome Sequence of Chilean Antarctic Pseudomonas sp. Strain K2I15</t>
  </si>
  <si>
    <t>We announce the draft genome sequence of Pseudomonas sp. strain K2I15, isolated from the rhizosphere of Deschampsia antarctica Desv. The genome sequence had 6,645,031 bp with a G +/- C content of 60.4%. This genome provides insights into the niche adaptation, prophage carriage, and evolution of this specific Antarctic bacteria.</t>
  </si>
  <si>
    <t>[Orellana, Paz; Pavon, Alequis; Cespedes, Sandra; Salazar, Lorena; Gutierrez, Ana; Corsini, Gino] Univ Autonoma Chile, Inst Ciencias Biomed, Fac Ciencias Salud, Santiago, Chile; [Gutierrez, Ana] Univ La Frontera, Fac Ciencias Agr &amp; Forestales, BIOREN UFRO, Temuco, Chile; [Gutierrez, Ana] Univ La Frontera, Fac Ciencias Agr &amp; Forestales, Dept Prod Agr, Temuco, Chile; [Castillo, Daniel] Univ Copenhagen, Marine Biol Sect, Helsingor, Denmark</t>
  </si>
  <si>
    <t>Universidad Autonoma de Chile; Universidad de La Frontera; Universidad de La Frontera; University of Copenhagen</t>
  </si>
  <si>
    <t>Corsini, G (corresponding author), Univ Autonoma Chile, Inst Ciencias Biomed, Fac Ciencias Salud, Santiago, Chile.;Castillo, D (corresponding author), Univ Copenhagen, Marine Biol Sect, Helsingor, Denmark.</t>
  </si>
  <si>
    <t>daniel.castillo@bio.ku.dk; gino.corsini@uautonoma.cl</t>
  </si>
  <si>
    <t>Orellana, Paz/HJP-2498-2023</t>
  </si>
  <si>
    <t>Pavon Oro, Alequis/0000-0001-9699-8933; Corsini, Gino/0000-0002-0418-8616</t>
  </si>
  <si>
    <t>Universidad Autonoma de Chile [DIP 66-2016, DIUA 97-2017]; Universidad de la Frontera [DIUFRO-DI14-0045]</t>
  </si>
  <si>
    <t>Universidad Autonoma de Chile; Universidad de la Frontera</t>
  </si>
  <si>
    <t>This work was supported by grants DIP 66-2016 and DIUA 97-2017 from Universidad Autonoma de Chile and grant DIUFRO-DI14-0045 from Universidad de la Frontera.</t>
  </si>
  <si>
    <t>e00771-17</t>
  </si>
  <si>
    <t>10.1128/genomeA.00771-17</t>
  </si>
  <si>
    <t>VI1FB</t>
  </si>
  <si>
    <t>WOS:000460708600010</t>
  </si>
  <si>
    <t>Pavón, A; Orellana, P; Salazar, L; Céspedes, S; Muiño, L; Gutiérrez, A; Castillo, D; Corsini, G</t>
  </si>
  <si>
    <t>Pavon, Alequis; Orellana, Paz; Salazar, Lorena; Cespedes, Sandra; Muino, Laura; Gutierrez, Ana; Castillo, Daniel; Corsini, Gino</t>
  </si>
  <si>
    <t>Draft Genome Sequence of Bacillus sp. Strain K2I17, Isolated from the Rhizosphere of Deschampsia antarctica Desv.</t>
  </si>
  <si>
    <t>We present here the draft genome sequence of Bacillus sp. strain K2I17, which was isolated from the rhizosphere of Deschampsia antarctica Desv. The genomic sequence contained 6,113,341 bp. This genome provides insights into the possible new biomedical and biotechnical applications of this specific Antarctic bacterium.</t>
  </si>
  <si>
    <t>[Pavon, Alequis; Orellana, Paz; Salazar, Lorena; Cespedes, Sandra; Muino, Laura; Gutierrez, Ana; Corsini, Gino] Univ Autonoma Chile, Inst Ciencias Biomed, Fac Ciencias Salud, Santiago, Chile; [Gutierrez, Ana] Univ La Frontera, Fac Ciencias Agr &amp; Forestales, BIOREN UFRO, Temuco, Chile; [Gutierrez, Ana] Univ La Frontera, Fac Ciencias Agr &amp; Forestales, Dept Prod Agr, Temuco, Chile; [Castillo, Daniel] Univ Copenhagen, Marine Biol Sect, Helsingor, Denmark</t>
  </si>
  <si>
    <t>Muino, Laura/0000-0002-6198-5304; Corsini, Gino/0000-0002-0418-8616; Castillo, Daniel/0000-0002-1612-5401; Pavon Oro, Alequis/0000-0001-9699-8933</t>
  </si>
  <si>
    <t>Universidad Autonoma de Chile [DIP66-2016, DIP92-2016, DIUA97-2017]; Universidad de la Frontera [DIUFRO-DI14-0045]</t>
  </si>
  <si>
    <t>This work was supported by grants DIP66-2016, DIP92-2016, and DIUA97-2017 from the Universidad Autonoma de Chile, and by grant DIUFRO-DI14-0045 from the Universidad de la Frontera.</t>
  </si>
  <si>
    <t>e00786-17</t>
  </si>
  <si>
    <t>10.1128/genomeA.00786-17</t>
  </si>
  <si>
    <t>WOS:000460708600013</t>
  </si>
  <si>
    <t>Köbberich, M; Vance, D</t>
  </si>
  <si>
    <t>Koebberich, Michael; Vance, Derek</t>
  </si>
  <si>
    <t>Kinetic control on Zn isotope signatures recorded in marine diatoms</t>
  </si>
  <si>
    <t>Zinc isotopes; Phytoplankton culturing; Marine diatoms; Metal uptake kinetics</t>
  </si>
  <si>
    <t>ARTIFICIAL SEAWATER MEDIUM; OCEANIC MASS-BALANCE; PHYTOPLANKTON GROWTH; IRON BIOAVAILABILITY; ZINC SPECIATION; DISSOLVED ZINC; TRACE-ELEMENTS; COASTAL DIATOM; PACIFIC-OCEAN; FRACTIONATION</t>
  </si>
  <si>
    <t>Marine diatoms dominate the oceanic cycle of the essential micronutrient zinc (Zn). The stable isotopes of zinc and other metals are increasingly used to understand trace metal micronutrient cycling in the oceans. One clear feature of the early isotope data is the heavy Zn isotope signature of the average oceanic dissolved pool relative to the inputs, potentially driven by uptake of light isotopes into phytoplankton cells and export to sediments. However, despite the fact that diatoms strip Zn from surface waters across the Antarctic polar front in the Southern Ocean, the local upper ocean is not isotopically heavy. Here we use culturing experiments to quantify the extent of Zn isotope fractionation by diatoms and to elucidate the mechanisms driving it. We have cultured two different open-ocean diatom species (T. oceanica and Chaetoceros sp.) in a series of experiments at constant medium Zn concentration but at bioavailable medium Fe ranging from limiting to replete. We find that T. oceanica can maintain high growth rates and Zn uptake rates over the full range of bioavailable iron (Fe) investigated, and that the Zn taken up has a delta Zn-66 that is unfractionated relative to that of the bioavailable free Zn in the medium. The studied representative of the genus Chaetoceros, on the other hand, shows more significantly reduced Zn uptake rates at low Fe and records more variable biomass delta Zn-66 signatures, of up to 0.85% heavier than the medium. We interpret the preferential uptake of heavy isotopes at extremely low Zn uptake rates as potentially due to either of the following two mechanisms. First, the release of extracellular polymeric substances (EPS), at low Fe levels, may preferentially scavenge heavy Zn isotopes. Second, the Zn uptake rate may be slow enough to establish pseudo-equilibrium conditions at the transporter site, with heavy Zn isotopes forming more stable surface complexes. Thus we find that, in our experiments, Fe-limitation exerts a key control that not only limits diatom growth, but also affects the Zn uptake physiology of diatoms. Uptake of heavy isotopes occurs under Fe-limiting conditions that drive extremely low Zn uptake rates. On the other hand, more rapid Zn uptake rates result in biomass that is indistinguishable from the external bioavailable free Zn pool. These experimental results can, in principle, explain the range of Zn isotopic compositions found in the real surface ocean, given the geographically variable interplay between Fe-limitation, Zn uptake rates, and the degree of organic complexation of oceanic Zn. (C) 2017 Elsevier Ltd. All rights reserved.</t>
  </si>
  <si>
    <t>[Koebberich, Michael; Vance, Derek] ETH, Dept Earth Sci, Inst Geochem &amp; Petrol, Clausiusstr 25,NW C 81-1, CH-8092 Zurich, Switzerland</t>
  </si>
  <si>
    <t>Köbberich, M (corresponding author), ETH, Dept Earth Sci, Inst Geochem &amp; Petrol, Clausiusstr 25,NW C 81-1, CH-8092 Zurich, Switzerland.</t>
  </si>
  <si>
    <t>michael.koebberich@erdw.ethz.ch</t>
  </si>
  <si>
    <t>ETH Zurich; Swiss National Science Foundation (SNF) [200021_143262]; Swiss National Science Foundation (SNF) [200021_143262] Funding Source: Swiss National Science Foundation (SNF)</t>
  </si>
  <si>
    <t>ETH Zurich(ETH Zurich); Swiss National Science Foundation (SNF)(Swiss National Science Foundation (SNSF)); Swiss National Science Foundation (SNF)(Swiss National Science Foundation (SNSF))</t>
  </si>
  <si>
    <t>We are grateful to Alysia D. Cox for help with setting up a phytoplankton culturing lab at ETH Zurich and to Timothy I. Eglinton for allowing us access to biology laboratories and incubator facilities. We also wish to thank Corey Archer for valuable support with elemental and isotopic analysis and Amelie Ritscher for her work as a research assistant at ETH Zurich. Finally we thank Susan Little for constructive feedback on a previous manuscript of this paper, Laura Wasylenki and an anonymous reviewer for constructive reviews, and Claudine Stirling for efficient editorial handling. Financial support was provided by ETH Zurich and the Swiss National Science Foundation (SNF) through grant 200021_143262.</t>
  </si>
  <si>
    <t>10.1016/j.gca.2017.04.014</t>
  </si>
  <si>
    <t>FA9RR</t>
  </si>
  <si>
    <t>WOS:000405784000006</t>
  </si>
  <si>
    <t>Dubois-Dauphin, Q; Colin, C; Bonneau, L; Montagna, P; Wu, Q; Van Rooij, D; Reverdin, G; Douville, E; Thil, F; Waldner, A; Frank, N</t>
  </si>
  <si>
    <t>Dubois-Dauphin, Quentin; Colin, Christophe; Bonneau, Lucile; Montagna, Paolo; Wu, Qiong; Van Rooij, David; Reverdin, Gilles; Douville, Eric; Thil, Francois; Waldner, Astrid; Frank, Norbert</t>
  </si>
  <si>
    <t>Fingerprinting Northeast Atlantic water masses using neodymium isotopes</t>
  </si>
  <si>
    <t>Nd isotopic composition; Seawater; Hydrology; Gyre circulation; Northeast Atlantic; Alboran Sea; Gulf of Cadiz</t>
  </si>
  <si>
    <t>MERIDIONAL OVERTURNING CIRCULATION; ANTARCTIC INTERMEDIATE WATER; EARTH-ELEMENT CONCENTRATIONS; SEA SEDIMENTS IMPLICATIONS; MID-DEPTH CIRCULATION; SUBPOLAR MODE WATER; SOUTH CHINA SEA; MEDITERRANEAN OUTFLOW; PACIFIC-OCEAN; OVERFLOW WATER</t>
  </si>
  <si>
    <t>Dissolved neodymium (Nd) isotopic composition (expressed as epsilon Nd) has been analysed for 82 seawater samples collected from 13 stations stretching from the Alboran Sea to the Iceland Basin. The distribution of the eNd values of water masses was thus investigated for the first time along the western European margin in order to explore whether the water masses flowing in the eastern subpolar and subtropical Atlantic reveal distinct isotopic patterns. The Modified Atlantic Water (MAW) in the Alboran Sea displays eNd values (between 9.2 +/- 0.2 and 8.9 +/- 0.2) that are significantly more radiogenic than those reported in previous studies (-10.8 +/- 0.2 to - 9.7 +/- 0.2), suggesting temporal variations in the Nd isotopic composition of the water that enters the Mediterranean Sea from the Strait of Gibraltar. The eNd value of the underlying modified Winter Intermediate Water (WIW) has been established for the first time (-9.8 +/- 0.3) and is compatible with a Nd signature acquired from the sinking of MAW in the northwestern Mediterranean Sea. Within the Gulf of Cadiz, southern Mediterranean Sea Water (MSW) (-10.6 +/- 0.2) differs slightly from the northern MSW (-9.9 +/- 0.4) owing to a significant contribution of modified East Antarctic Intermediate Water (EAAIW) (-10.9 +/- 0.2). In the northeast Atlantic, the North Atlantic Current surface water located in the inter-gyre region ( north of 46 degrees N) displays eNd values of between -14.0 +/- 0.3 and -15.1 +/- 0.3, reflecting the subpolar gyre signature. Along the western European margin, eNd values of surface water decrease toward the north (from -10.4 +/- 1.6 to - 13.7 +/- 1.0) in agreement with the gradual mixing between subtropical and subpolar water. At intermediate depth, eNd values decrease from - 9.9 +/- 0.4 within the Gulf of Cadiz to - 12.1 +/- 0.2 within the Porcupine Seabight, indicating a strong dilution of the MSW with subpolar water. Within the Rockall Trough and the Iceland Basin, the more negative eNd values at mid-depth (&lt; -13.5 +/- 0.3) indicate that the MSW has no influence, even during periods of low NAO index. Water masses deeper than 1200 m in the northeast Atlantic are clearly influenced by the less radiogenic Labrador Sea Water (LSW) (epsilon Nd between -13.4 +/- 0.3 and - 14.0 +/- 0.3) that mixes locally in the Iceland basin with the Iceland-Scotland Overflow Water (ISOW) (between - 10.3 +/- 0.2 and - 11.3 +/- 0.3). (C) 2017 Elsevier Ltd. All rights reserved.</t>
  </si>
  <si>
    <t>[Dubois-Dauphin, Quentin; Colin, Christophe; Bonneau, Lucile] Univ Paris Saclay, Univ Paris Sud, Lab GEOsci Paris Sud GEOPS, UMR 8148,CNRS, Batiment 504, F-91405 Orsay, France; [Bonneau, Lucile; Waldner, Astrid; Frank, Norbert] Heidelberg Univ, Neuenheimer Feld 229, D-69120 Heidelberg, Germany; [Montagna, Paolo] ISMAR CNR, Via Gobetti 101, I-40129 Bologna, Italy; [Wu, Qiong] Tongji Univ, State Key Lab Marine Geol, Shanghai 200092, Peoples R China; [Van Rooij, David] Univ Ghent, Dept Geol &amp; Soil Sci, Renard Ctr Marine Geol, Krijgslaan 281 S8, B-9000 Ghent, Belgium; [Reverdin, Gilles] Univ Paris 06, Sorbonne Univ, LOCEAN Lab, UPMC,CNRS,IRD,MNHN, 4 Pl Jussieu, F-75005 Paris, France; [Douville, Eric; Thil, Francois] Univ Paris Saclay, CEA CNRS UVSQ, LSCE IPSL, Lab Sci Climat &amp; Environm, F-91191 Gif Sur Yvette, France; [Waldner, Astrid] Lab Environm Chem, CH-5232 Villigen, Switzerland</t>
  </si>
  <si>
    <t>Universite Paris Saclay; Universite Paris Cite; Centre National de la Recherche Scientifique (CNRS); CNRS - National Institute for Earth Sciences &amp; Astronomy (INSU); Ruprecht Karls University Heidelberg; Consiglio Nazionale delle Ricerche (CNR); Istituto di Scienze Marine (ISMAR-CNR); Tongji University; Ghent University; Museum National d'Histoire Naturelle (MNHN); Sorbonne Universite; Institut de Recherche pour le Developpement (IRD); Centre National de la Recherche Scientifique (CNRS); Universite Paris Cite; CEA; Centre National de la Recherche Scientifique (CNRS); Universite Paris Saclay</t>
  </si>
  <si>
    <t>Colin, C (corresponding author), Univ Paris Saclay, Univ Paris Sud, Lab GEOsci Paris Sud GEOPS, UMR 8148,CNRS, Batiment 504, F-91405 Orsay, France.</t>
  </si>
  <si>
    <t>christophe.colin@u-psud.fr</t>
  </si>
  <si>
    <t>Van Rooij, David/A-7938-2014; Montagna, Paolo/H-9632-2015; Dubois-Dauphin, Quentin/H-7355-2017; Frank, Norbert/D-6486-2016</t>
  </si>
  <si>
    <t>Van Rooij, David/0000-0003-3633-3344; Montagna, Paolo/0000-0001-5598-2214; Dubois-Dauphin, Quentin/0000-0002-4616-2502; Reverdin, Gilles/0000-0002-5583-8236; Frank, Norbert/0000-0002-0416-9546; Douville, Eric/0000-0002-6673-1768</t>
  </si>
  <si>
    <t>Euro FLEETS GATEWAYS [228344]; French CNRS - Project LEFE - ICE-CTD; National Research Agency L-IPSL project [ANR-10LABX-0018]; NEWTON project [ANR06-BLAN0146]; HAMOC project [ANR-13-BS06-0003]; Louise Bordier during Nd isotope</t>
  </si>
  <si>
    <t>Euro FLEETS GATEWAYS; French CNRS - Project LEFE - ICE-CTD; National Research Agency L-IPSL project; NEWTON project; HAMOC project; Louise Bordier during Nd isotope</t>
  </si>
  <si>
    <t>We wish to thank IPEV (Institut Polaire Emile Victor), the captains, crews and scientific teams of the ICE-CTD and Euro FLEETS GATEWAYS research cruises (Grant agreement 228344) for their excellent work during the seawater sampling. We also thank Myriam Lambelet, Melanie Grenier and an anonymous reviewer for their constructive reviews, which helped to improve this work. The research leading to this study has received funding from the French CNRS - Project LEFE - ICE-CTD and the National Research Agency L-IPSL project (Grant ANR-10LABX-0018), the NEWTON project (Grant ANR06-BLAN0146) and the HAMOC project (Grant ANR-13-BS06-0003). We gratefully acknowledge the support provided by Louise Bordier during Nd isotope analyses. We also thank Rhoda Cronin for the careful reading of the manuscript. This is LSCE contribution 6106.</t>
  </si>
  <si>
    <t>10.1016/j.gca.2017.04.002</t>
  </si>
  <si>
    <t>WOS:000405784000014</t>
  </si>
  <si>
    <t>Ashcroft, MB; King, DH; Raymond, B; Turnbull, JD; Wasley, J; Robinson, SA</t>
  </si>
  <si>
    <t>Ashcroft, Michael B.; King, Diana H.; Raymond, Ben; Turnbull, Johanna D.; Wasley, Jane; Robinson, Sharon A.</t>
  </si>
  <si>
    <t>Moving beyond presence and absence when examining changes in species distributions</t>
  </si>
  <si>
    <t>GLOBAL CHANGE BIOLOGY</t>
  </si>
  <si>
    <t>Antarctic mosses; climate change; geographic range; negative binomial distribution; population abundance; presence-absence data; range shifts</t>
  </si>
  <si>
    <t>CLIMATE-CHANGE; RANGE SHIFTS; NONNATIVE PLANTS; ENVELOPE MODELS; BIODIVERSITY; ABUNDANCE; IMPACTS; DETECTABILITY; PROBABILITY; DYNAMICS</t>
  </si>
  <si>
    <t>Species distributions are often simplified to binary representations of the ranges where they are present and absent. It is then common to look for changes in these ranges as indicators of the effects of climate change, the expansion or control of invasive species or the impact of human land-use changes. We argue that there are inherent problems with this approach, and more emphasis should be placed on species relative abundance rather than just presence. The sampling effort required to be confident of absence is often impractical to achieve, and estimates of species range changes based on survey data are therefore inherently sensitive to sampling intensity. Species niches estimated using presence-absence or presence-only models are broader than those for abundance and may exaggerate the viability of small marginal sink populations. We demonstrate that it is possible to transform models of predicted probability of presence to expected abundance if the sampling intensity is known. Using case studies of Antarctic mosses and temperate rain forest trees, we demonstrate additional insights into biotic change that can be gained using this method. While species becoming locally extinct or colonising new areas are extreme and obviously important impacts of global environmental change, changes in abundance could still signal important changes in biological systems and be an early warning indicator of larger future changes.</t>
  </si>
  <si>
    <t>[Ashcroft, Michael B.; King, Diana H.; Turnbull, Johanna D.; Wasley, Jane; Robinson, Sharon A.] Univ Wollongong, Sch Biol Sci, Ctr Sustainable Ecosyst Solut, Wollongong, NSW 2522, Australia; [Raymond, Ben; Wasley, Jane] Australian Antarctic Div, Dept Environm, Kingston, Tas 7050, Australia; [Raymond, Ben] Antarctic Climate &amp; Ecosyst Cooperat Res Ctr, Private Bag 80, Hobart, Tas 7001, Australia</t>
  </si>
  <si>
    <t>University of Wollongong; Australian Antarctic Division; Antarctic Climate &amp; Ecosystems Cooperative Research Centre (ACE CRC)</t>
  </si>
  <si>
    <t>Ashcroft, MB (corresponding author), Univ Wollongong, Sch Biol Sci, Ctr Sustainable Ecosyst Solut, Wollongong, NSW 2522, Australia.</t>
  </si>
  <si>
    <t>ashcroft@uow.edu.au</t>
  </si>
  <si>
    <t>King, Diana/K-1061-2019; Wasley, Jane/KHX-4880-2024; Robinson, Sharon/B-2683-2008</t>
  </si>
  <si>
    <t>King, Diana/0000-0001-6313-4450; Robinson, Sharon/0000-0002-7130-9617; Wasley, Jane/0000-0001-9379-664X; Turnbull, Johanna/0000-0002-4214-1675; Ashcroft, Michael/0000-0003-2157-5965</t>
  </si>
  <si>
    <t>Australian Research Council [DP110101714]; Australian Antarctic Science grants [AAS1313, AAS4046]; Australian Postgraduate Award</t>
  </si>
  <si>
    <t>Australian Research Council(Australian Research Council); Australian Antarctic Science grants; Australian Postgraduate Award(Australian Government)</t>
  </si>
  <si>
    <t>This research was primarily funded through Australian Research Council DP110101714 and Australian Antarctic Science grants AAS1313 and AAS4046 with logistical support from the Australian Antarctic Division for visits to Casey Station. DHK was supported by an Australian Postgraduate Award.</t>
  </si>
  <si>
    <t>1354-1013</t>
  </si>
  <si>
    <t>1365-2486</t>
  </si>
  <si>
    <t>GLOBAL CHANGE BIOL</t>
  </si>
  <si>
    <t>Glob. Change Biol.</t>
  </si>
  <si>
    <t>10.1111/gcb.13628</t>
  </si>
  <si>
    <t>EZ6XP</t>
  </si>
  <si>
    <t>WOS:000404863300001</t>
  </si>
  <si>
    <t>Tozer, CR; Kiem, AS; Verdon-Kidd, DC</t>
  </si>
  <si>
    <t>Tozer, C. R.; Kiem, A. S.; Verdon-Kidd, D. C.</t>
  </si>
  <si>
    <t>Large-scale ocean-atmospheric processes and seasonal rainfall variability in South Australia: potential for improving seasonal hydroclimatic forecasts</t>
  </si>
  <si>
    <t>rainfall variability; seasonal forecasting; ocean-atmospheric; ENSO; IOD; SAM; IPO; PDO; ENSO Modoki; STR; blocking; climate</t>
  </si>
  <si>
    <t>SEA-SURFACE TEMPERATURE; ARTIFICIAL NEURAL-NETWORKS; MULTI-DECADAL VARIABILITY; WATER-SUPPLY MANAGEMENT; SUBTROPICAL RIDGE; ANNULAR MODE; PREDICTOR IDENTIFICATION; PROBABILISTIC FORECASTS; WESTERN-AUSTRALIA; EASTERN AUSTRALIA</t>
  </si>
  <si>
    <t>Seasonal rainfall forecasts are an important tool for risk management across many sectors. However, significant challenges arise in the development of skilful and practically useful seasonal forecasts for regions where the temporal and spatial variability of rainfall is large and/or knowledge about what causes this variability is in its infancy. This is evident in the state of South Australia (SA), where seasonal rainfall currently has low predictive skill. The key climate processes have yet to be fully identified in SA and therefore may not be adequately represented in forecast models. The aim of this paper is to identify and quantify relationships between large-scale ocean-atmospheric processes and seasonal rainfall variability across SA. We identify two distinct climate zones: (1) the arid northern region, where rainfall is mostly influenced by climate processes stemming from the tropical Indian and/or Pacific Oceans and (2) southern SA, which is dominated by Southern Ocean processes. The average percent of variability of SA rainfall accounted for by any single large-scale climate process (i.e. linear regression using a single predictor) is 8% in summer, 19% in autumn, 33% in winter and 24% in spring. However, when two or more processes are considered in combination (through multiple linear regression), this rises to 13, 26, 46, and 33%, respectively, highlighting the importance of capturing the interaction among multiple climate processes. Importantly, the findings from this study provide a set of metrics against which existing statistical and dynamical forecasting schemes can be tested and highlight processes that should be focused on in order to improve (or develop new) forecasting schemes. The study also recommends the need for further investigations into non-linear relationships between rainfall and large-scale ocean-atmospheric processes and the development of more objective methods for determining which climate process, or combination of processes, are most important for a certain season or location.</t>
  </si>
  <si>
    <t>[Tozer, C. R.; Kiem, A. S.] Univ Newcastle, CWCL, Callaghan, NSW, Australia; [Tozer, C. R.] Univ Tasmania, Antarctic Climate &amp; Ecosyst Cooperat Res Ctr, Private Bag 80, Hobart, Tas 7001, Australia; [Verdon-Kidd, D. C.] Univ Newcastle, Fac Sci &amp; IT, Sch Environm &amp; Life Sci, Environm &amp; Climate Change Res Grp, Callaghan, NSW, Australia</t>
  </si>
  <si>
    <t>University of Newcastle; Antarctic Climate &amp; Ecosystems Cooperative Research Centre (ACE CRC); University of Tasmania; University of Newcastle</t>
  </si>
  <si>
    <t>Kiem, Anthony/D-9307-2013; Tozer, Carly R/E-9936-2013; Verdon-Kidd, Danielle/G-7688-2013</t>
  </si>
  <si>
    <t>Kiem, Anthony/0000-0002-3994-6958; Tozer, Carly R/0000-0001-8605-5907; Verdon-Kidd, Danielle/0000-0001-5334-4251</t>
  </si>
  <si>
    <t>This work was supported by the Australian Postgraduate Award from the University of Newcastle (Australia), with additional assistance from CSIRO Land &amp; Water Flagship Scholarship, NCCARF Water Network Scholarship, the Antarctic Climate and Ecosystems Cooperative Research Centre (ACE-CRC) and the Centre for Water, Climate and Land (CWCL) at University of Newcastle (Australia). The authors thank two anonymous reviewers whose comments helped to improve the quality of this paper.</t>
  </si>
  <si>
    <t>10.1002/joc.5043</t>
  </si>
  <si>
    <t>WOS:000417298600058</t>
  </si>
  <si>
    <t>Song, YF; Wang, QK; He, YH; Ren, DD; Kow, F; Li, JW; Liu, S; Cong, HH</t>
  </si>
  <si>
    <t>Song, Yuefan; Wang, Qiukuan; He, Yunhai; Ren, Dandan; Kow, Felicia; Li, Jianwei; Liu, Shu; Cong, Haihua</t>
  </si>
  <si>
    <t>The positive effects of fucoidans extracted from the brown seaweed Saccharina japonica on protection against CCl4-induced liver injury</t>
  </si>
  <si>
    <t>JOURNAL OF APPLIED PHYCOLOGY</t>
  </si>
  <si>
    <t>Fucoidan; Saccharina japonica; Phaeophyceae; Structural characteristic; Liver injury</t>
  </si>
  <si>
    <t>WATER-SOLUBLE POLYSACCHARIDES; NEUROPROTECTIVE ACTIVITIES; STRUCTURAL CHARACTERISTICS; SULFATED POLYSACCHARIDES; ANTIOXIDANT ACTIVITIES; UNDARIA-PINNATIFIDA; ANTITUMOR-ACTIVITY; FUCUS-VESICULOSUS; COSTARIA COSTATA; ALGAE</t>
  </si>
  <si>
    <t>Fucoidan is a sulphated polysaccharide derived from brown algae that contains a variety of bioactive compounds. The brown alga Saccharina japonica is an abundant bioresource for the commercialization of fucoidan, which has been aquacultured on a large scale in China. To explore the hepatoprotective effect of fucoidans from S. japonica, the seaweeds were extracted using an enzymolysis protocol, and a crude extract (F) was obtained by ethanol precipitation. Then, F was subjected to diethylaminoethyl (DEAE) column chromatography, and three fractions (F1, F2, and F3) were collected. The fundamental characteristics, including the monosaccharide composition and the structural features of F1-F3, were investigated using high-performance liquid chromatography (HPLC), Fourier transform infrared (FTIR), and nuclear magnetic resonance (NMR) spectroscopy. F1 and F2 were rich in galactose and mannuronic acid, respectively, in addition to containing fucose. F3 mainly consisted of sulphated fucopyranose. All three fractions showed in vitro antioxidative activity against the hydroxyl radical. The hepatoprotective activities of F1-F3 were evaluated. Mice were orally administered fucoidans for 1 week and then intraperitoneally injected with CCl4. Four hepatoprotective indicators were analysed to evaluate the efficacy of the three preparations. A high dose of F3 (300-500 mg kg(-1) day(-1)) caused a significant difference in all four indicators compared to the control without fucoidan; this result was confirmed by histological examination of the mouse liver tissues. These results suggest that fucoidans from S. japonica had potential as ingredients for functional foods or pharmaceuticals to prevent liver injury.</t>
  </si>
  <si>
    <t>[Song, Yuefan; Wang, Qiukuan; He, Yunhai; Ren, Dandan; Li, Jianwei; Liu, Shu; Cong, Haihua] Dalian Ocean Univ, Natl R&amp;D Branch Ctr Seaweed Proc, Coll Food Sci &amp; Engn, Key Lab Aquat Prod Proc &amp; Utilizat Liaoning Prov, Dalian 116023, Peoples R China; [Kow, Felicia] Univ Tasmania, Inst Marine &amp; Antarctic Sci, Launceston, Tas, Australia</t>
  </si>
  <si>
    <t>Dalian Ocean University; University of Tasmania</t>
  </si>
  <si>
    <t>Wang, QK (corresponding author), Dalian Ocean Univ, Natl R&amp;D Branch Ctr Seaweed Proc, Coll Food Sci &amp; Engn, Key Lab Aquat Prod Proc &amp; Utilizat Liaoning Prov, Dalian 116023, Peoples R China.</t>
  </si>
  <si>
    <t>syf@dlou.edu.cn; wqk320@dlou.edu.cn; hyh@dlou.edu.cn; rdd@dlou.edu.cn; fkow@utas.edu.au; ljw@dlou.edu.cn; 879149739@qq.com; 287669592@qq.com</t>
  </si>
  <si>
    <t>Song, Yuefan/K-2428-2016; LI, JIAN/JAX-3092-2023; LI, JIAN/GRY-2197-2022; li, jian/GSE-0245-2022</t>
  </si>
  <si>
    <t>Song, Yuefan/0000-0002-0151-2046; Ren, Dandan/0000-0002-9346-0502</t>
  </si>
  <si>
    <t>National Natural Science foundation of China [31471610]; State Oceanic Administration, People's Republic of China [201405040]; Cultivation Plan for Youth Agricultural Science and Technology Innovative Talents of Liaoning Province [2014005]; Department of Education of Liaoning Province [L2014281]</t>
  </si>
  <si>
    <t>National Natural Science foundation of China(National Natural Science Foundation of China (NSFC)); State Oceanic Administration, People's Republic of China; Cultivation Plan for Youth Agricultural Science and Technology Innovative Talents of Liaoning Province; Department of Education of Liaoning Province</t>
  </si>
  <si>
    <t>This research was funded by the National Natural Science foundation of China (31471610), The Oceanic Public Welfare Scientific Research Project of State Oceanic Administration, People's Republic of China (201405040), The Cultivation Plan for Youth Agricultural Science and Technology Innovative Talents of Liaoning Province (2014005), and The General Scientific Project from Department of Education of Liaoning Province (L2014281).</t>
  </si>
  <si>
    <t>0921-8971</t>
  </si>
  <si>
    <t>1573-5176</t>
  </si>
  <si>
    <t>J APPL PHYCOL</t>
  </si>
  <si>
    <t>J. Appl. Phycol.</t>
  </si>
  <si>
    <t>10.1007/s10811-017-1097-3</t>
  </si>
  <si>
    <t>Biotechnology &amp; Applied Microbiology; Marine &amp; Freshwater Biology</t>
  </si>
  <si>
    <t>FA9VE</t>
  </si>
  <si>
    <t>WOS:000405793500033</t>
  </si>
  <si>
    <t>Fukushima, T</t>
  </si>
  <si>
    <t>Fukushima, Toshio</t>
  </si>
  <si>
    <t>Rectangular rotation of spherical harmonic expansion of arbitrary high degree and order</t>
  </si>
  <si>
    <t>Coordinate rotation; Geomagnetism; Geopotential; Satellite orbit integration; Spherical harmonic expansion</t>
  </si>
  <si>
    <t>NUMERICAL COMPUTATION; EXTENDING EXPONENT; MATRICES; EFFICIENT; LEGENDRE; SURFACE</t>
  </si>
  <si>
    <t>In order to move the polar singularity of arbitrary spherical harmonic expansion to a point on the equator, we rotate the expansion around the y-axis by such that the x-axis becomes a new pole. The expansion coefficients are transformed by multiplying a special value of Wigner D-matrix and a normalization factor. The transformation matrix is unchanged whether the coefficients are fully normalized or Schmidt quasi-normalized. The matrix is recursively computed by the so-called X-number formulation (Fukushima in J Geodesy 86: 271-285, 2012a). As an example, we obtained coefficients of the rectangular rotated spherical harmonic expansion of EGM2008. A proper combination of the original and the rotated expansions will be useful in (i) integrating the polar orbits of artificial satellites precisely and (ii) synthesizing/analyzing the gravitational/geomagnetic potentials and their derivatives accurately in the high latitude regions including the arctic and antarctic area.</t>
  </si>
  <si>
    <t>[Fukushima, Toshio] Natl Astron Observ, Mitaka, Tokyo 1818588, Japan</t>
  </si>
  <si>
    <t>National Institutes of Natural Sciences (NINS) - Japan; National Astronomical Observatory of Japan (NAOJ)</t>
  </si>
  <si>
    <t>Fukushima, T (corresponding author), Natl Astron Observ, Mitaka, Tokyo 1818588, Japan.</t>
  </si>
  <si>
    <t>Toshio.Fukushima@nao.ac.jp</t>
  </si>
  <si>
    <t>Fukushima, Toshio/AAH-6258-2019</t>
  </si>
  <si>
    <t>Fukushima, Toshio/0000-0001-5968-2139</t>
  </si>
  <si>
    <t>10.1007/s00190-017-1004-3</t>
  </si>
  <si>
    <t>FA8DN</t>
  </si>
  <si>
    <t>WOS:000405676500008</t>
  </si>
  <si>
    <t>Aoki, S; Kobayashi, R; Rintoul, SR; Tamura, T; Kusahara, K</t>
  </si>
  <si>
    <t>Aoki, S.; Kobayashi, R.; Rintoul, S. R.; Tamura, T.; Kusahara, K.</t>
  </si>
  <si>
    <t>Changes in water properties and flow regime on the continental shelf off the Adelie/George V Land coast, East Antarctica, after glacier tongue calving</t>
  </si>
  <si>
    <t>Antarctica; glacier tongue; iceberg; circulation change; stable oxygen isotope ratio; freshening</t>
  </si>
  <si>
    <t>BOTTOM WATER; ROSS SEA; OXYGEN-ISOTOPE; WEDDELL SEA; ICE GROWTH; ADELIE; VARIABILITY; 140-DEGREES-E</t>
  </si>
  <si>
    <t>Oceanic changes before and after the relocation of iceberg B9B and calving of the Mertz Glacier Tongue (MGT) in February 2010 are examined on the continental shelf off the Adelie Land/George V Land coast, East Antarctica. Summer hydrographic observations, including stable oxygen isotope ratio (delta O-18), in 2001/2008 and 2011/2015 and results of a numerical model are used. Along the western flank of the MGT, temperature decreased between 2001 and 2015 for most of the water column in the Adelie Depression. delta O-18 generally decreased, especially at the MGT draft depths on the northern side. West of the MGT, temperature, salinity, and delta O-18 decreased in the intermediate layer. East of the MGT, in contrast, temperature increased between 2001 and 2011 at intermediate depths, salinity increased in the intermediate and deep layers, and delta O-18 slightly decreased in the deep layer but did not change much around 300 dbar. The numerical experiment exhibits a change in ocean circulation, revealing an increase in modified Circumpolar Deep Water (mCDW) inflow in the east and a decrease in the west. The contrasting changes in mCDW intrusion are consistent between the observations and numerical model, and are indicative of the effect of removal of the ice barriers. The contrast is overlain by overall decreases in salinity and delta O-18, which suggests an increase in the continental meltwater fraction of 5-20% and might reveal a wide-ranging influence from West Antarctica. The oxygen isotope ratio is, hence, effective in monitoring the increase in continental melt over the Antarctic shelf.</t>
  </si>
  <si>
    <t>[Aoki, S.] Hokkaido Univ, Inst Low Temp Sci, Sapporo, Hokkaido, Japan; [Aoki, S.; Kobayashi, R.] Hokkaido Univ, Grad Sch Environm Sci, Sapporo, Hokkaido, Japan; [Aoki, S.; Rintoul, S. R.; Tamura, T.; Kusahara, K.] Univ Tasmania, Antarctic Climate &amp; Ecosyst Cooperat Res Ctr, Hobart, Tas, Australia; [Aoki, S.; Tamura, T.] Natl Inst Polar Res, Tokyo, Japan; [Kobayashi, R.] Marine Works Japan, Yokohama, Kanagawa, Japan; [Rintoul, S. R.] CSIRO Oceans &amp; Atmosphere, Hobart, Tas, Australia; [Tamura, T.] Grad Univ Adv Studies, SOKENDAI, Tokyo, Japan</t>
  </si>
  <si>
    <t>Hokkaido University; Hokkaido University; University of Tasmania; Antarctic Climate &amp; Ecosystems Cooperative Research Centre (ACE CRC); Research Organization of Information &amp; Systems (ROIS); National Institute of Polar Research (NIPR) - Japan; Commonwealth Scientific &amp; Industrial Research Organisation (CSIRO); Graduate University for Advanced Studies - Japan</t>
  </si>
  <si>
    <t>Aoki, S (corresponding author), Hokkaido Univ, Inst Low Temp Sci, Sapporo, Hokkaido, Japan.;Aoki, S (corresponding author), Hokkaido Univ, Grad Sch Environm Sci, Sapporo, Hokkaido, Japan.;Aoki, S (corresponding author), Univ Tasmania, Antarctic Climate &amp; Ecosyst Cooperat Res Ctr, Hobart, Tas, Australia.;Aoki, S (corresponding author), Natl Inst Polar Res, Tokyo, Japan.</t>
  </si>
  <si>
    <t>shigeru@lowtem.hokudai.ac.jp</t>
  </si>
  <si>
    <t>Rintoul, Stephen R/A-1471-2012; Aoki, Shigeru/D-9105-2012</t>
  </si>
  <si>
    <t>Rintoul, Stephen R/0000-0002-7055-9876; Kusahara, Kazuya/0000-0003-4067-7959</t>
  </si>
  <si>
    <t>JSPS KAKENHI [25281001, 17H01615]; Australian Government's Cooperative Research Centres through the Antarctic Climate and Ecosystems Cooperative Research Centre (ACE CRC); Department of Industry, Innovation, Climate Change, Science, Research and Tertiary Education; Grants-in-Aid for Scientific Research [25281001, 17H06322, 17H04710, 17H01615] Funding Source: KAKEN</t>
  </si>
  <si>
    <t>JSPS KAKENHI(Ministry of Education, Culture, Sports, Science and Technology, Japan (MEXT)Japan Society for the Promotion of ScienceGrants-in-Aid for Scientific Research (KAKENHI)); Australian Government's Cooperative Research Centres through the Antarctic Climate and Ecosystems Cooperative Research Centre (ACE CRC)(Australian GovernmentDepartment of Industry, Innovation and ScienceCooperative Research Centres (CRC) Programme); Department of Industry, Innovation, Climate Change, Science, Research and Tertiary Education; Grants-in-Aid for Scientific Research(Ministry of Education, Culture, Sports, Science and Technology, Japan (MEXT)Japan Society for the Promotion of ScienceGrants-in-Aid for Scientific Research (KAKENHI))</t>
  </si>
  <si>
    <t>The authors thank Mark Rosenberg, and all officers, crews, and researchers who contributed to the hydrographic observations and water samplings. We are also thankful to Ms. Megumi Kitagawa for her analysing delta18O samples. CTD data in 2001/2008 data are available through World Ocean Database (https://www.nodc.noaa.gov/OC5/WOD/pr_wod.html) and data in 2011/2015 are through CCHDO (https://cchdo.ucsd.edu/). The delta18O data in 2001 are provided by NASA/GISS data set (https://data.giss.nasa.gov/o18data/) and those in 2011/15 are available upon request (shigeru@lowtem.hokudai.ac.jp). The Antarctic sea ice production data are available at http://www.lowtem.hokudai.ac.jp/wwwod/polar-seaflux/. This work was supported by JSPS KAKENHI Grant Numbers 25281001 and 17H01615, by the Australian Government's Cooperative Research Centres Program, through the Antarctic Climate and Ecosystems Cooperative Research Centre (ACE CRC), and by the Department of Industry, Innovation, Climate Change, Science, Research and Tertiary Education through the Australian Climate Change Science Program.</t>
  </si>
  <si>
    <t>10.1002/2017JC012925</t>
  </si>
  <si>
    <t>WOS:000410790600013</t>
  </si>
  <si>
    <t>Johnson, KS; Plant, JN; Coletti, LJ; Jannasch, HW; Sakamoto, CM; Riser, SC; Swift, DD; Williams, NL; Boss, E; Haëntjens, N; Talley, LD; Sarmiento, JL</t>
  </si>
  <si>
    <t>Johnson, Kenneth S.; Plant, Joshua N.; Coletti, Luke J.; Jannasch, Hans W.; Sakamoto, Carole M.; Riser, Stephen C.; Swift, Dana D.; Williams, Nancy L.; Boss, Emmanuel; Haentjens, Nils; Talley, Lynne D.; Sarmiento, Jorge L.</t>
  </si>
  <si>
    <t>Biogeochemical sensor performance in the SOCCOM profiling float array</t>
  </si>
  <si>
    <t>profiling floats; oxygen sensors; pH sensors; nitrate sensors; bio-optical sensors; Southern Ocean</t>
  </si>
  <si>
    <t>PARTICULATE ORGANIC-CARBON; DISSOLVED INORGANIC CARBON; NET COMMUNITY PRODUCTION; SURFACE OCEAN PCO(2); SOUTHERN-OCEAN; GLOBAL OCEAN; NUTRIENT CONCENTRATIONS; ANTHROPOGENIC CARBON; SEASONAL VARIABILITY; OXYGEN OPTODES</t>
  </si>
  <si>
    <t>The Southern Ocean Carbon and Climate Observations and Modeling (SOCCOM) program has begun deploying a large array of biogeochemical sensors on profiling floats in the Southern Ocean. As of February 2016, 86 floats have been deployed. Here the focus is on 56 floats with quality-controlled and adjusted data that have been in the water at least 6 months. The floats carry oxygen, nitrate, pH, chlorophyll fluorescence, and optical backscatter sensors. The raw data generated by these sensors can suffer from inaccurate initial calibrations and from sensor drift over time. Procedures to correct the data are defined. The initial accuracy of the adjusted concentrations is assessed by comparing the corrected data to laboratory measurements made on samples collected by a hydrographic cast with a rosette sampler at the float deployment station. The long-term accuracy of the corrected data is compared to the GLODAPv2 data set whenever a float made a profile within 20 km of a GLODAPv2 station. Based on these assessments, the fleet average oxygen data are accurate to 1 +/- 1%, nitrate to within 0.5 +/- 0.5 mu mol kg(-1), and pH to 0.005 +/- 0.007, where the error limit is 1 standard deviation of the fleet data. The bio-optical measurements of chlorophyll fluorescence and optical backscatter are used to estimate chlorophyll a and particulate organic carbon concentration. The particulate organic carbon concentrations inferred from optical backscatter appear accurate to with 35 mg C m(-3) or 20%, whichever is larger. Factors affecting the accuracy of the estimated chlorophyll a concentrations are evaluated.</t>
  </si>
  <si>
    <t>[Johnson, Kenneth S.; Plant, Joshua N.; Coletti, Luke J.; Jannasch, Hans W.; Sakamoto, Carole M.] Monterey Bay Aquarium Res Inst, Moss Landing, CA 95039 USA; [Riser, Stephen C.; Swift, Dana D.] Univ Washington, Sch Oceanog, Seattle, WA 98195 USA; [Williams, Nancy L.] Oregon State Univ, Coll Earth Ocean &amp; Atmospher Sci, Corvallis, OR 97331 USA; [Boss, Emmanuel; Haentjens, Nils] Univ Maine, Sch Marine Sci, Orono, ME USA; [Talley, Lynne D.] Univ Calif San Diego, Scripps Inst Oceanog, La Jolla, CA 92093 USA; [Sarmiento, Jorge L.] Princeton Univ, Program Atmospher &amp; Ocean Sci, Princeton, NJ 08544 USA</t>
  </si>
  <si>
    <t>Monterey Bay Aquarium Research Institute; University of Washington; University of Washington Seattle; Oregon State University; University of Maine System; University of Maine Orono; University of California System; University of California San Diego; Scripps Institution of Oceanography; Princeton University; National Oceanic Atmospheric Admin (NOAA) - USA</t>
  </si>
  <si>
    <t>Williams, Nancy L./ABH-4755-2020; Boss, Emmanuel/C-5765-2009; Boss, Emmanuel/AAF-2336-2019; Johnson, Kenneth/F-9742-2011</t>
  </si>
  <si>
    <t>Williams, Nancy L./0000-0002-6541-9385; Boss, Emmanuel/0000-0002-8334-9595; Talley, Lynne/0000-0003-1574-729X; Jannasch, Hans/0000-0003-1417-4899; Haentjens, Nils/0000-0002-7155-2721; Johnson, Kenneth/0000-0001-5513-5584</t>
  </si>
  <si>
    <t>National Science Foundation, Division of Polar Programs [NSF PLR-1425989]; NOAA [NA15OAR4320063]; NASA [NNX14AP49G]; David and Lucile Packard Foundation; NASA [NNX14AP49G, 675912] Funding Source: Federal RePORTER</t>
  </si>
  <si>
    <t>National Science Foundation, Division of Polar Programs(National Science Foundation (NSF)); NOAA(National Oceanic Atmospheric Admin (NOAA) - USA); NASA(National Aeronautics &amp; Space Administration (NASA)); David and Lucile Packard Foundation(The David &amp; Lucile Packard Foundation); NASA(National Aeronautics &amp; Space Administration (NASA))</t>
  </si>
  <si>
    <t>Float data were collected and made freely available by the Southern Ocean Carbon and Climate Observations and Modeling (SOCCOM) Project funded by National Science Foundation, Division of Polar Programs (NSF PLR-1425989), supplemented by NOAA grant NA15OAR4320063 to S.R. and from NASA grant NNX14AP49G to E.B. Temperature and salinity data from SOCCOM floats are available in nearreal time from Argo at http://doi.org/10.17882/42182 and were made freely available by the International Argo Program and the national programs that contribute to it. Logistical support for this project in Antarctica was provided by the U.S. National Science Foundation through the U.S. Antarctic Program. Work at MBARI was also supported by the David and Lucile Packard Foundation. We thank all of the people involved in the construction, calibration, and deployment of SOCCOM floats and sensors and the crews of the ships that carried them to sea. Scientific Committee on Oceanic Research Working Group 142 contributed significantly to our understanding of oxygen sensor calibration. All data used in this paper are available at the locations specified in section 3.</t>
  </si>
  <si>
    <t>10.1002/2017JC012838</t>
  </si>
  <si>
    <t>WOS:000410790600021</t>
  </si>
  <si>
    <t>Janout, MA; Hölemann, J; Timokhov, L; Gutjahr, O; Heinemann, G</t>
  </si>
  <si>
    <t>Janout, Markus A.; Hoelemann, Jens; Timokhov, Leonid; Gutjahr, Oliver; Heinemann, Guenther</t>
  </si>
  <si>
    <t>Circulation in the northwest Laptev Sea in the eastern Arctic Ocean: Crossroads between Siberian River water, Atlantic water and polynya-formed dense water</t>
  </si>
  <si>
    <t>REGIONAL CLIMATE MODEL; FRESH-WATER; KARA SEA; ICE PRODUCTION; BOUNDARY CURRENT; BARROW CANYON; SHELF; BASIN; VARIABILITY; IMPACT</t>
  </si>
  <si>
    <t>This paper investigates new observations from the poorly understood region between the Kara and Laptev Seas in the Eastern Arctic Ocean. We discuss relevant circulation features including riverine freshwater, Atlantic-derived water, and polynya-formed dense water, emphasize Vilkitsky Strait (VS) as an important Kara Sea gateway, and analyze the role of the adjacent similar to 250 km-long submarine Vilkitsky Trough (VT) for the Arctic boundary current. Expeditions in 2013 and 2014 operated closely spaced hydrographic transects and 1 year-long oceanographic mooring near VT's southern slope, and found persistent annually averaged flow of 0.2 m s(-1) toward the Nansen Basin. The flow is nearly barotropic from winter through early summer and becomes surface intensified with maximum velocities of 0.35 m s(-1) from August to October. Thermal wind shear is maximal above the southern flank at similar to 30 m depth, in agreement with basinward flow above VT's southern slope. The subsurface features a steep front separating warm (-0.5 degrees C) Atlantic-derived waters in central VT from cold (&lt;-1.5 degrees C) shelf waters, which episodically migrates across the trough indicated by current reversals and temperature fluctuations. Shelf-transformed waters dominate above VT's slope, measuring near-freezing temperatures throughout the water column at salinities of 34-35. These dense waters are vigorously advected toward the Eurasian Basin and characterize VT as a conduit for near-freezing waters that could potentially supply the Arctic Ocean's lower halocline, cool Atlantic water, and ventilate the deeper Arctic Ocean. Our observations from the northwest Laptev Sea highlight a topographically complex region with swift currents, several water masses, narrow fronts, polynyas, and topographically channeled storms.</t>
  </si>
  <si>
    <t>[Janout, Markus A.; Hoelemann, Jens] Alfred Wegener Inst Helmholtz Ctr Polar &amp; Marine, Bremerhaven, Germany; [Timokhov, Leonid] Arctic &amp; Antarctic Res Inst, St Petersburg, Russia; [Gutjahr, Oliver] Max Planck Inst Meteorol, Hamburg, Germany; [Heinemann, Guenther] Univ Trier, Environm Meteorol, Trier, Germany</t>
  </si>
  <si>
    <t>Helmholtz Association; Alfred Wegener Institute, Helmholtz Centre for Polar &amp; Marine Research; Arctic &amp; Antarctic Research Institute; Max Planck Society; Universitat Trier</t>
  </si>
  <si>
    <t>Janout, MA (corresponding author), Alfred Wegener Inst Helmholtz Ctr Polar &amp; Marine, Bremerhaven, Germany.</t>
  </si>
  <si>
    <t>Markus.Janout@awi.de</t>
  </si>
  <si>
    <t>Janout, Markus/AAI-7219-2020; Hoelemann, Jens/N-3608-2016</t>
  </si>
  <si>
    <t>Janout, Markus/0000-0003-4908-2855; Gutjahr, Oliver/0000-0002-3116-8071; Hoelemann, Jens/0000-0001-5102-4086</t>
  </si>
  <si>
    <t>German Federal Ministry of Education and Research [BMBF 03G0759B/D, 03G0833B/D]; Ministry of Education and Science of the Russian Federation</t>
  </si>
  <si>
    <t>German Federal Ministry of Education and Research(Federal Ministry of Education &amp; Research (BMBF)); Ministry of Education and Science of the Russian Federation(Ministry of Education and Science, Russian Federation)</t>
  </si>
  <si>
    <t>Financial support for the Laptev Sea System project was provided by the German Federal Ministry of Education and Research (grants BMBF 03G0759B/D and 03G0833B/D) and the Ministry of Education and Science of the Russian Federation. The COSMO- CLM model was provided by the German Meteorological Service and the CLM community. Data from the mooring and from the 2013 and 2014 CTD survey can be found at www. Pangaea. de. We greatly acknowledge the Captain and Crew of the RV Viktor Buinitsky for safe and successful expeditions, Heidi Kassens as chief scientist and project coordinator, Matthias Monsees for passionate mooring work, Stefan Buuttner and Alexey Buinyy for help with the UCTD sampling, and Thomas Krumpen for help with the sea ice drift information. We thank the Editor and two anonymous reviewers for thorough comments and suggestions, which helped to improve the manuscript.</t>
  </si>
  <si>
    <t>10.1002/2017JC013159</t>
  </si>
  <si>
    <t>Green Published, Green Accepted, hybrid</t>
  </si>
  <si>
    <t>WOS:000410790600034</t>
  </si>
  <si>
    <t>Leeson, AA; Van Wessem, JM; Ligtenberg, SRM; Shepherd, A; Van Den Broeke, MR; Killick, R; Skvarca, P; Marinsek, S; Colwell, S</t>
  </si>
  <si>
    <t>Leeson, A. A.; Van Wessem, J. M.; Ligtenberg, S. R. M.; Shepherd, A.; Van Den Broeke, M. R.; Killick, R.; Skvarca, P.; Marinsek, S.; Colwell, S.</t>
  </si>
  <si>
    <t>Regional climate of the Larsen B embayment 1980-2014</t>
  </si>
  <si>
    <t>climate change; ice-shelf break-up; ice shelves; melt - surface</t>
  </si>
  <si>
    <t>DIGITAL ELEVATION MODEL; SHEET MASS-BALANCE; ANTARCTIC PENINSULA; ICE-SHELF; MELTING CONDITIONS; SURFACE; COLLAPSE; TRENDS; TEMPERATURE; VARIABILITY</t>
  </si>
  <si>
    <t>Understanding the climate response of the Antarctic Peninsula ice sheet is vital for accurate predictions of sea-level rise. However, since climate models are typically too coarse to capture spatial variability in local scale meteorological processes, our ability to study specific sectors has been limited by the local fidelity of such models and the (often sparse) availability of observations. We show that a high-resolution (5.5 km x 5.5 km) version of a regional climate model (RACMO2.3) can reproduce observed interannual variability in the Larsen B embayment sufficiently to enable its use in investigating long-term changes in this sector. Using the model, together with automatic weather station data, we confirm previous findings that the year of the Larsen B ice shelf collapse (2001/02) was a strong melt year, but discover that total annual melt production was in fact similar to 30% lower than 2 years prior. While the year before collapse exhibited the lowest melting and highest snowfall during 1980-2014, the ice shelf was likely pre-conditioned for collapse by a series of strong melt years in the 1990s. Melt energy has since returned to pre-1990s levels, which likely explains the lack of further significant collapse in the region (e.g. of SCAR Inlet).</t>
  </si>
  <si>
    <t>[Leeson, A. A.] Univ Lancaster, Data Sci Inst, Lancaster Environm Ctr, Lancaster LA1 4YW, England; [Shepherd, A.] Univ Leeds, Ctr Polar Observat &amp; Modelling, Leeds LS2 9JT, W Yorkshire, England; [Van Wessem, J. M.; Ligtenberg, S. R. M.; Van Den Broeke, M. R.] Univ Utrecht, Inst Marine &amp; Atmospher Res Utrecht IMAU, Utrecht, Netherlands; [Killick, R.] Univ Lancaster, Dept Math &amp; Stat, Lancaster LA1 4YF, England; [Skvarca, P.; Marinsek, S.] Inst Antartico Argentino, Dept Glaciol, Buenos Aires, DF, Argentina; [Colwell, S.] British Antarctic Survey, Madingley Rd, Cambridge CB3 OET, England; [Skvarca, P.] Glacier Interpret Ctr, El Calafate 9405, Santa Cruz, Argentina</t>
  </si>
  <si>
    <t>Lancaster University; University of Leeds; Utrecht University; Lancaster University; Instituto Antartico Argentino; UK Research &amp; Innovation (UKRI); Natural Environment Research Council (NERC); NERC British Antarctic Survey</t>
  </si>
  <si>
    <t>Leeson, AA (corresponding author), Univ Lancaster, Data Sci Inst, Lancaster Environm Ctr, Lancaster LA1 4YW, England.</t>
  </si>
  <si>
    <t>a.leeson@lancaster.ac.uk</t>
  </si>
  <si>
    <t>Van den Broeke, Michiel R./F-7867-2011; van Wessem, Melchior/AAB-1987-2019; Leeson, Amber/JFA-1001-2023; Ligtenberg, Stefan/AAF-8290-2020; Killick, Rebecca/A-9790-2010</t>
  </si>
  <si>
    <t>Van den Broeke, Michiel R./0000-0003-4662-7565; Killick, Rebecca/0000-0003-0583-3960; van Wessem, Melchior/0000-0003-3221-791X; Leeson, Amber/0000-0001-8720-9808; Shepherd, Andrew/0000-0002-4914-1299</t>
  </si>
  <si>
    <t>Netherlands Organization for Scientific Research (NWO/NPP); Netherlands Earth System Science Centre (NESSC); Natural Environment Research Council [bas0100032, cpom30001] Funding Source: researchfish; NERC [cpom30001, bas0100032] Funding Source: UKRI</t>
  </si>
  <si>
    <t>Netherlands Organization for Scientific Research (NWO/NPP); Netherlands Earth System Science Centre (NESSC); Natural Environment Research Council(UK Research &amp; Innovation (UKRI)Natural Environment Research Council (NERC)); NERC(UK Research &amp; Innovation (UKRI)Natural Environment Research Council (NERC))</t>
  </si>
  <si>
    <t>Larsen C AWS data are available via request from Steve Colwell (src@bas.ac.uk), Matienzo AWS data are available from Pedro Skvarca (pedroskvarca@gmail.com) and Sebastian Marinsek (smarinsek@dna.gov.ar) and UNAVCO AWS data can be accessed here: https://www.unavco.org/data/tropospheric/surface-met/surface-met.html. RACMO2 model output is available on request from J. M. van Wessem. The R package used to perform multivariate change-point analysis (changepoint.mv) is soon to be released on (the comprehensive R network) CRAN, and is available from Rebecca Killick (r.killick@lancaster.ac.uk). MRvdB, SRML and JMvW acknowledge funding from the Polar Program of the Netherlands Organization for Scientific Research (NWO/NPP) and the Netherlands Earth System Science Centre (NESSC).</t>
  </si>
  <si>
    <t>10.1017/jog.2017.39</t>
  </si>
  <si>
    <t>WOS:000415869500011</t>
  </si>
  <si>
    <t>Waterman, MJ; Nugraha, AS; Hendra, R; Ball, GE; Robinson, SA; Keller, PA</t>
  </si>
  <si>
    <t>Waterman, Melinda J.; Nugraha, Ari S.; Hendra, Rudi; Ball, Graham E.; Robinson, Sharon A.; Keller, Paul A.</t>
  </si>
  <si>
    <t>Antarctic Moss Biflavonoids Show High Antioxidant and Ultraviolet-Screening Activity</t>
  </si>
  <si>
    <t>JOURNAL OF NATURAL PRODUCTS</t>
  </si>
  <si>
    <t>UV-B FLUX; FERULIC ACID; CERATODON-PURPUREUS; PHENOLIC-COMPOUNDS; COUMARIC ACID; DNA-DAMAGE; CELL-WALLS; FLAVONOIDS; RADIATION; POLLEN</t>
  </si>
  <si>
    <t>Ceratodon purpureus is a cosmopolitan moss that survives some of the harshest places on Earth: from frozen Antarctica to hot South Australian deserts. In a study on the survival mechanisms of the species, nine compounds were isolated from Australian and Antarctic C. purpureus. This included five biflavonoids, with complete structural elucidation of 1 and 2 reported here for the first time, as well as an additional four known phenolic compounds. Dispersion-corrected DFT calculations suggested a rotational barrier, leading to atropisomerism, resulting in the presence of diastereomers for compound 2. All isolates absorbed strongly in the ultraviolet (UV) spectrum, e.g., biflavone 1 (UV-A, 315-400 nm), which displayed the strongest radical-scavenging activity, 13% more efficient than the standard rutin; p-coumaric acid and trans-ferulic acid showed the highest UV-B (280-315 nm) absorption. The more complex and abundant 1 and 2 presumably have dual roles as both UV-screening and antioxidant compounds. They are strongly bound to Antarctic moss cell walls as well as located inside the cells of moss from both locations. The combined high stability and photoprotective abilities of these isolates may account for the known resilience of this species to UV-B radiation and its survival in some of the toughest locations in the world.</t>
  </si>
  <si>
    <t>[Waterman, Melinda J.; Robinson, Sharon A.] Univ Wollongong, Sch Biol Sci, Wollongong, NSW 2522, Australia; [Nugraha, Ari S.; Hendra, Rudi; Keller, Paul A.] Univ Wollongong, Sch Chem, Wollongong, NSW 2522, Australia; [Ball, Graham E.] UNSW, Sch Chem, Sydney, NSW 2052, Australia</t>
  </si>
  <si>
    <t>University of Wollongong; University of Wollongong; University of New South Wales Sydney</t>
  </si>
  <si>
    <t>Keller, PA (corresponding author), Univ Wollongong, Sch Chem, Wollongong, NSW 2522, Australia.</t>
  </si>
  <si>
    <t>keller@uow.edu.au</t>
  </si>
  <si>
    <t>Keller, Paul/AAD-9214-2022; Robinson, Sharon/B-2683-2008; Hendra, Rudi/AAD-3913-2020; Nugraha, Ari Satia/HPH-7345-2023; Waterman, Melinda/N-5880-2019; Ball, Graham/L-6638-2015</t>
  </si>
  <si>
    <t>Robinson, Sharon/0000-0002-7130-9617; Hendra, Rudi/0000-0002-1103-8261; Nugraha, Ari Satia/0000-0002-9117-4713; Waterman, Melinda/0000-0001-5907-4512; Keller, Paul/0000-0003-4868-845X; Ball, Graham/0000-0002-0716-2286</t>
  </si>
  <si>
    <t>Australian Research Council [DP110101714]; Australian Antarctic Division [ASG3042, 4046]; University of Wollongong; Indonesian Directorate General Higher Education (DGHE); UOW International Postgraduate Tuition Fee Award</t>
  </si>
  <si>
    <t>Australian Research Council(Australian Research Council); Australian Antarctic Division; University of Wollongong; Indonesian Directorate General Higher Education (DGHE); UOW International Postgraduate Tuition Fee Award</t>
  </si>
  <si>
    <t>We thank J. Williams for formally identifying moss samples, W. Lie for his NMR assistance, and A. Netherwood for graphics production. Funding support was provided by Australian Research Council Discovery Project (DP110101714) and Australian Antarctic Division (ASG3042 and 4046) grants. Both sources had no involvement in the design of this project. M.J.W. and A.S.N. thank the University of Wollongong for an Australian Postgraduate Award and a University Postgraduate Award, respectively, and R.H. thanks the Indonesian Directorate General Higher Education (DGHE) and UOW International Postgraduate Tuition Fee Award (2016) for scholarships.</t>
  </si>
  <si>
    <t>0163-3864</t>
  </si>
  <si>
    <t>1520-6025</t>
  </si>
  <si>
    <t>J NAT PROD</t>
  </si>
  <si>
    <t>J. Nat. Prod.</t>
  </si>
  <si>
    <t>10.1021/acs.jnatprod.7b00085</t>
  </si>
  <si>
    <t>Plant Sciences; Chemistry, Medicinal; Pharmacology &amp; Pharmacy</t>
  </si>
  <si>
    <t>Science Citation Index Expanded (SCI-EXPANDED); Index Chemicus (IC)</t>
  </si>
  <si>
    <t>Plant Sciences; Pharmacology &amp; Pharmacy</t>
  </si>
  <si>
    <t>FF2BJ</t>
  </si>
  <si>
    <t>WOS:000408702600005</t>
  </si>
  <si>
    <t>Raymond, JA; Morgan-Kiss, R</t>
  </si>
  <si>
    <t>Raymond, James A.; Morgan-Kiss, Rachael</t>
  </si>
  <si>
    <t>MULTIPLE ICE-BINDING PROTEINS OF PROBABLE PROKARYOTIC ORIGIN IN AN ANTARCTIC LAKE ALGA, CHLAMYDOMONAS SP ICE-MDV (CHLOROPHYCEAE)</t>
  </si>
  <si>
    <t>alga; Antarctica; Chlamydomonas; horizontal gene transfer; ice-binding proteins</t>
  </si>
  <si>
    <t>HORIZONTAL GENE-TRANSFER; ANTIFREEZE PROTEIN; SEA-ICE; ENVIRONMENT; PEPTIDES</t>
  </si>
  <si>
    <t>Ice-associated algae produce ice-binding proteins (IBPs) to prevent freezing damage. The IBPs of the three chlorophytes that have been examined so far share little similarity across species, making it likely that they were acquired by horizontal gene transfer (HGT). To clarify the importance and source of IBPs in chlorophytes, we sequenced the IBP genes of another Antarctic chlorophyte, Chlamydomonas sp. ICE-MDV (Chlamy-ICE). Genomic DNA and total RNA were sequenced and screened for known iceassociated genes. Chlamy-ICE has as many as 50 IBP isoforms, indicating that they have an important role in survival. The IBPs are of the DUF3494 type and have similar exon structures. The DUF3494 sequences are much more closely related to prokaryotic sequences than they are to sequences in other chlorophytes, and the chlorophyte IBP and ribosomal 18S phylogenies are dissimilar. The multiple IBP isoforms found in Chlamy-ICE and other algae may allow the algae to adapt to a greater variety of ice conditions than prokaryotes, which typically have a single IBP gene. The predicted structure of the DUF3494 domain has an ice-binding face with an orderly array of hydrophilic side chains. The results indicate that Chlamy-ICE acquired its IBP genes by HGT in a single event. The acquisitions of IBP genes by this and other species of Antarctic algae by HGT appear to be key evolutionary events that allowed algae to extend their ranges into polar environments.</t>
  </si>
  <si>
    <t>[Raymond, James A.] Univ Nevada, Sch Life Sci, Las Vegas, NV 89154 USA; [Morgan-Kiss, Rachael] Miami Univ, Dept Microbiol, Oxford, OH 45056 USA</t>
  </si>
  <si>
    <t>Nevada System of Higher Education (NSHE); University of Nevada Las Vegas; University System of Ohio; Miami University</t>
  </si>
  <si>
    <t>Raymond, JA (corresponding author), Univ Nevada, Sch Life Sci, Las Vegas, NV 89154 USA.</t>
  </si>
  <si>
    <t>raymond@unlv.nevada.edu</t>
  </si>
  <si>
    <t>raymond, james/0000-0002-0391-1630</t>
  </si>
  <si>
    <t>National Science Foundation [PLR-1056396]; National Institute of General Medical Sciences [P20GM103440]; JR</t>
  </si>
  <si>
    <t>National Science Foundation(National Science Foundation (NSF)); National Institute of General Medical Sciences(United States Department of Health &amp; Human ServicesNational Institutes of Health (NIH) - USANIH National Institute of General Medical Sciences (NIGMS)); JR</t>
  </si>
  <si>
    <t>Collection, isolation, and culture of the algae were supported by National Science Foundation grant PLR-1056396 to RM-K. We thank Amber Teufel for assistance in the isolation of Chlamydomonas sp. ICE-MDV. We thank the School of Life Sciences, University of Nevada, Las Vegas for providing laboratory facilities for conducting this work, Kristina Kruse and Craig Osborn (University of Nevada Reno) for sequencing analyses and Suvarna Nadendla (University of Maryland) for annotation analysis. Sequencing and protein analyses at the University of Nevada were supported by grant #P20GM103440 from the National Institute of General Medical Sciences. Additional funding for this work was provided by JR. The authors have no conflict of interest to declare.</t>
  </si>
  <si>
    <t>10.1111/jpy.12550</t>
  </si>
  <si>
    <t>WOS:000409242000009</t>
  </si>
  <si>
    <t>Newnham, RM; Alloway, BV; Holt, KA; Butler, K; Rees, ABH; Wilmshurst, JM; Dunbar, G; Hajdas, I</t>
  </si>
  <si>
    <t>Newnham, R. M.; Alloway, B. V.; Holt, K. A.; Butler, K.; Rees, A. B. H.; Wilmshurst, J. M.; Dunbar, G.; Hajdas, I.</t>
  </si>
  <si>
    <t>Last Glacial pollen-climate reconstructions from Northland, New Zealand</t>
  </si>
  <si>
    <t>last glacial; palynology; Rotoehu tephra; shifting westerlies; temperature reconstruction</t>
  </si>
  <si>
    <t>KAURI AGATHIS-AUSTRALIS; RADIOMETRIC AGE ESTIMATE; NORTHERN SOUTH ISLAND; GREAT BARRIER-ISLAND; TAUPO VOLCANIC ZONE; ROTOEHU-ASH; ROTOITI BRECCIA; DISTAL RECORD; VEGETATION; CHRONOLOGY</t>
  </si>
  <si>
    <t>Despite wide-ranging interest in the vegetation and climate of Northland, New Zealand, during the last glacial cycle, the region and timeframe lack quantitative climate reconstructions while land-based pollen records have tended to be poorly dated and fragmentary. The region is also important for geochronology due to the co-occurrence of the Rotoehu tephra, a widely dispersed isochron near the current limits of radiocarbon dating, and extensive subfossil wood remains of Agathis australis, with strong dendrochronological and dendroclimato-logical potential. We present new pollen records and temperature reconstructions from three sites set in coastal dune belts from western mid-Northland (similar to 35 degrees S), all containing Rotoehu tephra, that collectively span the last 70 ka. The phases and amplitude of temperature changes broadly align with those reported from elsewhere in New Zealand and with marine isotope climate-stratigraphic records, including maximum temperature depression of 6-8 degrees C during the last glacial maximum. We argue that these climatic patterns are intimately linked to shifts in the southern westerly wind belt, the northern margins of which extend to the region today. Correspondence between the Northland temperature shifts and atmospheric CO2 supports the model of ocean-atmosphere CO2 flux modulated by latitudinal migration of the southern westerlies. Copyright (C) 2017 John Wiley &amp; Sons, Ltd.</t>
  </si>
  <si>
    <t>[Newnham, R. M.; Rees, A. B. H.] Victoria Univ Wellington, Sch Geog Environm &amp; Earth Sci, Wellington, New Zealand; [Alloway, B. V.; Wilmshurst, J. M.] Univ Auckland, Sch Environm, Private Bag 92019, Auckland, New Zealand; [Alloway, B. V.] Univ Wollongong, Sch Earth &amp; Environm Sci, CAS, Wollongong, NSW 2522, Australia; [Holt, K. A.; Butler, K.] Massey Univ, Sch People Environm &amp; Planning, Palmerston North, New Zealand; [Wilmshurst, J. M.] Landcare Res, Canterbury, New Zealand; [Dunbar, G.] Victoria Univ Wellington, Antarctic Res Ctr, Wellington, New Zealand; [Hajdas, I.] Swiss Fed Inst Technol, Lab Ion Beam Phys, Otto Stern Weg 5, CH-8093 Zurich, Switzerland</t>
  </si>
  <si>
    <t>Victoria University Wellington; University of Auckland; University of Wollongong; Massey University; Landcare Research - New Zealand; Victoria University Wellington</t>
  </si>
  <si>
    <t>Newnham, RM (corresponding author), Victoria Univ Wellington, Sch Geog Environm &amp; Earth Sci, Wellington, New Zealand.</t>
  </si>
  <si>
    <t>rewi.newnham@vuw.ac.nz</t>
  </si>
  <si>
    <t>Wilmshurst, Janet/O-8611-2019; Hajdas, Irka/C-6696-2011; Rees, Andrew/Q-1417-2017</t>
  </si>
  <si>
    <t>Wilmshurst, Janet/0000-0002-4474-8569; Hajdas, Irka/0000-0003-2373-2725; Rees, Andrew/0000-0003-4026-7765</t>
  </si>
  <si>
    <t>Marsden Fund [MAU 305]</t>
  </si>
  <si>
    <t>Marsden Fund(Royal Society of New ZealandMarsden Fund (NZ))</t>
  </si>
  <si>
    <t>Funding for collection and dating of the Kai Iwi core was provided through Marsden Fund grant MAU 305 'Date of Colonisation of Northland' to John R. Flenley. We acknowledge Bernd Striewski for performing the original logging of this core, and David Feek and Bernd Striewski for collecting the core. Thanks to Bruce Hayward for assisting with fieldwork. We are grateful to three reviewers, including Drew Lorrey, for their insightful comments that have helped us to improve the manuscript.</t>
  </si>
  <si>
    <t>10.1002/jqs.2955</t>
  </si>
  <si>
    <t>WOS:000409047100003</t>
  </si>
  <si>
    <t>van der Bilt, WGM; Bakke, J; Werner, JP; Paasche, O; Rosqvist, G; Vatle, SS</t>
  </si>
  <si>
    <t>van der Bilt, Willem G. M.; Bakke, Jostein; Werner, Johannes P.; Paasche, Oyvind; Rosqvist, Gunhild; Vatle, Sunniva Solheim</t>
  </si>
  <si>
    <t>Late Holocene glacier reconstruction reveals retreat behind present limits and two-stage Little Ice Age on subantarctic South Georgia</t>
  </si>
  <si>
    <t>glacier variability; Holocene; lake sediments; South Georgia; Southern Ocean</t>
  </si>
  <si>
    <t>LAKE-SEDIMENTS; TEMPERATURE VARIABILITY; SIZE DISTRIBUTION; ANNULAR MODE; CLIMATE; FLUCTUATIONS; PENINSULA; RECORD; HEMISPHERE; OCEAN</t>
  </si>
  <si>
    <t>Observational data show that climate in the Southern Ocean region is rapidly changing. However, past the instrumental period, our understanding of climate variability in the region is limited by a scarcity of highresolution palaeoclimate records. Alpine glaciers, present on many Southern Ocean islands, may provide such data because changes in their mass balance, extent and erosion rates often mark a response to climate shifts. Rock flour, the fine-grained fraction of the glacial erosion process, is suspended in meltwater streams and transferred into the sediments of downstream lakes, continuously recording glacier variations. Here, we utilize this relationship to present a reconstruction of the Late Holocene glacier history of subantarctic South Georgia, using sediments from the glacier-fed Middle Hamberg Lake. To fingerprint a glacial erosion/size signal, we used titanium counts, validated against changes in sediment density and grain size, allowing a continuous reconstruction of glacier variations over the past similar to 1250 years. Together with local moraine evidence and supporting evidence from other Southern Hemisphere glaciers on New Zealand and in Patagonia, our findings reveal a series of consecutively diminishing Late Holocene advances. In addition to a glacier maximum before 1250 cal a BP, these include a twostage Litle Ice Age with advances around 300 and 120 cal a BP, in line with evidence from southern Patagonia. In addition, we present evidence for an unreported retreat behind present limits around 500 cal BP. Copyright (C) 2017 John Wiley &amp; Sons, Ltd.</t>
  </si>
  <si>
    <t>[van der Bilt, Willem G. M.; Bakke, Jostein; Werner, Johannes P.; Rosqvist, Gunhild] Univ Bergen, Dept Earth Sci, Allegaten 41, N-5007 Bergen, Norway; [van der Bilt, Willem G. M.; Bakke, Jostein; Werner, Johannes P.; Paasche, Oyvind] Bjerknes Ctr Climate Res, Bergen, Norway; [Rosqvist, Gunhild] Stockholm Univ, Dept Phys Geog, Stockholm, Sweden; [Vatle, Sunniva Solheim] Univ Bergen, Dept Geog, Bergen, Norway</t>
  </si>
  <si>
    <t>University of Bergen; Bjerknes Centre for Climate Research; Stockholm University; University of Bergen</t>
  </si>
  <si>
    <t>van der Bilt, WGM (corresponding author), Univ Bergen, Dept Earth Sci, Allegaten 41, N-5007 Bergen, Norway.;van der Bilt, WGM (corresponding author), Bjerknes Ctr Climate Res, Bergen, Norway.</t>
  </si>
  <si>
    <t>willemvanderbilt@gmail.com</t>
  </si>
  <si>
    <t>AL, Ramanathan -/E-7217-2012; Bakke, Jostein/AAI-1145-2020; Werner, Johannes/H-5702-2012</t>
  </si>
  <si>
    <t>AL, Ramanathan -/0000-0002-3491-2273; Werner, Johannes/0000-0003-4015-7398; Rosqvist, Gunhild/0000-0002-9195-607X; Paasche, Oyvind/0000-0003-0329-9063; van der Bilt, Willem/0000-0003-3157-451X</t>
  </si>
  <si>
    <t>Norwegian Research Council through the project 'Shifting Climate States of the Polar Regions' [210004]; Meltzer Fund; Norwegian Research School in Climate Dynamics (ResClim)</t>
  </si>
  <si>
    <t>Norwegian Research Council through the project 'Shifting Climate States of the Polar Regions'; Meltzer Fund; Norwegian Research School in Climate Dynamics (ResClim)</t>
  </si>
  <si>
    <t>This study received funding from the Norwegian Research Council through the project 'Shifting Climate States of the Polar Regions' (grant 210004). This work was also supported by the Meltzer Fund and the Norwegian Research School in Climate Dynamics (ResClim). We thank the Government of South Georgia and South Sandwich Islands and the British Antarctic Survey (BAS) for their indispensable support of fieldwork for this study. We also thank Anne Bjune, Asmund Bakke, Bjorn Kvisvik and Tom Whitfield for their help in the field. We want to express our gratitude to John Gordon for sharing valuable historical photographs of the study area. Finally, we would like to thank Dominic Hodgson and one anonymous reviewer for improving the manuscript with their comments.</t>
  </si>
  <si>
    <t>10.1002/jqs.2937</t>
  </si>
  <si>
    <t>WOS:000409047100016</t>
  </si>
  <si>
    <t>Kim, Y; Lee, I; Lee, JI; Woo, J; Kim, T</t>
  </si>
  <si>
    <t>Kim, Yeongmin; Lee, Insung; Lee, Jong Ik; Woo, Jusun; Kim, Taewoo</t>
  </si>
  <si>
    <t>Mineral resources potential and evaluation of its exploration in Northern Victoria Land, Antarctica</t>
  </si>
  <si>
    <t>Antarctica; Northern Victoria Land; mineral resources; resource exploration; evaluation of mineral resources potential</t>
  </si>
  <si>
    <t>COPPER</t>
  </si>
  <si>
    <t>Antarctica was a part of Gondwana Supercontinent with Australia, Africa, South America and India and has a great potential on mineral resources. Evaluation and exploration of mineral resources in Antarctica is difficult due to its severe climate and widespread snow/ice-covered area. The Protocol of Environmental Protection to the Antarctic Treaty also prohibits any activities related to the resources exploration and development without scientific purposes. Before the effectuation of the Protocol, there had been researches and activities for mineral resource evaluation of Antarctica. Especially, exploration and evaluation of uranium deposits in Antarctica had been carried out mainly by U.S. Antarctic Research Program. There are geographic, climatic, technical, economic and environmental difficulties for mineral resources exploration in Antarctica. For resource depletion circumstances in the future, it is necessary to approach the mineral exploration in Antarctica from scientific viewpoint. With the completion of Jang Bogo station in Antarctica, the area with high mineral resources potential in Northern Victoria Land will be narrowed by the field survey and geochemical analysis and focused investigation will be carried out.</t>
  </si>
  <si>
    <t>[Kim, Yeongmin; Lee, Insung; Kim, Taewoo] Seoul Natl Univ, Sch Earth &amp; Environm Sci, Seoul 08826, South Korea; [Lee, Jong Ik; Woo, Jusun] Korea Polar Res Inst, Incheon 21990, South Korea</t>
  </si>
  <si>
    <t>Seoul National University (SNU); Korea Polar Research Institute (KOPRI)</t>
  </si>
  <si>
    <t>Lee, I (corresponding author), Seoul Natl Univ, Sch Earth &amp; Environm Sci, Seoul 08826, South Korea.</t>
  </si>
  <si>
    <t>insung@snu.ac.kr</t>
  </si>
  <si>
    <t>10.14770/jgsk.2017.53.4.555</t>
  </si>
  <si>
    <t>WOS:000418531300007</t>
  </si>
  <si>
    <t>Hur, SD; Ahn, J</t>
  </si>
  <si>
    <t>Hur, Soon Do; Ahn, Jinho</t>
  </si>
  <si>
    <t>Paleoclimate study using blue ice in Antarctica</t>
  </si>
  <si>
    <t>Antarctica; blue ice; oldest ice; paleoclimate; age dating</t>
  </si>
  <si>
    <t>ALLAN-HILLS; CLIMATE VARIABILITY; AREAS; METEORITES; CORE; SURFACE; RECORD; SCHARFFENBERGBOTNEN; EVOLUTION; HISTORY</t>
  </si>
  <si>
    <t>In the area of blue ice, formed by long-term erosion in the Antarctic ice field, hundreds of thousands to over a million years old ice is exposed on the surface. Consequently, we can obtain old ice samples at the blue ice area with cheaper expenses and shorter time than we drill a deep ice core, which requires large expenses and long time. Because accurate age dating is demended in advance for utilizing blue ice for paleoclimate research, various dating methods have been tried. Recently, led by Korean scientists, meteorite exploration has been intensively carried out in Elephant Moraine blue ice field near the Jangbogo station in Antarctica, as well as preliminary research for the old ice recovery in that area. It is anticipated that future overall studies of meteorite, geology, geophysics, glaciers, and atmosphere will enable us to better understand the formation and behavior of the blue ice, and use the ice in paleoclimate research with accurate age.</t>
  </si>
  <si>
    <t>[Hur, Soon Do] Korea Polar Res Inst, Incheon 21990, South Korea; [Ahn, Jinho] Seoul Natl Univ, Sch Earth &amp; Environm Sci, Seoul 08826, South Korea</t>
  </si>
  <si>
    <t>Korea Polar Research Institute (KOPRI); Seoul National University (SNU)</t>
  </si>
  <si>
    <t>Hur, SD (corresponding author), Korea Polar Res Inst, Incheon 21990, South Korea.</t>
  </si>
  <si>
    <t>sdhur@kopri.re.kr</t>
  </si>
  <si>
    <t>10.14770/jgsk.2017.53.4.597</t>
  </si>
  <si>
    <t>WOS:000418531300010</t>
  </si>
  <si>
    <t>Klein, RD; Borges, VD; Rosa, CE; Colares, EP; Robaldo, RB; Martinez, PE; Bianchini, A</t>
  </si>
  <si>
    <t>Klein, Roberta Daniele; Borges, Vinicius Dias; Rosa, Carlos Eduardo; Colares, Elton Pinto; Robaldo, Ricardo Berteaux; Martinez, Pablo Elias; Bianchini, Adalto</t>
  </si>
  <si>
    <t>Effects of increasing temperature on antioxidant defense system and oxidative stress parameters in the Antarctic fish Notothenia coriiceps and Notothenia rossii</t>
  </si>
  <si>
    <t>Antarctica; Antioxidant defense system; Fish; Oxidative stress; Temperature</t>
  </si>
  <si>
    <t>KING-GEORGE ISLAND; CLIMATE-CHANGE; TREMATOMUS-BERNACCHII; OXYGEN-CONSUMPTION; COLD; ACCLIMATION; ADAPTATIONS; GLUTATHIONE; TOLERANCE; WHITE</t>
  </si>
  <si>
    <t>Antioxidant defense system (ADS) and oxidative stress parameters were evaluated in the Antarctic fish Notothenia rossii and N. coriiceps exposed to increasing temperature. Acclimated fish were kept at 0 degrees C or exposed to 4 degrees C for 1 day (N. rossii) or to 2 and 4 degrees C for 1 and 6 days (N. coriiceps). Measurements were assessed in brain, gills, liver, white muscle and erythrocytes. Parameters analyzed included antioxidant capacity against peroxyl radicals (ACAP); reduced glutathione (GSH) and metallothionein-like proteins (MTLP) concentration; superoxide dismutase (SOD), catalase (CAT), glutathione peroxidase (GPx), glutathione-Stransferase (GST) and glutamate-cysteine ligase (GCL) activity; lipid peroxidation (LPO) level and protein carbonyl (PC) concentration. Increased liver GST activity was observed in N. rossii exposed to 4 degrees C for 1 day. Increased muscle GPx activity was observed in N. coriiceps after exposure to 2 degrees C for 1 day. Reduced gill GPx activity and increased liver SOD activity were observed after exposure to 4 degrees C for 1 day. In N. coriiceps, increased gill GCL activity and reduced gill GPx activity, as Well as reduced liver MTLP were observed after exposure to 2 degrees C for 6 days. Reduced brain SOD activity and increased brain LPO; reduced gill ACAP, GSH concentration and GPx activity, as well as increased gill GCL activity; reduced liver ACAP, MTLP, SOD activity, GST activity and increased liver and erythrocytes LPO were observed after exposure to 4 degrees C for 6 days. These findings indicate that ADS is more responsive to short-term increasing temperature in the sluggish N. coriiceps than in the active N. rossii. However, responses of N. coriiceps to long-term increasing temperature were transient and did not prevent tissue oxidative damage. Considering the predicted increase in temperature in the Southern Ocean over the next decades, our findings suggest that Antarctic fishes are sensitive to ocean warming, displaying tissue oxidative damage associated with the thermal stress.</t>
  </si>
  <si>
    <t>[Klein, Roberta Daniele; Borges, Vinicius Dias; Rosa, Carlos Eduardo; Colares, Elton Pinto; Martinez, Pablo Elias; Bianchini, Adalto] Univ Fed Rio Grande, Inst Ciencias Biol, Programa Posgrad Ciencias Fisiol, Ave Italia,Km 8, BR-96203900 Rio Grande, RS, Brazil; [Rosa, Carlos Eduardo; Colares, Elton Pinto; Martinez, Pablo Elias; Bianchini, Adalto] Univ Fed Rio Grande, Inst Ciencias Biol, Ave Italia,Km 8, BR-96203900 Rio Grande, RS, Brazil; [Robaldo, Ricardo Berteaux] Univ Fed Pelotas, Inst Biol, Campus Univ S-N, BR-96010900 Pelotas, RS, Brazil</t>
  </si>
  <si>
    <t>Bianchini, A (corresponding author), Univ Fed Rio Grande FURG, Inst Ciencias Biol, Ave Italia Km 8 Campus Carreiros, BR-96203900 Rio Grande, RS, Brazil.</t>
  </si>
  <si>
    <t>Rosa, Carlos E/C-9576-2017; Martinez, Pablo/M-4092-2019; Martínez, Pablo Elías/D-4556-2016; Klein, Roberta Daniele/AAE-8383-2019; Bianchini, Adalto/C-5384-2013</t>
  </si>
  <si>
    <t>Martinez, Pablo/0000-0003-1585-6162; Klein, Roberta Daniele/0000-0002-3293-2916; Bianchini, Adalto/0000-0002-7627-7650</t>
  </si>
  <si>
    <t>Brazilian Conselho Nacional de Desenvolvimento Cientifico e Tecnologico (CNPq) [550059/2007-5, 563885/05-0]; International Canada Research Chair Program of the International Development Research Centre (IDRC, Ottawa, Canada)</t>
  </si>
  <si>
    <t>This study was supported by the Brazilian Conselho Nacional de Desenvolvimento Cientifico e Tecnologico (CNPq; grants # 550059/2007-5 and # 563885/05-0). The Brazilian Secretaria da Comissao Interministerial para os Recursos do Mar (SECIRM) and Programa Antartico Brasileiro (PROANTAR) are acknowledged. R.D. Klein was a PhD fellow from the Brazilian CNPq (#554215/2010-1). A. Bianchini is a research fellow from the Brazilian CNPq (#304430-2009-9) and supported by the International Canada Research Chair Program of the International Development Research Centre (IDRC, Ottawa, Canada).</t>
  </si>
  <si>
    <t>10.1016/j.jtherbio.2017.02.016</t>
  </si>
  <si>
    <t>WOS:000405976100015</t>
  </si>
  <si>
    <t>Tixier, P; Barbraud, C; Pardo, D; Gasco, N; Duhamel, G; Guinet, C</t>
  </si>
  <si>
    <t>Tixier, Paul; Barbraud, Christophe; Pardo, Deborah; Gasco, Nicolas; Duhamel, Guy; Guinet, Christophe</t>
  </si>
  <si>
    <t>Demographic consequences of fisheries interaction within a killer whale (Orcinus orca) population</t>
  </si>
  <si>
    <t>SOUTHEASTERN BERING-SEA; CAPTURE-RECAPTURE DATA; LONGLINE FISHERY; BLUEFIN TUNA; SPERM-WHALES; SURVIVAL; CROZET; DEPREDATION; SOUTHERN; DYNAMICS</t>
  </si>
  <si>
    <t>Individual heterogeneity in foraging behavior has been widely documented within predator populations. In highly social apex predators such as killer whales (Orcinus orca), specialization may occur at the matriline level. A small population of killer whales has been documented to occur around the Crozet Islands. These whales feed on a wide range of prey items including seals, penguins and large whales, as well as depredate the local Patagonian toothfish (Dissostichus eleginoides) longline fishery. The level of interactions with fisheries varies greatly between matrilines. Here, we present the results on the effects of such behavioral heterogeneity on the demographic trends of this killer whale population. We used photo-identification data from 1977 to 2011 in a mark-recapture framework to test the effect of varying levels of fisheries interactions on adult survival. We documented significant differences in survival between depredating and non-depredating whales, resulting in divergent intra-population demographic trends. These differences showed low survival, and thus a negative effect, for depredating whales when illegal fishing occurred (poachers used lethal methods to deter killer whales from depredating longlines). After illegal fishing stopped (2003-2011), the survival rates of depredating individuals exceeded the survival rates of non-depredating individuals, suggesting a positive influence of artificial food provisioning. This effect was further supported by a higher population growth rate for depredating whales. This study highlights the potential demographic costs and benefits that cetaceans face from depredating fisheries and addresses the demographic consequences of both intra-population feeding specialization and the influence of anthropogenic changes in resource availability.</t>
  </si>
  <si>
    <t>[Tixier, Paul; Barbraud, Christophe; Guinet, Christophe] CNRS, CEBC, F-79360 Villiers En Bois, France; [Tixier, Paul; Barbraud, Christophe; Guinet, Christophe] Univ La Rochelle, UMR 7372, F-79360 Villiers En Bois, France; [Tixier, Paul] Deakin Univ, Fac Sci Engn &amp; Built Environm, Sch Life &amp; Environm Sci, Melbourne Burwood Campus,221 Burwood Highway, Burwood, Vic 3125, Australia; [Pardo, Deborah] British Antarctic Survey, High Cross Madingley Rd, Cambridge CB3 0ET, England; [Gasco, Nicolas; Duhamel, Guy] Museum Natl Hist Nat, Dept Milieux &amp; Peuplements Aquat, 43 Rue Cuvier, F-75005 Paris, France</t>
  </si>
  <si>
    <t>Centre National de la Recherche Scientifique (CNRS); Centre National de la Recherche Scientifique (CNRS); CNRS - Institute of Ecology &amp; Environment (INEE); La Rochelle Universite; Deakin University; UK Research &amp; Innovation (UKRI); Natural Environment Research Council (NERC); NERC British Antarctic Survey; Museum National d'Histoire Naturelle (MNHN)</t>
  </si>
  <si>
    <t>Tixier, P (corresponding author), CNRS, CEBC, F-79360 Villiers En Bois, France.;Tixier, P (corresponding author), Univ La Rochelle, UMR 7372, F-79360 Villiers En Bois, France.;Tixier, P (corresponding author), Deakin Univ, Fac Sci Engn &amp; Built Environm, Sch Life &amp; Environm Sci, Melbourne Burwood Campus,221 Burwood Highway, Burwood, Vic 3125, Australia.</t>
  </si>
  <si>
    <t>paul.tixier@gmail.com</t>
  </si>
  <si>
    <t>Barbraud, Christophe/A-5870-2012; Tixier, Paul/AFU-7272-2022; Guinet, Christophe/AAR-8457-2020</t>
  </si>
  <si>
    <t>Barbraud, Christophe/0000-0003-0146-212X; Tixier, Paul/0000-0002-7325-3573</t>
  </si>
  <si>
    <t>French fishing association (SARPC); TAAF administration [782095]; Secretariat d'etat charge de l'Outre Mer [782135]; NERC [bas0100035] Funding Source: UKRI; Natural Environment Research Council [bas0100035] Funding Source: researchfish</t>
  </si>
  <si>
    <t>French fishing association (SARPC); TAAF administration; Secretariat d'etat charge de l'Outre Mer; NERC(UK Research &amp; Innovation (UKRI)Natural Environment Research Council (NERC)); Natural Environment Research Council(UK Research &amp; Innovation (UKRI)Natural Environment Research Council (NERC))</t>
  </si>
  <si>
    <t>The first author was financially supported by the French fishing association (SARPC), the TAAF administration (contract number 782095), and the Secretariat d'etat charge de l'Outre Mer (contract number 782135).</t>
  </si>
  <si>
    <t>10.1007/s00227-017-3195-9</t>
  </si>
  <si>
    <t>FB6VJ</t>
  </si>
  <si>
    <t>WOS:000406280200014</t>
  </si>
  <si>
    <t>Thabet, AA; Maas, AE; Saber, SA; Tarrant, AM</t>
  </si>
  <si>
    <t>Thabet, Ali A.; Maas, Amy E.; Saber, Samy A.; Tarrant, Ann M.</t>
  </si>
  <si>
    <t>Assembly of a reference transcriptome for the gymnosome pteropod Clione limacina and profiling responses to short-term CO2 exposure</t>
  </si>
  <si>
    <t>Ocean acidification; Zooplankton; Gene expression; Next generation sequencing; Mollusc; Invertebrate</t>
  </si>
  <si>
    <t>OCEAN ACIDIFICATION; ANTARCTIC PTEROPOD; MOLLUSK; GABA; HELICINA; SEAWATER; BEHAVIOR; METAMORPHOSIS; DISSOCIATION; DISSOLUTION</t>
  </si>
  <si>
    <t>The gymnosome (unshelled) pteropod Clione limacina is a pelagic predatory mollusc found in polar and sub-polar regions. It has been studied for its distinctive swimming behavior and as an obligate predator on the closely related thecosome (shelled) pteropods. As concern about ocean acidification increases, it becomes useful to compare the physiological responses of closely-related calcifying and non-calcifying species to acidification. The goals of this study were thus to generate a reference transcriptome for Clione limacina, to expose individuals to CO2 for a period of 3 days, and to explore differential patterns of gene expression. Our Trinity assembly contained 300,994 transcripts of which 26% could be annotated. In total, only 41 transcripts were differentially expressed following the CO2 treatment, consistent with a limited physiological response of this species to short-term CO2 exposure. The differentially expressed genes identified in our study were largely distinct from those identified in previous studies of thecosome pteropods, although some similar transcripts were identified, suggesting that comparison of these transcriptomes and responses may provide insight into differences in responses to ocean acidification among phylogenetically and functionally distinct molluscan lineages. (C) 2017 Elsevier B.V. All rights reserved.</t>
  </si>
  <si>
    <t>[Thabet, Ali A.; Maas, Amy E.; Tarrant, Ann M.] Woods Hole Oceanog Inst, Biol Dept, Woods Hole, MA 02543 USA; [Thabet, Ali A.] Al Azhar Univ Assiut, Fac Sci, Zool Dept, Assiut, Egypt; [Maas, Amy E.] Bermuda Inst Ocean Sci, St Georges GE01, Bermuda; [Saber, Samy A.] Al Azhar Univ, Fac Sci, Zool Dept, Cairo, Egypt</t>
  </si>
  <si>
    <t>Woods Hole Oceanographic Institution; Egyptian Knowledge Bank (EKB); Assiut University; Al Azhar University; Bermuda Institute of Ocean Sciences; Egyptian Knowledge Bank (EKB); Al Azhar University</t>
  </si>
  <si>
    <t>Tarrant, AM (corresponding author), Woods Hole Oceanog Inst, Biol Dept, Woods Hole, MA 02543 USA.</t>
  </si>
  <si>
    <t>atarrant@whoi.edu</t>
  </si>
  <si>
    <t>Maas, Amy/AAC-1181-2022; Tarrant, Ann/AAU-8263-2021</t>
  </si>
  <si>
    <t>Maas, Amy/0000-0002-3730-2876; Tarrant, Ann/0000-0002-1909-7899; Thabet, Ali/0009-0009-8752-917X; Saber, Samy/0000-0002-4025-8984</t>
  </si>
  <si>
    <t>Egyptian Culture and Education Bureau; National Science Foundation [OCE-1316040]; Division Of Ocean Sciences; Directorate For Geosciences [1316040] Funding Source: National Science Foundation</t>
  </si>
  <si>
    <t>Egyptian Culture and Education Bureau(Egyptian Cultural &amp; Educational Bureau); National Science Foundation(National Science Foundation (NSF)); Division Of Ocean Sciences; Directorate For Geosciences(National Science Foundation (NSF)NSF - Directorate for Geosciences (GEO))</t>
  </si>
  <si>
    <t>A. Thabet is grateful for a fellowship from the Egyptian Culture and Education Bureau and for mentoring from Drs. M.M. Sarhan and M.M. Fouda. We also thank two anonymous reviewers for constructive comments that improved the manuscript. Funding for this research was provided by a National Science Foundation grant to Lawson, Maas, and Tarrant (OCE-1316040). Additional support for field sampling was provided by the Tom Haas Fund at the New Hampshire Charitable Foundation.</t>
  </si>
  <si>
    <t>10.1016/j.margen.2017.03.003</t>
  </si>
  <si>
    <t>FD3CI</t>
  </si>
  <si>
    <t>WOS:000407410700008</t>
  </si>
  <si>
    <t>Hearty, PJ; Tormey, BR</t>
  </si>
  <si>
    <t>Hearty, P. J.; Tormey, B. R.</t>
  </si>
  <si>
    <t>Sea-level change and superstorms; geologic evidence from the last interglacial (MIS 5e) in the Bahamas and Bermuda offers ominous prospects for a warming Earth</t>
  </si>
  <si>
    <t>MIS 5e sea-level rise; Superstorms; Megaboulders Chevrons; Wave runup; Climate change</t>
  </si>
  <si>
    <t>INDUCED SEDIMENTARY STRUCTURES; ELEVATED MARINE DEPOSITS; AMINO-ACID RACEMIZATION; CARBONATE SAND BODIES; DATED CORAL TERRACES; U-SERIES; TSUNAMI DEPOSITS; NORTH-ATLANTIC; ICE-SHEET; PALEOCLIMATIC SIGNIFICANCE</t>
  </si>
  <si>
    <t>Geological observations from last interglacial (LIG; MIS 5e, Eemian) carbonate landscapes in the Bahamas and Bermuda reveal a turbulent climate transition at the close of the peak interglacial. The interval is associated with rapid, multi-meter shifts in sea level as major ice sheets melted and/or collapsed. Sedimentary evidence from the eastern Bahamas includes wave-transported megaboulders, lowland chevron storm ridges, and hillside runup deposits. This trilogy collectively provides direct geological evidence of frequent, intense storms generating sustained long-period waves from the northeast Atlantic Ocean. Penecontemporaneous with wave deposits is the subtidal production and flux of a massive volume of ooid sediments associated with amplified winds and storminess during the latter half of MIS 5e that resulted in exponential island growth. Steeper temperature and pressure gradients were evident in the North Atlantic Ocean, while the Southern Ocean appears to have had a major role in affecting atmospheric CO2, as warming of the Southern Ocean drives ventilation of the deep ocean. CO2 in turn, acts as a tight control knob on global climate. The dramatic oceanographic and island building events of late MIS 5e are unique among other interglacial periods of the past half million years. The LIG record reveals that strong climate forcing is not required to yield major impacts on the ocean and ice caps. Antarctic ice cores document that LIG atmospheric CO2 was 275 ppm, while global temperature was &lt; 1 degrees C warmer than present. Despite only slightly warmer conditions than pre-Industrial times, relative sea level (RSL) persisted at + 2-3 m for several thousand years during the early and mid LIG. Later in the LIG, sea level abruptly rose an additional 3-5 m meters to + 6-9 m RSL. In terms of Lyellian uniformitarian principles, the trilogy of coeval deposits of MIS 5e described herein do not translate to our modern climate parameters, and further cannot be explained by coincidental megatsunami. In our industrial world, rapidly increasing atmospheric CO2 rates ( &gt; 2 ppm/yr) have surpassed 408 ppm, levels not achieved since the Pliocene 3 Ma ago, while global temperature increased similar to 1 degrees C since the 1870s. With greatly increased CO2 forcing at unmatched rates, except perhaps during global extinction events, dramatic change is certain. In the interest of our future world, we must seek to understand the complex set of linked natural events and field observations that are revealed in the geology of past warmer climates.</t>
  </si>
  <si>
    <t>[Tormey, B. R.] Western Carolina Univ, Program Study Developed Shorelines, Cullowhee, NC 28723 USA</t>
  </si>
  <si>
    <t>University of North Carolina; Western Carolina University</t>
  </si>
  <si>
    <t>kaisdad04@gmail.com; btormey@wcu.edu</t>
  </si>
  <si>
    <t>NSF [OCE-1202632]; U. North Carolina at Wilmington; ministry of the Bahamas Government; ministry of the Bermuda Government; Bahamas National Trust; University of the Bahamas; J. Hansen and Climate Science Awareness and Solutions (Columbia U.); C. Kerans and U. Texas Jackson School of Geosciences; J. Markello and the ExxonMobil Upstream Research - Carbonates Group; Western Carolina U. graduates B. Donovan; Southeast Section of the Geological Society of America</t>
  </si>
  <si>
    <t>NSF(National Science Foundation (NSF)); U. North Carolina at Wilmington; ministry of the Bahamas Government; ministry of the Bermuda Government; Bahamas National Trust; University of the Bahamas; J. Hansen and Climate Science Awareness and Solutions (Columbia U.); C. Kerans and U. Texas Jackson School of Geosciences; J. Markello and the ExxonMobil Upstream Research - Carbonates Group(Exxon Mobil Corporation); Western Carolina U. graduates B. Donovan; Southeast Section of the Geological Society of America</t>
  </si>
  <si>
    <t>We greatly appreciate the inspiration and contributions over the past decades of J.T. Hollin (U. Colorado, INSTAAR, deceased), A.C. Neumann (UNC Chapel Hill), D.S. Kaufman (Northern Arizona U.), S.L. Olson (Smithsonian Institution), and D. Wingate (Conservation, Bermuda). R. Cox and her Williams College, MA team collected the flowstone samples with help from K. Hearty and the first author. We are enormously grateful to H. Cheng and L. Edwards (U. Minnesota) for the U/Th analyses. We also thank several ministries of the Bahamas and Bermuda Governments, The Bahamas National Trust, The University of the Bahamas, J. Hansen and Climate Science Awareness and Solutions (Columbia U.), C. Kerans and U. Texas Jackson School of Geosciences, J. Markello and the ExxonMobil Upstream Research - Carbonates Group, Western Carolina U. graduates B. Donovan, L. Gamble, and R. LeBlanc, and the Southeast Section of the Geological Society of America for its support of undergraduate research. Bermuda fieldwork was partially supported by NSF OCE-1202632 while recent work in Eleuthera was partially supported by a small grant to PJH from U. North Carolina at Wilmington. The manuscript was significantly improved by the constructive comments of three anonymous reviewers.</t>
  </si>
  <si>
    <t>10.1016/j.margeo.2017.05.009</t>
  </si>
  <si>
    <t>FK3JQ</t>
  </si>
  <si>
    <t>WOS:000413381800026</t>
  </si>
  <si>
    <t>Watson, RA; Nichols, R; Lam, VWY; Sumaila, UR</t>
  </si>
  <si>
    <t>Watson, Reg A.; Nichols, R.; Lam, V. W. Y.; Sumaila, U. R.</t>
  </si>
  <si>
    <t>Global seafood trade flows and developing economies: Insights from linking trade and production</t>
  </si>
  <si>
    <t>MARINE POLICY</t>
  </si>
  <si>
    <t>Global seafood trade; Global fisheries; Seafood value; Developing nations; Access agreements</t>
  </si>
  <si>
    <t>FOOD SECURITY; FISHING ACCESS; FISHERIES; SUSTAINABILITY; AGREEMENTS; OCEANS</t>
  </si>
  <si>
    <t>Knowing the patterns of marine resource exploitation and seafood trade may help countries to design their future strategic plans and development policies. To fully understand these patterns, it is necessary to identify where the benefits accumulate, how balanced the arrangements are, and how the pattern is evolving over time. Here the flow of global seafood was traced from locations of capture or production to their countries of consumption using novel approaches and databases. Results indicate an increasing dominance of Asian fleets by the volume of catch from the 1950s to the 2010s, including fishing in the high seas. The majority of landings were by high-income countries' fishing fleets in their own waters in the 1950s but this pattern was greatly altered by the 2010s, with more equality in landings volume and value by fleets representing different income levels. Results also show that the higher the income of a country, the more valuable seafood it imports compared to its exports and vice versa. In theory, this implies that the lower income countries are exporting high value seafood in part to achieve the broader goal of ending poverty, while achieving the food security goal by retaining and importing lower value seafood. In the context of access arrangements between developed and developing countries, the results allow insights into the consequences of these shifting sources of income may have for goals such as poverty reduction and food security.</t>
  </si>
  <si>
    <t>[Watson, Reg A.] Univ Tasmania, Inst Marine &amp; Antarctic Studies, Private Bag 129, Hobart, Tas 7001, Australia; [Watson, Reg A.] Univ Tasmania, Ctr Marine Socioecol, GPO Box 252-49, Hobart, Tas 7001, Australia; [Nichols, R.] Univ Tasmania, Tasmanian Sch Business andEcon, Private Bag 84, Hobart, Tas 7001, Australia; [Lam, V. W. Y.] Univ British Columbia, Inst Oceans &amp; Fisheries, Nippon Fdn Nereus Program, Global Fisheries Cluster, Vancouver, BC V6T 1Z4, Canada; [Sumaila, U. R.] Univ British Columbia, Inst Oceans &amp; Fisheries, Fisheries Econ Res Unit &amp; OceanCanada Partnership, Global Fisheries Cluster, Vancouver, BC V6T 1Z4, Canada; [Sumaila, U. R.] Univ British Columbia, Liu Inst Global Issues, Vancouver, BC V6T 1Z4, Canada</t>
  </si>
  <si>
    <t>University of Tasmania; University of Tasmania; University of Tasmania; University of British Columbia; University of British Columbia; University of British Columbia</t>
  </si>
  <si>
    <t>Watson, RA (corresponding author), Univ Tasmania, Inst Marine &amp; Antarctic Studies, Private Bag 129, Hobart, Tas 7001, Australia.</t>
  </si>
  <si>
    <t>rwatson@ecomarres.com</t>
  </si>
  <si>
    <t>Lam, Vicky/AAX-1684-2020; Lam, Vy/KBQ-7534-2024; Watson, Reg A/F-4850-2012; Sumaila, U. Rashid/ABE-6475-2020; Nichols, Rachel/I-6385-2016</t>
  </si>
  <si>
    <t>Watson, Reg A/0000-0001-7201-8865; Nichols, Rachel/0000-0001-5386-4994</t>
  </si>
  <si>
    <t>Australian Research Council [DP140101377]; Social Sciences and Humanities Research Council of Canada (SSHRC); Wellcome Trust [106864MA]</t>
  </si>
  <si>
    <t>Australian Research Council(Australian Research Council); Social Sciences and Humanities Research Council of Canada (SSHRC)(Social Sciences and Humanities Research Council of Canada (SSHRC)CGIAR); Wellcome Trust(Wellcome Trust)</t>
  </si>
  <si>
    <t>R. Watson acknowledges support from the Australian Research Council (Discovery project DP140101377). U.R. Sumaila acknowledges the Social Sciences and Humanities Research Council of Canada (SSHRC) for its support of the OceanCanada Partnership. V. W. Y. Lam acknowledges funding support from Wellcome Trust [grant #106864MA]. We are grateful to G. Nowara for editorial assistance.</t>
  </si>
  <si>
    <t>0308-597X</t>
  </si>
  <si>
    <t>1872-9460</t>
  </si>
  <si>
    <t>MAR POLICY</t>
  </si>
  <si>
    <t>Mar. Pol.</t>
  </si>
  <si>
    <t>10.1016/j.marpol.2017.04.017</t>
  </si>
  <si>
    <t>Environmental Studies; International Relations</t>
  </si>
  <si>
    <t>Environmental Sciences &amp; Ecology; International Relations</t>
  </si>
  <si>
    <t>EZ1SG</t>
  </si>
  <si>
    <t>WOS:000404490500006</t>
  </si>
  <si>
    <t>Younger, JL; Clucas, GV; Kao, DM; Rogers, AD; Gharbi, K; Hart, T; Miller, KJ</t>
  </si>
  <si>
    <t>Younger, Jane L.; Clucas, Gemma V.; Kao, Damian; Rogers, Alex D.; Gharbi, Karim; Hart, Tom; Miller, Karen J.</t>
  </si>
  <si>
    <t>The challenges of detecting subtle population structure and its importance for the conservation of emperor penguins</t>
  </si>
  <si>
    <t>Antarctica; dispersal; population genomics; RAD-seq; Ross Sea; Southern Ocean</t>
  </si>
  <si>
    <t>GENETIC DIFFERENTIATION; MIGRATION RATES; CLIMATE-CHANGE; UNSAMPLED POPULATIONS; POINTE GEOLOGIE; F-ST; DISPERSAL; RESPONSES; GENOMICS; PERFORMANCE</t>
  </si>
  <si>
    <t>Understanding the boundaries of breeding populations is of great importance for conservation efforts and estimates of extinction risk for threatened species. However, determining these boundaries can be difficult when population structure is subtle. Emperor penguins are highly reliant on sea ice, and some populations may be in jeopardy as climate change alters sea-ice extent and quality. An understanding of emperor penguin population structure is therefore urgently needed. Two previous studies have differed in their conclusions, particularly whether the Ross Sea, a major stronghold for the species, is isolated or not. We assessed emperor penguin population structure using 4,596 genome-wide single nucleotide polymorphisms (SNPs), characterized in 110 individuals (10-16 per colony) from eight colonies around Antarctica. In contrast to a previous conclusion that emperor penguins are panmictic around the entire continent, we find that emperor penguins comprise at least four metapopulations, and that the Ross Sea is clearly a distinct metapopulation. Using larger sample sizes and a thorough assessment of the limitations of different analytical methods, we have shown that population structure within emperor penguins does exist and argue that its recognition is vital for the effective conservation of the species. We discuss the many difficulties that molecular ecologists and managers face in the detection and interpretation of subtle population structure using large SNP data sets, and argue that subtle structure should be taken into account when determining management strategies for threatened species, until accurate estimates of demographic connectivity among populations can be made.</t>
  </si>
  <si>
    <t>[Younger, Jane L.; Clucas, Gemma V.; Kao, Damian; Rogers, Alex D.; Hart, Tom] Univ Oxford, Dept Zool, Oxford, England; [Younger, Jane L.] Loyola Univ, Dept Biol, Chicago, IL 60626 USA; [Clucas, Gemma V.] Univ Southampton, Ocean &amp; Earth Sci, Waterfront Campus, Southampton, Hants, England; [Clucas, Gemma V.] Univ New Hampshire, Dept Nat Resources &amp; Environm, Durham, NH 03824 USA; [Gharbi, Karim] Univ Edinburgh, Ashworth Labs, Edinburgh Genom, Edinburgh, Midlothian, Scotland; [Miller, Karen J.] Univ Western Australia, Indian Ocean Marine Res Ctr, Australian Inst Marine Sci, MO96, Crawley, WA, Australia</t>
  </si>
  <si>
    <t>University of Oxford; Loyola University Chicago; University of Southampton; University System Of New Hampshire; University of New Hampshire; University of Edinburgh; Australian Institute of Marine Science; University of Western Australia</t>
  </si>
  <si>
    <t>Younger, JL; Clucas, GV (corresponding author), Univ Oxford, Dept Zool, Oxford, England.</t>
  </si>
  <si>
    <t>jyounger@luc.edu; gemma.clucas@unh.edu</t>
  </si>
  <si>
    <t>Gharbi, Karim/C-5771-2012; Clucas, Gemma/ABF-9073-2021; Miller, Karen/V-4098-2019</t>
  </si>
  <si>
    <t>Gharbi, Karim/0000-0003-1092-4488; Rogers, Alex David/0000-0002-4864-2980; Clucas, Gemma/0000-0002-4305-1719; Younger, Jane/0000-0001-5974-7350</t>
  </si>
  <si>
    <t>Australian Antarctic Science Program; Holsworth Wildlife Research Endowment; Sea World Research and Rescue Foundation; Natural Environment Research Council; Endeavour Research Fellowship; Darwin Initiative [DPLUS 002]; NSF [DPP-87-15864]; Charities Advisory Trust; Australian Antarctic Division; NERC [NBAF010003, NE/L01288X/1] Funding Source: UKRI; Natural Environment Research Council [NE/L01288X/1, NBAF010003] Funding Source: researchfish</t>
  </si>
  <si>
    <t>Australian Antarctic Science Program; Holsworth Wildlife Research Endowment; Sea World Research and Rescue Foundation; Natural Environment Research Council(UK Research &amp; Innovation (UKRI)Natural Environment Research Council (NERC)); Endeavour Research Fellowship; Darwin Initiative; NSF(National Science Foundation (NSF)); Charities Advisory Trust; Australian Antarctic Division; NERC(UK Research &amp; Innovation (UKRI)Natural Environment Research Council (NERC)); Natural Environment Research Council(UK Research &amp; Innovation (UKRI)Natural Environment Research Council (NERC))</t>
  </si>
  <si>
    <t>Australian Antarctic Science Program; Holsworth Wildlife Research Endowment; Sea World Research and Rescue Foundation; Natural Environment Research Council; Endeavour Research Fellowship; The Darwin Initiative, Grant/Award Number: DPLUS 002; NSF Creative Science Award, Grant/Award Number: DPP-87-15864; Charities Advisory Trust; Australian Antarctic Division</t>
  </si>
  <si>
    <t>10.1111/mec.14172</t>
  </si>
  <si>
    <t>FB8AM</t>
  </si>
  <si>
    <t>Green Published, Green Accepted, Bronze</t>
  </si>
  <si>
    <t>WOS:000406361200005</t>
  </si>
  <si>
    <t>Hogg, AE; Gudmundsson, GH</t>
  </si>
  <si>
    <t>Hogg, Anna E.; Gudmundsson, G. Hilmar</t>
  </si>
  <si>
    <t>COMMENTARY: Impacts of the Larsen-C Ice Shelf calving event</t>
  </si>
  <si>
    <t>ANTARCTIC PENINSULA; COLLAPSE; STABILITY</t>
  </si>
  <si>
    <t>A giant iceberg has calved off the Larsen-C Ice Shelf, the largest remaining ice shelf on the Antarctic Peninsula, reducing its total area by similar to 10%. Whilst calving events are a natural phenomenon and thus not necessarily indicative of changing environmental conditions, such events can impact ice-shelf stability.</t>
  </si>
  <si>
    <t>[Hogg, Anna E.] Univ Leeds, Sch Earth &amp; Environm, Ctr Polar Observat &amp; Modelling, Leeds LS2 9JT, W Yorkshire, England; [Gudmundsson, G. Hilmar] British Antarctic Survey, Madingley Rd, Cambridge CB3 0ET, England</t>
  </si>
  <si>
    <t>University of Leeds; UK Research &amp; Innovation (UKRI); Natural Environment Research Council (NERC); NERC British Antarctic Survey</t>
  </si>
  <si>
    <t>Hogg, AE (corresponding author), Univ Leeds, Sch Earth &amp; Environm, Ctr Polar Observat &amp; Modelling, Leeds LS2 9JT, W Yorkshire, England.</t>
  </si>
  <si>
    <t>a.e.hogg@leeds.ac.uk</t>
  </si>
  <si>
    <t>Gudmundsson, Gudmundur Hilmar/AAU-5987-2020</t>
  </si>
  <si>
    <t>Gudmundsson, Gudmundur Hilmar/0000-0003-4236-5369</t>
  </si>
  <si>
    <t>European Space Agency [4000112797/15/I-SBo]; University of Leeds; British Antarctic Survey; NERC Centre for Polar Observation and Modelling [cpom30001]; Natural Environment Research Council [1053020, bas0100034, cpom30001] Funding Source: researchfish; NERC [cpom30001, bas0100034] Funding Source: UKRI</t>
  </si>
  <si>
    <t>European Space Agency(European Space Agency); University of Leeds; British Antarctic Survey; NERC Centre for Polar Observation and Modelling; Natural Environment Research Council(UK Research &amp; Innovation (UKRI)Natural Environment Research Council (NERC)); NERC(UK Research &amp; Innovation (UKRI)Natural Environment Research Council (NERC))</t>
  </si>
  <si>
    <t>This work was led by an independent research fellowship (no. 4000112797/15/I-SBo) jointly funded by the European Space Agency, the University of Leeds, and the British Antarctic Survey, with the support of the NERC Centre for Polar Observation and Modelling from grant cpom30001. The authors gratefully acknowledge the ESA and the European Commission Copernicus programme for the use of Sentinel-1 data.</t>
  </si>
  <si>
    <t>10.1038/nclimate3359</t>
  </si>
  <si>
    <t>FC3ME</t>
  </si>
  <si>
    <t>WOS:000406742500005</t>
  </si>
  <si>
    <t>Spence, P; Holmes, RM; Hogg, AM; Griffies, SM; Stewart, KD; England, MH</t>
  </si>
  <si>
    <t>Spence, Paul; Holmes, Ryan M.; Hogg, Andrew McC.; Griffies, Stephen M.; Stewart, Kial D.; England, Matthew H.</t>
  </si>
  <si>
    <t>Localized rapid warming of West Antarctic subsurface waters by remote winds</t>
  </si>
  <si>
    <t>SEA-LEVEL RISE; ICE MASS-LOSS; KELVIN WAVES; OCEAN; VARIABILITY; PENINSULA; RETREAT; MODELS</t>
  </si>
  <si>
    <t>The highest rates of Antarctic glacial ice mass loss are occurring to the west of the Antarctica Peninsula in regions where warming of subsurface continental shelf waters is also largest. However, the physical mechanisms responsible for this warming remain unknown. Here we show how localized changes in coastal winds off East Antarctica can produce significant subsurface temperature anomalies (&gt;2 degrees C) around much of the continent. We demonstrate how coastal-trapped barotropic Kelvin waves communicate the wind disturbance around the Antarctic coastline. The warming is focused on the western flank of the Antarctic Peninsula because the circulation induced by the coastal-trapped waves is intensified by the steep continental slope there, and because of the presence of pre-existing warm subsurface water offshore. The adjustment to the coastal-trapped waves shoals the subsurface isotherms and brings warm deep water upwards onto the continental shelf and closer to the coast. This result demonstrates the vulnerability of the West Antarctic region to a changing climate.</t>
  </si>
  <si>
    <t>[Spence, Paul; Holmes, Ryan M.; England, Matthew H.] Univ New South Wales, ARC Ctr Excellence Climate Syst Sci, Sydney, NSW 2052, Australia; [Spence, Paul; Holmes, Ryan M.; England, Matthew H.] Univ New South Wales, Climate Change Res Ctr, Sydney, NSW 2052, Australia; [Holmes, Ryan M.] Univ New South Wales, Sch Math &amp; Stat, Sydney, NSW 2052, Australia; [Hogg, Andrew McC.; Stewart, Kial D.] Australian Natl Univ, ARC Ctr Excellence Climate Syst Sci, GPO Box 4, Canberra, ACT 2601, Australia; [Hogg, Andrew McC.; Stewart, Kial D.] Australian Natl Univ, Res Sch Earth Sci, GPO Box 4, Canberra, ACT 2601, Australia; [Griffies, Stephen M.] NOAA, Geophys Fluid Dynam Lab, Princeton, NJ 08540 USA</t>
  </si>
  <si>
    <t>ARC Centre of Excellence for Climate System Science; University of New South Wales Sydney; University of New South Wales Sydney; University of New South Wales Sydney; Australian National University; ARC Centre of Excellence for Climate System Science; Australian National University; National Oceanic Atmospheric Admin (NOAA) - USA</t>
  </si>
  <si>
    <t>Spence, P (corresponding author), Univ New South Wales, ARC Ctr Excellence Climate Syst Sci, Sydney, NSW 2052, Australia.;Spence, P (corresponding author), Univ New South Wales, Climate Change Res Ctr, Sydney, NSW 2052, Australia.</t>
  </si>
  <si>
    <t>paul.spence@unsw.edu.au</t>
  </si>
  <si>
    <t>Hogg, Andy McC./A-7553-2011; Holmes, Ryan/J-3024-2019; Griffies, Stephen Matthew/N-9144-2019; England, Matthew/A-7539-2011; Hogg, Andy/AAZ-8733-2021; Spence, Paul/IZE-7366-2023; Stewart, Kial/P-6684-2016</t>
  </si>
  <si>
    <t>Hogg, Andy McC./0000-0001-5898-7635; Holmes, Ryan/0000-0002-6799-9109; Griffies, Stephen Matthew/0000-0002-3711-236X; England, Matthew/0000-0001-9696-2930; Hogg, Andy/0000-0001-5898-7635; Spence, Paul/0000-0001-5156-2204; Stewart, Kial/0000-0002-9947-1958</t>
  </si>
  <si>
    <t>Australian Commonwealth Government; Australian Research Council (ARC) DECRA Fellowship [DE150100223]; ARC Future Fellowship [FT120100842]; ARC Laureate Fellowship [FL100100214]; ARC Discovery Project [DP150101331]</t>
  </si>
  <si>
    <t>Australian Commonwealth Government(Australian Government); Australian Research Council (ARC) DECRA Fellowship(Australian Research Council); ARC Future Fellowship(Australian Research Council); ARC Laureate Fellowship(Australian Research Council); ARC Discovery Project(Australian Research Council)</t>
  </si>
  <si>
    <t>This research was undertaken on the National Computational Infrastructure (NCI) in Canberra, Australia, which is supported by the Australian Commonwealth Government. Thanks to S. Ramsden and the NCI Vizlab for helping with the schematic in Fig. 5. Thanks to NOAA/GFDL for helping with model developments. Thanks to N. Jourdain for providing Supplementary Fig. 1 and helpful comments. Thanks to E. Bergkamp for investigating baroclinic modes in idealized simulations and to O. Saenko, J. Le Sommer, A. Stewart, J. Fyke, R. Hallberg, C. Dufour, G. Marques and P. Goddard for helpful comments. P.S. was supported by an Australian Research Council (ARC) DECRA Fellowship DE150100223, A.M.H. by an ARC Future Fellowship FT120100842 and M.H.E. by an ARC Laureate Fellowship FL100100214 and R.M.H. by an ARC Discovery Project DP150101331.</t>
  </si>
  <si>
    <t>10.1038/NCLIMATE3335</t>
  </si>
  <si>
    <t>WOS:000406742500021</t>
  </si>
  <si>
    <t>Michaud, AB; Dore, JE; Achberger, AM; Christner, BC; Mitchell, AC; Skidmore, ML; Vick-Majors, TJ; Priscu, JC</t>
  </si>
  <si>
    <t>Michaud, Alexander B.; Dore, John E.; Achberger, Amanda M.; Christner, Brent C.; Mitchell, Andrew C.; Skidmore, Mark L.; Vick-Majors, Trista J.; Priscu, John C.</t>
  </si>
  <si>
    <t>Microbial oxidation as a methane sink beneath the West Antarctic Ice Sheet</t>
  </si>
  <si>
    <t>METHANOTROPHIC BACTERIA; CARBON; HYDROGEN; ENERGY; RATES; DIVERSITY; SEDIMENTS; WHILLANS; ECOLOGY; ARCHAEA</t>
  </si>
  <si>
    <t>Aquatic habitats beneath ice masses contain active microbial ecosystems capable of cycling important greenhouse gases, such as methane (CH4). A large methane reservoir is thought to exist beneath the West Antarctic Ice Sheet, but its quantity, source and ultimate fate are poorly understood. For instance, O-2 supplied by basal melting should result in conditions favourable for aerobic methane oxidation. Here we use measurements of methane concentrations and stable isotope compositions along with genomic analyses to assess the sources and cycling of methane in Subglacial Lake Whillans (SLW) in West Antarctica. We show that sub-ice-sheet methane is produced through the biological reduction of CO2 using H-2. This methane pool is subsequently consumed by aerobic, bacterial methane oxidation at the SLW sediment-water interface. Bacterial oxidation consumes &gt;99% of the methane and represents a significant methane sink, and source of biomass carbon and metabolic energy to the surficial SLW sediments. We conclude that aerobic methanotrophy may mitigate the release of methane to the atmosphere upon subglacial water drainage to ice sheet margins and during periods of deglaciation.</t>
  </si>
  <si>
    <t>[Michaud, Alexander B.; Dore, John E.; Vick-Majors, Trista J.; Priscu, John C.] Montana State Univ, Dept Land Resources &amp; Environm Sci, Bozeman, MT 59717 USA; [Achberger, Amanda M.; Christner, Brent C.] Louisiana State Univ, Dept Biol Sci, Baton Rouge, LA 70803 USA; [Christner, Brent C.] Univ Florida, Dept Microbiol &amp; Cell Sci, Gainesville, FL 32611 USA; [Mitchell, Andrew C.] Aberystwyth Univ, Dept Geog &amp; Earth Sci, Aberystwyth SY23 3DB, Dyfed, Wales; [Skidmore, Mark L.] Montana State Univ, Dept Earth Sci, Bozeman, MT 59717 USA; [Michaud, Alexander B.] Aarhus Univ, Dept Biosci, Ctr Geomicrobiol, DK-8000 Aarhus C, Denmark; [Achberger, Amanda M.] Texas A&amp;M Univ, Dept Oceanog, College Stn, TX 77840 USA; [Vick-Majors, Trista J.] Univ Quebec, Dept Sci Biol, Case Postale 8888,Succursale Ctr Ville, Montreal, PQ H3C 3P8, Canada</t>
  </si>
  <si>
    <t>Montana State University System; Montana State University Bozeman; Louisiana State University System; Louisiana State University; State University System of Florida; University of Florida; Aberystwyth University; Montana State University System; Montana State University Bozeman; Aarhus University; Texas A&amp;M University System; Texas A&amp;M University College Station; University of Quebec; University of Quebec Montreal</t>
  </si>
  <si>
    <t>Michaud, AB; Priscu, JC (corresponding author), Montana State Univ, Dept Land Resources &amp; Environm Sci, Bozeman, MT 59717 USA.;Michaud, AB (corresponding author), Aarhus Univ, Dept Biosci, Ctr Geomicrobiol, DK-8000 Aarhus C, Denmark.</t>
  </si>
  <si>
    <t>a.b.michaud@gmail.com; jpriscu@montana.edu</t>
  </si>
  <si>
    <t>Vick-Majors, Trista/AAQ-6258-2020; Michaud, Alex/AAC-4890-2020; Skidmore, Mark L/I-4317-2018</t>
  </si>
  <si>
    <t>Vick-Majors, Trista/0000-0002-6868-4010; Michaud, Alex/0000-0001-5714-8741; Achberger, Amanda/0000-0001-5738-2255</t>
  </si>
  <si>
    <t>National Science Foundation - Division of Polar Programs as part of the Whillans Ice Stream Subglacial Access Research Drilling (WISSARD) project [0838933, 1346250, 1439774, 0838941]; NSF-IGERT Program [0654336]; Montana Space Grant Consortium; NSF-Center for Dark Energy Biosphere Investigations; American Association of University Women; NSF; Ser Cymru National Research Network for Low Carbon, Energy and the Environment Grant from the Welsh Government; Higher Education Funding Council for Wales; Direct For Education and Human Resources; Division Of Graduate Education [0654336] Funding Source: National Science Foundation; Directorate For Geosciences; Office of Polar Programs (OPP) [1439774] Funding Source: National Science Foundation; Division Of Polar Programs; Directorate For Geosciences [0838933, 1346250] Funding Source: National Science Foundation; Division Of Polar Programs; Directorate For Geosciences [0838941] Funding Source: National Science Foundation</t>
  </si>
  <si>
    <t>National Science Foundation - Division of Polar Programs as part of the Whillans Ice Stream Subglacial Access Research Drilling (WISSARD) project; NSF-IGERT Program(National Science Foundation (NSF)); Montana Space Grant Consortium; NSF-Center for Dark Energy Biosphere Investigations; American Association of University Women; NSF(National Science Foundation (NSF)); Ser Cymru National Research Network for Low Carbon, Energy and the Environment Grant from the Welsh Government; Higher Education Funding Council for Wales(UK Research &amp; Innovation (UKRI)Higher Education Funding Council for England (HEFCE)); Direct For Education and Human Resources; Division Of Graduate Education(National Science Foundation (NSF)NSF - Directorate for STEM Education (EDU)); Directorate For Geosciences; Office of Polar Programs (OPP)(National Science Foundation (NSF)NSF - Directorate for Geosciences (GEO)); Division Of Polar Programs; Directorate For Geosciences(National Science Foundation (NSF)NSF - Directorate for Geosciences (GEO)); Division Of Polar Programs; Directorate For Geosciences(National Science Foundation (NSF)NSF - Directorate for Geosciences (GEO))</t>
  </si>
  <si>
    <t>This study was funded by National Science Foundation - Division of Polar Programs grants (0838933, 1346250, 1439774 to J.C.P.; 0838941 to B.C.C.) awarded as part of the Whillans Ice Stream Subglacial Access Research Drilling (WISSARD) project. We thank the WISSARD Science Team (see http://wissard.org for the full list of team members) for their assistance in expedition planning and with collecting and processing samples. Partial support was provided by graduate fellowships from the NSF-IGERT Program (0654336), Montana Space Grant Consortium and NSF-Center for Dark Energy Biosphere Investigations (A.B.M.); a dissertation grant from the American Association of University Women (T.J.V.-M.); a NSF-Graduate Research Fellowship (A.M.A.); and a Ser Cymru National Research Network for Low Carbon, Energy and the Environment Grant from the Welsh Government and Higher Education Funding Council for Wales (A.C.M.). We thank R. Scherer and R. Powell for sediment cores. B.B. Jorgensen, M.A. Lever and S. Nielsen provided support and assistance with DNA extraction and pmoA/mcrA amplification. Logistics were conducted by the 139th Expeditionary Airlift Squadron of the New York Air National Guard, Kenn Borek Air, and Antarctic Support Contractor, managed by Lockheed-Martin. Hot-water drill support was provided by University of Nebraska-Lincoln and directed by F. Rack and D. Duling (chief driller). D. Blythe, J. Burnett, C. Carpenter, D. Gibson, J. Lemery, A. Melby and G. Roberts provided drill support at SLW. This is C-DEBI contribution #371.</t>
  </si>
  <si>
    <t>10.1038/NGEO2992</t>
  </si>
  <si>
    <t>FC2BA</t>
  </si>
  <si>
    <t>WOS:000406641100013</t>
  </si>
  <si>
    <t>Belt, ST; Brown, TA; Smik, L; Tatarek, A; Wiktor, J; Stowasser, G; Assmy, P; Allen, CS; Husum, K</t>
  </si>
  <si>
    <t>Belt, Simon T.; Brown, Thomas A.; Smik, Lukas; Tatarek, Agnieszka; Wiktor, Jozef; Stowasser, Gabriele; Assmy, Philipp; Allen, Claire S.; Husum, Katrine</t>
  </si>
  <si>
    <t>Identification of C25 highly branched isoprenoid (HBI) alkenes in diatoms of the genus Rhizosolenia in polar and sub-polar marine phytoplankton</t>
  </si>
  <si>
    <t>ORGANIC GEOCHEMISTRY</t>
  </si>
  <si>
    <t>Highly branched isoprenoid; Alkene; Diatom; Biomarker; Rhizosolenia</t>
  </si>
  <si>
    <t>ARCTIC SEA-ICE; HASLEA-OSTREARIA SIMONSEN; ORGANIC-MATTER; PROXY IP25; STRUCTURAL-CHARACTERIZATION; ANTARCTIC PENINSULA; BIOMARKER IP25; SOUTHERN-OCEAN; SEDIMENTS; DISTRIBUTIONS</t>
  </si>
  <si>
    <t>We report the identification of a range of C-25 highly branched isoprenoid (HBI) alkenes and certain sterols in filtered phytoplankton samples obtained from western Svalbard (Arctic) and near South Georgia (South Atlantic, sub-Antarctic) in 2016 and 2014, respectively. The C-25 HBIs contained 3-5 double bonds and had structures identified previously from analysis of laboratory diatom cultures. The same HBIs were also identified in individual diatom taxa isolated from the mixed assemblages and with reasonably similar distributions. Thus, C-25 HBIs were identified in Rhizosolenia setigera isolated from western Svalbard near-surface waters, while the same HBIs were also found in R. polydactyla f. polydactyla and R. hebetata f. semispina picked from seawater collected from a site in the South Atlantic. The main sterol composition was slightly different between the two locations, with cholesta-5,24-dien-3 beta-ol (desmosterol) identified as one of the major components in the sample from West Svalbard, consistent with the diatom assemblage being dominated by R. setigera. In contrast, the major sterol in the South Atlantic sample was cholesta-5,22-dien-3 beta-ol (22-dehydrocholesterol), likely reflecting the relatively high proportion of the genus Pseudo-nitzschia. For both locations, the suite of HBIs included a tri-unsaturated isomer (HBI III; 6Z-2,6,10,14-tetramethyl-9-(30-methylpent-4-enylidene)-pentadec-6-ene), proposed in previous studies as a potential proxy measure of pelagic sea ice-edge conditions, and thus a counterpart to the mono-and di-unsaturated HBIs IP25 and IPSO25, which have been used as seasonal sea ice proxies in the Arctic and Antarctic, respectively. HBI III has been reported previously in sediments from West Svalbard and we report here its occurrence in a small number of surface sediments from the South Atlantic. For both regions, HBI III was present as one of the major HBIs in sediments, which contrasts with the HBI distributions in the filtered phytoplankton samples, where HBIs with four and five double bonds were the major components. Differences in HBI distributions between phytoplankton and sediment samples may potentially be due to the presence of other (unanalysed) diatoms in the filtered water samples, seasonal/ annual variability in the production of HBIs by a range of diatoms, differential degradation of HBIs between sources and sediments, or a combination of these. Interestingly, we did not detect any C-30 HBIs in the water samples, picked cells or sediments from either location, despite earlier reports of these lipids in laboratory cultures of R. setigera. This study represents the first source identification of certain C-25 HBI lipids under in situ pelagic conditions. (C) 2017 Elsevier Ltd. All rights reserved.</t>
  </si>
  <si>
    <t>[Belt, Simon T.; Brown, Thomas A.; Smik, Lukas] Univ Plymouth, Sch Geog Earth &amp; Environm Sci, Biogeochem Res Ctr, Plymouth PL4 8AA, Devon, England; [Brown, Thomas A.] Scottish Assoc Marine Sci, Marine Ecol &amp; Chem, Oban PA37 1QA, Argyll, Scotland; [Tatarek, Agnieszka; Wiktor, Jozef] Polish Acad Sci, Inst Oceanol, Powstancow Warszawy 55, PL-81712 Sopot, Poland; [Stowasser, Gabriele; Allen, Claire S.] British Antarctic Survey, Madingley Rd, Cambridge CB3 0ET, England; [Assmy, Philipp; Husum, Katrine] Norwegian Polar Res Inst, Fram Ctr, NO-9296 Tromso, Norway</t>
  </si>
  <si>
    <t>University of Plymouth; UHI Millennium Institute; Polish Academy of Sciences; Institute of Oceanology of the Polish Academy of Sciences; UK Research &amp; Innovation (UKRI); Natural Environment Research Council (NERC); NERC British Antarctic Survey; Norwegian Polar Institute</t>
  </si>
  <si>
    <t>Belt, ST (corresponding author), Univ Plymouth, Sch Geog Earth &amp; Environm Sci, Biogeochem Res Ctr, Plymouth PL4 8AA, Devon, England.</t>
  </si>
  <si>
    <t>sbelt@plymouth.ac.uk</t>
  </si>
  <si>
    <t>Husum, Katrine/HGD-4711-2022; Wiktor, Jozef/F-5055-2011</t>
  </si>
  <si>
    <t>Husum, Katrine/0000-0003-1380-5900; Smik, Lukas/0000-0003-2280-7342; Wiktor, Jozef/0000-0002-2344-0047; Tatarek, Agnieszka/0000-0003-1467-6362; Brown, Thomas/0000-0003-0322-474X; Stowasser, Gabriele/0000-0002-0595-0772</t>
  </si>
  <si>
    <t>University of Plymouth; Leverhulme Trust; NERC [bas0100035] Funding Source: UKRI; Natural Environment Research Council [bas0100035] Funding Source: researchfish</t>
  </si>
  <si>
    <t>University of Plymouth; Leverhulme Trust(Leverhulme Trust); NERC(UK Research &amp; Innovation (UKRI)Natural Environment Research Council (NERC)); Natural Environment Research Council(UK Research &amp; Innovation (UKRI)Natural Environment Research Council (NERC))</t>
  </si>
  <si>
    <t>This work was supported by the University of Plymouth and a Research Project Grant awarded by the Leverhulme Trust. The western Svalbard material was collected as part of the long-term monitoring of Kongsfjorden and neighbouring shelf by the Norwegian Polar Institute. Core sediments presented here from the South Atlantic were collected aboard the RRS James Clark Ross during cruise JR257 in 2012. We thank the Captain and crew of the RRS James Clark Ross and scientific party of JR257 and JR304 for their support. Finally, we thank the supportive and useful comments from two anonymous reviewers and the Associate Editor (Dr. Mark Yunker), which helped to improve the clarity of this manuscript.</t>
  </si>
  <si>
    <t>0146-6380</t>
  </si>
  <si>
    <t>ORG GEOCHEM</t>
  </si>
  <si>
    <t>Org. Geochem.</t>
  </si>
  <si>
    <t>10.1016/j.orggeochem.2017.05.007</t>
  </si>
  <si>
    <t>FB2TB</t>
  </si>
  <si>
    <t>WOS:000405995000009</t>
  </si>
  <si>
    <t>Friis, EM; Iglesias, A; Reguero, MA; Mörs, T</t>
  </si>
  <si>
    <t>Friis, Else M.; Iglesias, Ari; Reguero, Marcelo A.; Mors, Thomas</t>
  </si>
  <si>
    <t>Notonuphar antarctica, an extinct water lily (Nymphaeales) from the Eocene of Antarctica</t>
  </si>
  <si>
    <t>PLANT SYSTEMATICS AND EVOLUTION</t>
  </si>
  <si>
    <t>Antarctic Peninsula; Basal angiosperms; Fossil seeds; Gondwana; Nuphar; Paleogene</t>
  </si>
  <si>
    <t>LA-MESETA FORMATION; SP-NOV NYMPHAEACEAE; SEYMOUR ISLAND; MIDDLE EOCENE; SEEDS; GEN.; ANGIOSPERM; PHYLOGENY; FRUITS; BIOGEOGRAPHY</t>
  </si>
  <si>
    <t>A new genus and species, Notonuphar antarctica, is described from the Eocene of Seymour (Marambio) Island, the Antarctic Peninsula and assigned to the Nymphaeales based on well-preserved seeds. This is the first record of a water lily from Antarctica and the first record of a Gondwanan plant with close link to the genus Nuphar (Nymphaeaceae), which is restricted today to the Northern Hemisphere. Critical features for systematic placement of Notonuphar are the presence of a germination cap with closely spaced hilar scar and micropyle, anatropous, bitegmic and exotestal seed organization, exotesta composed of one cell layer of high sclerenchymatic palisade-shape cells, mesotesta of smaller, low parenchymatic cells, a few cell layers deep, and a thin tegmen. The seeds of Notonuphar are particularly similar to seeds of extant and fossil Nuphar in the straight, unfolded anticlinal wall of the exotestal cells and the presence of a narrow zone of exotestal tissue between hilum and micropyle. Other seed features including the very tall exotestal cells and strongly thickened cell walls of exotesta also link Notonuphar to Brasenia and related fossil taxa (Cabombaceae). This character mosaic observed in Notonuphar corroborates the transitional position of Nuphar between Cabombaceae and Nymphaeaceae. Notonuphar is the only member of Nymphaeales recorded from Antarctica and so far the only fossil seeds of Nymphaeales known from the Southern Hemisphere. The discovery of this extinct Gondwanan taxon with features suggesting close relationship with extant Northern Hemisphere genus Nuphar is a further evidence for the relictual nature of the extant group.</t>
  </si>
  <si>
    <t>[Friis, Else M.; Mors, Thomas] Swedish Museum Nat Hist, Dept Palaeobiol, Stockholm, Sweden; [Iglesias, Ari] Inst Invest Biodiversidad &amp; Ambiente INIBIOMA CON, Quintral 1250, RA-8400 San Carlos De Bariloche, Rio Negro, Argentina; [Reguero, Marcelo A.] Univ Nacl La Plata CONICET, Div Paleontol Vertebrados, Fac Ciencias Nat &amp; Museo, Buenos Aires, DF, Argentina; [Reguero, Marcelo A.] Inst Antartico Argentino, Buenos Aires, DF, Argentina</t>
  </si>
  <si>
    <t>Swedish Museum of Natural History; National University of La Plata; Consejo Nacional de Investigaciones Cientificas y Tecnicas (CONICET); Instituto Antartico Argentino</t>
  </si>
  <si>
    <t>Friis, EM (corresponding author), Swedish Museum Nat Hist, Dept Palaeobiol, Stockholm, Sweden.</t>
  </si>
  <si>
    <t>else.marie.friis@nrm.se</t>
  </si>
  <si>
    <t>Friis, Else Marie/0000-0003-2936-2761; Iglesias, Ari/0000-0002-9098-8758</t>
  </si>
  <si>
    <t>Swedish Research Council (VR) [2009-4447, 2014-5228]; Consejo Nacional de Investigaciones Cientificas y Tecnicas (CONICET) [PIP 0462]; Argentine National Agency for Promotion of Science and Technology (ANPCyT) [PICTO-2010-0093]; Paul Scherrer Institute [20130185, 20141047, 2016140]</t>
  </si>
  <si>
    <t>Swedish Research Council (VR)(Swedish Research Council); Consejo Nacional de Investigaciones Cientificas y Tecnicas (CONICET)(Consejo Nacional de Investigaciones Cientificas y Tecnicas (CONICET)); Argentine National Agency for Promotion of Science and Technology (ANPCyT)(ANPCyT); Paul Scherrer Institute</t>
  </si>
  <si>
    <t>We thank the Argentine Antarctic Institute (IAA-DNA) and the Argentine Air Force for logistical fieldwork support (to TM and MAR) and to the Swedish Polar Research Secretariat (SPFS) for logistical support (to TM). We also thank J. Moly for assistance in the field, M. de los Reyes (MLP) for screening and picking the fossils, F. Marone and A. Lindstrom for help with the SRXTM analyses performed at the Swiss Light Source, Paul Scherrer Institute, Villigen, Switzerland. Thanks are also due to the Servicio de Microscopia and the Instituto de Fisiologia Vegetal (INFIVE) from La Plata University for technical assistance and Pollyanna von Knorring for preparing Fig. 1. Financial support from the Swedish Research Council (VR Grant 2009-4447 to TM. and Grant 2014-5228 to EMF), the Consejo Nacional de Investigaciones Cientificas y Tecnicas (CONICET Grant PIP 0462 to MAR.), the Argentine National Agency for Promotion of Science and Technology (ANPCyT Grant PICTO-2010-0093 to MAR) and the Paul Scherrer Institute https://www.psi.ch/useroffice/useroffice (projects 20130185, 20141047, 2016140) is gratefully acknowledged.</t>
  </si>
  <si>
    <t>SPRINGER WIEN</t>
  </si>
  <si>
    <t>WIEN</t>
  </si>
  <si>
    <t>SACHSENPLATZ 4-6, PO BOX 89, A-1201 WIEN, AUSTRIA</t>
  </si>
  <si>
    <t>0378-2697</t>
  </si>
  <si>
    <t>1615-6110</t>
  </si>
  <si>
    <t>PLANT SYST EVOL</t>
  </si>
  <si>
    <t>Plant Syst. Evol.</t>
  </si>
  <si>
    <t>10.1007/s00606-017-1422-y</t>
  </si>
  <si>
    <t>Plant Sciences; Evolutionary Biology</t>
  </si>
  <si>
    <t>FB0IR</t>
  </si>
  <si>
    <t>WOS:000405829200011</t>
  </si>
  <si>
    <t>Labrousse, S; Sallée, JB; Fraser, AD; Massom, RA; Reid, P; Sumner, M; Guinet, C; Harcourt, R; McMahon, C; Bailleul, F; Hindell, MA; Charrassin, JB</t>
  </si>
  <si>
    <t>Labrousse, Sara; Sallee, Jean-Baptiste; Fraser, Alexander D.; Massom, Robert A.; Reid, Phillip; Sumner, Michael; Guinet, Christophe; Harcourt, Robert; McMahon, Clive; Bailleul, Frederic; Hindell, Mark A.; Charrassin, Jean-Benoit</t>
  </si>
  <si>
    <t>Under the sea ice: Exploring the relationship between sea ice and the foraging behaviour of southern elephant seals in East Antarctica</t>
  </si>
  <si>
    <t>CLIMATE-CHANGE; PACK-ICE; MIROUNGA-LEONINA; ENVIRONMENTAL-CHANGE; EMPEROR PENGUINS; STABLE-ISOTOPES; DIVING BEHAVIOR; PREDATOR; KRILL; MICRONEKTON</t>
  </si>
  <si>
    <t>Investigating ecological relationships between predators and their environment is essential to understand the response of marine ecosystems to climate variability and change. This is particularly true in polar regions, where sea ice (a sensitive climate variable) plays a crucial yet highly dynamic and variable role in how it influences the whole marine ecosystem, from phytoplankton to top predators. For mesopredators such as seals, sea ice both supports a rich (under-ice) food resource, access to which depends on local to regional coverage and conditions. Here, we investigate sex-specific relationships between the foraging strategies of southern elephant seals (Mirounga leonine) in winter and spatio-temporal variability in sea ice concentration (SIC) and coverage in East Antarctica. We satellite-tracked 46 individuals undertaking post-moult trips in winter from Kerguelen Islands to the peri-Antarctic shelf between 2004 and 2014. These data indicate distinct general patterns of sea ice usage: while females tended to follow the sea ice edge as it extended northward, the males remained on the continental shelf despite increasing sea ice. Seal hunting time, a proxy of foraging activity inferred from the diving behaviour, was longer for females in late autumn in the outer part of the pack ice, similar to 150-370 km south of the ice edge. Within persistent regions of compact sea ice, females had a longer foraging activity (1) in the highest sea ice concentration at their position, but (ii) their foraging activity was longer when there were more patches of low concentration sea ice around their position (either in time or in space; 30 days &amp; 50 kin). The high spatio-temporal variability of sea ice around female positions is probably a key factor allowing them to exploit these concentrated patches. Despite lack of information on prey availability, females may exploit mesopelagic finfishes and squids that concentrate near the ice-water interface or within the water column (from diurnal vertical migration) in the pack ice region, likely attracted by an ice algal autumn bloom that sustains an under-ice ecosystem. In contrast, male foraging effort increased when they remained deep within the sea ice (420-960 km from the ice edge) over the shelf. Males had a longer foraging activity (i) in the lowest sea ice concentration at their position, and (ii) when there were more patches of low concentration sea ice around their position (either in time or in space; 30 days &amp; 50 km) presumably in polynyas or flaw leads between land fast and pack ice. This provides access to zones of enhanced resources in autumn or in early spring such as polynyas, the Antarctic shelf and slope. Our results suggest that some seals utilized a highly sea ice covered environment, which is key for their foraging effort, sustaining or concentrating resources during winter. (C) 2017 Elsevier Ltd. All rights reserved.</t>
  </si>
  <si>
    <t>[Labrousse, Sara; Sallee, Jean-Baptiste; Charrassin, Jean-Benoit] UPMC Univ, Sorbonne Univ, Paris 06, UMR CNRS IRD MNHN 7159,LOCEAN IPSL, F-75005 Paris, France; [Labrousse, Sara; McMahon, Clive; Hindell, Mark A.] Univ Tasmania, Inst Marine &amp; Antarctic Studies, Private Bag 129, Hobart, Tas 7001, Australia; [Sallee, Jean-Baptiste] British Antarctic Survey, Cambridge CB3 0ET, England; [Fraser, Alexander D.] Hokkaido Univ, Inst Low Temp Sci, Kita Ku, N19 W8, Sapporo, Hokkaido 0600819, Japan; [Fraser, Alexander D.; Massom, Robert A.; Hindell, Mark A.] Univ Tasmania, Antarctic Climate &amp; Ecosyst Cooperat Res Ctr, Private Bag 80, Hobart, Tas 7001, Australia; [Massom, Robert A.; Sumner, Michael] Australian Antarctic Div, Channel Highway, Kingston, Tas 7050, Australia; [Reid, Phillip] Ctr Australian Weather &amp; Climate Res, Australian Bur Meteorol, Hobart, Tas 7001, Australia; [Guinet, Christophe] Univ Rochelle, CNRS, UMR 7372, Ctr Etud Biol Chize, F-79360 Villiers En Bois, France; [Harcourt, Robert; McMahon, Clive] Macquarie Univ, Dept Biol Sci, Sydney, NSW 2109, Australia; [McMahon, Clive] Sydney Inst Marine Sci, 19 Chowder Bay Rd, Mosman, NSW 2088, Australia; [Bailleul, Frederic] South Australian Res &amp; Dev Inst, 2 Hamra Ave, West Beach, SA 5024, Australia</t>
  </si>
  <si>
    <t>Sorbonne Universite; Museum National d'Histoire Naturelle (MNHN); University of Tasmania; UK Research &amp; Innovation (UKRI); Natural Environment Research Council (NERC); NERC British Antarctic Survey; Hokkaido University; Antarctic Climate &amp; Ecosystems Cooperative Research Centre (ACE CRC); University of Tasmania; Australian Antarctic Division; Commonwealth Scientific &amp; Industrial Research Organisation (CSIRO); Bureau of Meteorology - Australia; Centre National de la Recherche Scientifique (CNRS); CNRS - Institute of Ecology &amp; Environment (INEE); Macquarie University; Sydney Institute of Marine Science; South Australian Research &amp; Development Institute (SARDI)</t>
  </si>
  <si>
    <t>Labrousse, S (corresponding author), UPMC Univ, Sorbonne Univ, Paris 06, UMR CNRS IRD MNHN 7159,LOCEAN IPSL, F-75005 Paris, France.</t>
  </si>
  <si>
    <t>sara.labrousse@gmail.com</t>
  </si>
  <si>
    <t>Sumner, Michael D/J-3478-2013; SALLEE, Jean baptiste/HDO-5355-2022; Guinet, Christophe/AAR-8457-2020; Hindell, Mark A/K-1131-2013; Fraser, Alexander/AFO-7186-2022; McMahon, Clive R/D-5713-2013; SALLEE, Jean baptiste/A-5837-2010</t>
  </si>
  <si>
    <t>Fraser, Alexander/0000-0003-1924-0015; McMahon, Clive R/0000-0001-5241-8917; SALLEE, Jean baptiste/0000-0002-6109-5176; Hindell, Mark/0000-0002-7823-7185; Labrousse, Sara/0000-0002-8099-3254; Sumner, Michael/0000-0002-2471-7511; Massom, Robert/0000-0003-1533-5084; Harcourt, Robert/0000-0003-4666-2934</t>
  </si>
  <si>
    <t>CNES-TOSCA; IMOS; French Polar Institute (Institut Paul Emile Victor, IPEV) [109]; Australian Government through National Collaborative Research Infrastructure Strategy; Australian Government through Super Science Initiative; Cooperative Research Centre programme through Antarctic Climate &amp; Ecosystems Cooperative Research Centre; Japan Society for the Promotion of Science (KAKENHI) [25.03748]; ERC [637770]; Natural Environment Research Council [bas0100033] Funding Source: researchfish; NERC [bas0100033] Funding Source: UKRI; European Research Council (ERC) [637770] Funding Source: European Research Council (ERC)</t>
  </si>
  <si>
    <t>CNES-TOSCA; IMOS; French Polar Institute (Institut Paul Emile Victor, IPEV); Australian Government through National Collaborative Research Infrastructure Strategy(Australian GovernmentDepartment of Industry, Innovation and Science); Australian Government through Super Science Initiative(Australian Government); Cooperative Research Centre programme through Antarctic Climate &amp; Ecosystems Cooperative Research Centre(Australian GovernmentDepartment of Industry, Innovation and ScienceCooperative Research Centres (CRC) Programme); Japan Society for the Promotion of Science (KAKENHI)(Ministry of Education, Culture, Sports, Science and Technology, Japan (MEXT)Japan Society for the Promotion of ScienceGrants-in-Aid for Scientific Research (KAKENHI)); ERC(European Research Council (ERC)); Natural Environment Research Council(UK Research &amp; Innovation (UKRI)Natural Environment Research Council (NERC)); NERC(UK Research &amp; Innovation (UKRI)Natural Environment Research Council (NERC)); European Research Council (ERC)(European Research Council (ERC)Spanish Government)</t>
  </si>
  <si>
    <t>This study is part of French Polar Institute (Institut Paul Emile Victor, IPEV) research project IPEV # 109, PI H. Weimerskirch, and of the Australian collaborative Integrated Marine Observing System (IMOS) research programme. It was funded by a CNES-TOSCA project (Elephants de mer oceanographes) and IMOS, and supported by the Australian Government through both the National Collaborative Research Infrastructure Strategy and the Super Science Initiative and the Cooperative Research Centre programme through the Antarctic Climate &amp; Ecosystems Cooperative Research Centre. This work was also supported by the Japan Society for the Promotion of Science Grant-in-Aid for Scientific Research (KAKENHI) number 25.03748. J.B. Sallee received support from the ERC under the European Union's Horizon 2020 research and innovation program (grant agreement 637770). For R. Massom, A. Fraser and P. Reid, the work contributes to AAS Project 4116. MODIS data were obtained from the NASA Atmosphere Archive and Distribution System (http://ladsweb.nascom.nasa.gov). Passive microwave sea ice concentration data were obtained from the University of Bremen (http://www.iup.uni-bremen.de/seaice/amsr/) for AMSR-E, AMSR-2, and from the NASA Earth Observing System Distributed Active Archive Center (DAAC) at the U.S. National Snow and Ice Data Center, University of Colorado (http://www.nsidc.org) for SSMI/S. Special thanks go to J.O. Irisson, S. Bestley, S. Wotherspoon, M. Authier, B. Picard, A. Bosse, M. O'Toole and Y. David for very useful comments. Finally, we would like to thank N. El Skaby and all colleagues and volunteers involved in the research on southern elephant seals in Kerguelen. All animals in this study were treated in accordance with the IPEV ethical and Polar Environment Committees guidelines.</t>
  </si>
  <si>
    <t>10.1016/j.pocean.2017.05.014</t>
  </si>
  <si>
    <t>WOS:000411770600002</t>
  </si>
  <si>
    <t>Verleyen, E; Tavernier, I; Hodgson, DA; Whitehouse, PL; Kudoh, S; Imura, S; Heirman, K; Bentley, MJ; Roberts, SJ; De Batist, M; Sabbe, K; Vyverman, W</t>
  </si>
  <si>
    <t>Verleyen, Elie; Tavernier, Ines; Hodgson, Dominic A.; Whitehouse, Pippa L.; Kudoh, Sakae; Imura, Satoshi; Heirman, Katrien; Bentley, Michael J.; Roberts, Steve J.; De Batist, Marc; Sabbe, Koen; Vyverman, Wim</t>
  </si>
  <si>
    <t>Ice sheet retreat and glacio-isostatic adjustment in Lutzow-Holm Bay, East Antarctica</t>
  </si>
  <si>
    <t>Sea level changes; Antarctica; Holocene; Coastal geomorphology; Isolation lakes; Raised beaches; Glacial isostatic adjustment (GIA) models; Neotectonics</t>
  </si>
  <si>
    <t>SOUTH SHETLAND ISLANDS; PRINCE GUSTAV CHANNEL; POSTGLACIAL SEA-LEVEL; LATE PLEISTOCENE; MELTING HISTORY; LARSEMANN HILLS; VESTFOLD HILLS; MASS-BALANCE; UPLIFT RATES; FRESH-WATER</t>
  </si>
  <si>
    <t>The East Antarctic Ice Sheet has relatively few field data to constrain its past volume and contribution to global sea-level change since the Last Glacial Maximum. We provide new data on deglaciation history and develop new relative sea-level (RSL) curves along an 80 km transect (from Skallen to Skarsvnes, Langhovde and the Ongul Islands) in Ltitzow Holm Bay, East Antarctica. The geological constraints were compared with output from two Glacial Isostatic Adjustment (GIA) models. The minimum radiocarbon age for regional deglaciation is c. 11,240 cal. yr BP on West Ongul Island with progressively younger deglaciation ages approaching the main regional ice outflow at Shirase Glacier. Marked regional differences in the magnitude and timing of RSL change were observed. More in particular, in Skarvsnes a minimum marine limit of 32.7 m was inferred, which is c. 12.7 m higher than previously published evidence, and at least 15 m higher than that reported in the other three ice-free areas. Current GIA model predictions slightly underestimate the rate of Late Holocene RSL fall at Skallen, Langhovde, and West Ongul, but provide a reasonable fit to the reconstructed minimum marine limit at these sites. GIA model predictions are unable to provide an explanation for the shape of the reconstructed RSL curve at Skarvsnes. We consider a range of possible explanations for the Skarvsnes RSL data and favour an interpretation where the anomalously high marine limit and rate of RSL fall is due to reactivation of a local fault. (C) 2017 Elsevier Ltd. All rights reserved.</t>
  </si>
  <si>
    <t>[Verleyen, Elie; Tavernier, Ines; Sabbe, Koen; Vyverman, Wim] Univ Ghent, Dept Biol, Lab Protistol &amp; Aquat Ecol, Campus Sterre,Krijgslaan 281-S8, B-9000 Ghent, Belgium; [Hodgson, Dominic A.; Roberts, Steve J.] British Antarctic Survey, Nat Environm Res Council, Madingley Rd, Cambridge CB3 0ET, England; [Hodgson, Dominic A.; Whitehouse, Pippa L.; Bentley, Michael J.] Univ Durham, Dept Geog, South Rd, Cambridge CB3 0ET, England; [Kudoh, Sakae] Natl Inst Polar Res, 10-3 Midoricho, Tachikawa, Tokyo 1908518, Japan; [Heirman, Katrien; De Batist, Marc] Univ Ghent, Renard Ctr Marine Geol, Campus Sterre,Krijgslaan 281-S8, B-9000 Ghent, Belgium</t>
  </si>
  <si>
    <t>Ghent University; UK Research &amp; Innovation (UKRI); Natural Environment Research Council (NERC); NERC British Antarctic Survey; Durham University; Research Organization of Information &amp; Systems (ROIS); National Institute of Polar Research (NIPR) - Japan; Ghent University</t>
  </si>
  <si>
    <t>Verleyen, E (corresponding author), Univ Ghent, Dept Biol, Lab Protistol &amp; Aquat Ecol, Campus Sterre,Krijgslaan 281-S8, B-9000 Ghent, Belgium.</t>
  </si>
  <si>
    <t>elie.verleyen@ugent.be</t>
  </si>
  <si>
    <t>De Batist, Marc/F-5722-2012; Bentley, Michael J/F-7386-2011</t>
  </si>
  <si>
    <t>De Batist, Marc/0000-0002-1625-2080; Bentley, Michael J/0000-0002-2048-0019; Heirman, Katrien/0000-0001-6832-8385; Roberts, Stephen/0000-0003-3407-9127; Imura, Satoshi/0000-0002-6803-6996; Whitehouse, Pippa/0000-0002-9092-3444</t>
  </si>
  <si>
    <t>Belgian Science Policy Office (HOLANT project); UK Natural Environment Research Council (British Antarctic Survey and Radiocarbon Laboratory); Japanese Antarctic Research Expedition 48; Institute for the Promotion of Innovation by Science and Technology in Flanders; NERC Independent Research Fellowship [NE/K009958/1]; Natural Environment Research Council [NE/F01452X/1, NE/K009958/1, bas0100030] Funding Source: researchfish; NERC [NE/K009958/1, NE/F01452X/1, bas0100030] Funding Source: UKRI; Grants-in-Aid for Scientific Research [17H04474] Funding Source: KAKEN</t>
  </si>
  <si>
    <t>Belgian Science Policy Office (HOLANT project); UK Natural Environment Research Council (British Antarctic Survey and Radiocarbon Laboratory); Japanese Antarctic Research Expedition 48; Institute for the Promotion of Innovation by Science and Technology in Flanders(Institute for the Promotion of Innovation by Science and Technology in Flanders (IWT)); NERC Independent Research Fellowship(UK Research &amp; Innovation (UKRI)Natural Environment Research Council (NERC)); Natural Environment Research Council(UK Research &amp; Innovation (UKRI)Natural Environment Research Council (NERC)); NERC(UK Research &amp; Innovation (UKRI)Natural Environment Research Council (NERC)); Grants-in-Aid for Scientific Research(Ministry of Education, Culture, Sports, Science and Technology, Japan (MEXT)Japan Society for the Promotion of ScienceGrants-in-Aid for Scientific Research (KAKENHI))</t>
  </si>
  <si>
    <t>This work was supported by the Belgian Science Policy Office (HOLANT project), the UK Natural Environment Research Council (British Antarctic Survey and Radiocarbon Laboratory), and the Japanese Antarctic Research Expedition 48. EV was a post-doctoral research fellow with the Fund for Scientific Research Flanders during part of the research. IT was funded by the Institute for the Promotion of Innovation by Science and Technology in Flanders. PLW is a recipient of a NERC Independent Research Fellowship (NE/K009958/1). Maaike Vancauwenberghe is thanked for the logistical support. Ilse Daveloose (Ghent University) is thanked for the help with the HPLC analysis of the fossil pigments. Laura Gerrish (BAS, UK) is thanked for providing Fig. 1 and Dr. Yuichi Aoyama (NIPR, Japan) for sharing the data regarding the seasonal variations in sea level height near Syowa Station. An anonymous reviewer is thanked for improving a previous version of the manuscript.</t>
  </si>
  <si>
    <t>10.1016/j.quascirev.2017.06.003</t>
  </si>
  <si>
    <t>FA0VG</t>
  </si>
  <si>
    <t>WOS:000405154100006</t>
  </si>
  <si>
    <t>Zhang, YL; Giardino, C; Li, LH</t>
  </si>
  <si>
    <t>Zhang, Yunlin; Giardino, Claudia; Li, Linhai</t>
  </si>
  <si>
    <t>Water Optics and Water Colour Remote Sensing</t>
  </si>
  <si>
    <t>water optics; water colour remote sensing; bibliometric analysis; popular study topics; chlorophyll-a</t>
  </si>
  <si>
    <t>The editorial paper aims to highlight the main topics investigated in the Special Issue (SI) Water Optics and Water Colour Remote Sensing. The outcomes of the 21 papers published in the SI are presented, along with a bibliometric analysis in the same field, namely, water optics and water colour remote sensing. This editorial summarises how the research articles of the SI approach the study of bio-optical properties of aquatic systems, the development of remote sensing algorithms, and the application of time-series satellite data for assessing long-term and temporal-spatial dynamics in inland, coastal, and oceanic waters. The SI shows the progress with a focus on: (1) bio-optical properties (three papers); (2) atmospheric correction and data uncertainties (five papers); (3) remote sensing estimation of chlorophyll-a (Chl-a) (eight papers); (4) remote sensing estimation of suspended matter and chromophoric dissolved organic matter (CDOM) (four papers); and (5) water quality and water ecology remote sensing (four papers). Overall, the SI presents a variety of applications at the global scale (with case studies in Europe, Asia, South and North America, and the Antarctic), achieved with different remote sensing instruments, such as hyperspectral field and airborne sensors, ocean colour radiometry, geostationary platforms, and the multispectral Landsat and Sentinel-2 satellites. The bibliometric analysis, carried out to include research articles published from 1900 to 2016, indicates that chlorophyll-a, ocean colour, phytoplankton, SeaWiFS (Sea-Viewing-Wide Field-of-View Sensor), and chromophoric dissolved organic matter were the five most frequently used keywords in the field. The SI contents, along with the bibliometric analysis, clearly suggest that remote sensing of Chl-a is one of the topmost investigated subjects in the field.</t>
  </si>
  <si>
    <t>[Zhang, Yunlin] Chinese Acad Sci, Nanjing Inst Geog &amp; Limnol, State Key Lab Lake Sci &amp; Environm, Taihu Lab Lake Ecosyst Res, Nanjing 210008, Jiangsu, Peoples R China; [Giardino, Claudia] Natl Res Council Italy, Inst Electromagnet Sensing Environm, Via Bassini 15, I-20133 Milan, Italy; [Li, Linhai] Univ Calif San Diego, Scripps Inst Oceanog, Marine Phys Lab, La Jolla, CA 92093 USA</t>
  </si>
  <si>
    <t>Chinese Academy of Sciences; Nanjing Institute of Geography &amp; Limnology, CAS; Consiglio Nazionale delle Ricerche (CNR); Istituto Per Il Rilevamento Elettromagnetico Dell'Ambiente (IREA-CNR); University of California System; University of California San Diego; Scripps Institution of Oceanography</t>
  </si>
  <si>
    <t>Zhang, YL (corresponding author), Chinese Acad Sci, Nanjing Inst Geog &amp; Limnol, State Key Lab Lake Sci &amp; Environm, Taihu Lab Lake Ecosyst Res, Nanjing 210008, Jiangsu, Peoples R China.</t>
  </si>
  <si>
    <t>ylzhang@niglas.ac.cn; giardino.c@irea.cnr.it; lil032@ucsd.edu</t>
  </si>
  <si>
    <t>Giardino, Claudia/O-9923-2015; Zhang, Zhentao/JQV-7389-2023; Zhang, Yunlin/N-5464-2014</t>
  </si>
  <si>
    <t>Giardino, Claudia/0000-0002-3937-4988; Zhang, Yunlin/0000-0002-3382-4570</t>
  </si>
  <si>
    <t>National Natural Science Foundation of China [41325001]; Key Program of the Chinese Academy of Sciences [ZDRW-ZS-2017-3-4]; Key Research Program of Frontier Sciences of the Chinese Academy of Sciences [QYZDB-SSW-DQC016]</t>
  </si>
  <si>
    <t>National Natural Science Foundation of China(National Natural Science Foundation of China (NSFC)); Key Program of the Chinese Academy of Sciences(Chinese Academy of Sciences); Key Research Program of Frontier Sciences of the Chinese Academy of Sciences</t>
  </si>
  <si>
    <t>This study was jointly funded by the National Natural Science Foundation of China (grant 41325001), the Key Program of the Chinese Academy of Sciences (ZDRW-ZS-2017-3-4), and the Key Research Program of Frontier Sciences of the Chinese Academy of Sciences (QYZDB-SSW-DQC016). We would like to thank the staff in the editorial office and all the authors who contribute to the special issue.</t>
  </si>
  <si>
    <t>10.3390/rs9080818</t>
  </si>
  <si>
    <t>FF0QG</t>
  </si>
  <si>
    <t>WOS:000408605600056</t>
  </si>
  <si>
    <t>Guo, SQ; Stevens, CA; Vance, TDR; Olijve, LLC; Graham, LA; Campbell, RL; Yazdi, SR; Escobedo, C; Bar-Dolev, M; Yashunsky, V; Braslavsky, I; Langelaan, DN; Smith, SP; Allingham, JS; Voets, IK; Davies, PL</t>
  </si>
  <si>
    <t>Guo, Shuaiqi; Stevens, Corey A.; Vance, Tyler D. R.; Olijve, Luuk L. C.; Graham, Laurie A.; Campbell, Robert L.; Yazdi, Saeed R.; Escobedo, Carlos; Bar-Dolev, Maya; Yashunsky, Victor; Braslavsky, Ido; Langelaan, David N.; Smith, Steven P.; Allingham, John S.; Voets, Ilja K.; Davies, Peter L.</t>
  </si>
  <si>
    <t>Structure of a 1.5-MDa adhesin that binds its Antarctic bacterium to diatoms and ice</t>
  </si>
  <si>
    <t>ANTIFREEZE PROTEIN; SEA-ICE; RTX PROTEINS; I SECRETION; SP NOV.; SOFTWARE; BIOFILM; DOMAIN; MODEL; FRAGILARIOPSIS</t>
  </si>
  <si>
    <t>Bacterial adhesins are modular cell-surface proteins that mediate adherence to other cells, surfaces, and ligands. The Antarctic bacterium Marinomonas primoryensis uses a 1.5-MDa adhesin comprising over 130 domains to position it on ice at the top of the water column for better access to oxygen and nutrients. We have reconstructed this 0.6-mm-long adhesin using a dissect and build structural biology approach and have established complementary roles for its five distinct regions. Domains in region I (RI) tether the adhesin to the type I secretion machinery in the periplasmof the bacteriumand pass it through the outer membrane. RII comprises similar to 120 identical immunoglobulinlike b-sandwich domains that rigidify on binding Ca2+ to project the adhesion regions RIII and RIV into the medium. RIII contains ligand-binding domains that join diatoms and bacteria together in a mixed-species community on the underside of sea ice where incident light is maximal. RIV is the ice-binding domain, and the terminal RV domain contains several  repeats-in-toxin motifs and a noncleavable signal sequence that target proteins for export via the type I secretion system. Similar structural architecture is present in the adhesins of many pathogenic bacteria and provides a guide to finding and blocking binding domains to weaken infectivity.</t>
  </si>
  <si>
    <t>[Guo, Shuaiqi; Stevens, Corey A.; Vance, Tyler D. R.; Graham, Laurie A.; Campbell, Robert L.; Langelaan, David N.; Smith, Steven P.; Allingham, John S.; Davies, Peter L.] Queens Univ, Prot Funct Discovery Grp, Kingston, ON K7L 3N6, Canada; [Guo, Shuaiqi; Stevens, Corey A.; Vance, Tyler D. R.; Graham, Laurie A.; Campbell, Robert L.; Langelaan, David N.; Smith, Steven P.; Allingham, John S.; Davies, Peter L.] Queens Univ, Dept Biomed &amp; Mol Sci, Kingston, ON K7L 3N6, Canada; [Guo, Shuaiqi; Olijve, Luuk L. C.; Voets, Ilja K.] Eindhoven Univ Technol, Inst Complex Mol Syst, NL-5600 MD Eindhoven, Netherlands; [Guo, Shuaiqi; Olijve, Luuk L. C.; Voets, Ilja K.] Eindhoven Univ Technol, Lab Macromol &amp; Organ Chem, Dept Chem Engn &amp; Chem, NL-5600 MD Eindhoven, Netherlands; [Guo, Shuaiqi; Olijve, Luuk L. C.; Voets, Ilja K.] Eindhoven Univ Technol, Lab Phys Chem, Dept Chem Engn &amp; Chem, NL-5600 MD Eindhoven, Netherlands; [Yazdi, Saeed R.; Escobedo, Carlos] Queens Univ, Fac Engn &amp; Appl Sci, Kingston, ON K7L 3N6, Canada; [Yazdi, Saeed R.; Escobedo, Carlos] Queens Univ, Dept Chem Engn, Kingston, ON K7L 3N6, Canada; [Bar-Dolev, Maya; Yashunsky, Victor; Braslavsky, Ido] Hebrew Univ Jerusalem, Inst Biochem Food Sci &amp; Nutr, Robert H Smith Fac Agr Food &amp; Environm, IL-7610001 Rehovot, Israel; [Langelaan, David N.] Dalhousie Univ, Dept Biochem &amp; Mol Biol, Halifax, NS B3H 4R2, Canada</t>
  </si>
  <si>
    <t>Queens University - Canada; Queens University - Canada; Eindhoven University of Technology; Eindhoven University of Technology; Eindhoven University of Technology; Queens University - Canada; Queens University - Canada; Hebrew University of Jerusalem; Dalhousie University</t>
  </si>
  <si>
    <t>Davies, PL (corresponding author), Queens Univ, Prot Funct Discovery Grp, Kingston, ON K7L 3N6, Canada.;Davies, PL (corresponding author), Queens Univ, Dept Biomed &amp; Mol Sci, Kingston, ON K7L 3N6, Canada.</t>
  </si>
  <si>
    <t>peter.davies@queensu.ca</t>
  </si>
  <si>
    <t>Yashunsky, Victor/P-1456-2019; Voets, Ilja K/E-3604-2014; Braslavsky, Ido/O-1859-2013; Langelaan, David/AET-9707-2022; Yashunsky, Victor/GXG-5993-2022; Dolev, Maya Bar/AAG-7771-2020; Allingham, John/AAW-9262-2020</t>
  </si>
  <si>
    <t>Yashunsky, Victor/0000-0003-3175-3390; Langelaan, David/0000-0001-9592-3075; Yashunsky, Victor/0000-0003-3175-3390; Bar Dolev, Maya/0000-0001-8619-8481; Smith, Steven/0000-0003-2710-4400; Rismani Yazdi, Saeed/0000-0003-4025-549X; Campbell, Robert/0000-0002-5473-5876; Escobedo, Carlos/0000-0002-7832-166X</t>
  </si>
  <si>
    <t>Natural Sciences and Engineering Research Council of Canada (NSERC) [RGPIN 2015-06667, RGPIN 2013-356025, RGPIN 2014-05138, RGPIN 2016-04810]; Canadian Foundation for Innovation (CFI); European Research Council (ERC) [281595, 635928]; Dutch Science Foundation grant (NWO ECHO) [712.016.002]; utch Ministry of Education, Culture and Science grant [024.001.035]; Canadian Institutes of Health Research Foundation operating grant [106612]; Canadian Institutes of Health Research (CIHR) Fellowship; PostGraduate Scholarships-Doctoral Program (PGS-D) NSERC Scholarship; European Research Council (ERC) [635928, 281595] Funding Source: European Research Council (ERC)</t>
  </si>
  <si>
    <t>Natural Sciences and Engineering Research Council of Canada (NSERC)(Natural Sciences and Engineering Research Council of Canada (NSERC)); Canadian Foundation for Innovation (CFI)(Canada Foundation for Innovation); European Research Council (ERC)(European Research Council (ERC)Spanish Government); Dutch Science Foundation grant (NWO ECHO); utch Ministry of Education, Culture and Science grant; Canadian Institutes of Health Research Foundation operating grant(Canadian Institutes of Health Research (CIHR)); Canadian Institutes of Health Research (CIHR) Fellowship(Canadian Institutes of Health Research (CIHR)); PostGraduate Scholarships-Doctoral Program (PGS-D) NSERC Scholarship; European Research Council (ERC)(European Research Council (ERC)Spanish Government)</t>
  </si>
  <si>
    <t>This work was funded by Natural Sciences and Engineering Research Council of Canada (NSERC) discovery grants to S. P. S. (RGPIN 2015-06667), J.S.A. (RGPIN 2013-356025), C. E. (RGPIN 2014-05138), and P.L.D. (RGPIN 2016-04810), by a Canadian Foundation for Innovation (CFI) grant to C. E., by European Research Council (ERC) grants to I. B. (281595) and I.K.V. (635928), by a Dutch Science Foundation grant (NWO ECHO Grant No. 712.016.002) and Dutch Ministry of Education, Culture and Science grant (Gravity Program 024.001.035) to I.K.V., and by a Canadian Institutes of Health Research Foundation operating grant to P.L.D. (106612). P.L.D. holds the Canada Research Chair in Protein Engineering. J.S.A. holds a Canada Research Chair in Structural Biology. D.N.L. was funded by a Canadian Institutes of Health Research (CIHR) Fellowship. C.A.S. is funded by a PostGraduate Scholarships-Doctoral Program (PGS-D) NSERC Scholarship.</t>
  </si>
  <si>
    <t>e1701440</t>
  </si>
  <si>
    <t>10.1126/sciadv.1701440</t>
  </si>
  <si>
    <t>FI0CW</t>
  </si>
  <si>
    <t>WOS:000411589900032</t>
  </si>
  <si>
    <t>Mac Manus, DH; Rodger, CJ; Dalzell, M; Thomson, AWP; Clilverd, MA; Petersen, T; Wolf, MM; Thomson, NR; Divett, T</t>
  </si>
  <si>
    <t>Mac Manus, Daniel H.; Rodger, Craig J.; Dalzell, Michael; Thomson, Alan W. P.; Clilverd, Mark A.; Petersen, Tanja; Wolf, Moritz M.; Thomson, Neil R.; Divett, Tim</t>
  </si>
  <si>
    <t>Long-term geomagnetically induced current observations in New Zealand: Earth return corrections and geomagnetic field driver</t>
  </si>
  <si>
    <t>SPACE WEATHER-THE INTERNATIONAL JOURNAL OF RESEARCH AND APPLICATIONS</t>
  </si>
  <si>
    <t>geomagnetically induced currents; Space Weather; HVDC systems; New Zealand</t>
  </si>
  <si>
    <t>QUEBEC</t>
  </si>
  <si>
    <t>Transpower New Zealand Limited has measured DC currents in transformer neutrals in the New Zealand electrical network at multiple South Island locations. Near-continuous archived DC current data exist since 2001, starting with 12 different substations and expanding from 2009 to include 17 substations. From 2001 to 2015 up to 58 individual transformers were simultaneously monitored. Primarily, the measurements were intended to monitor the impact of the high-voltage DC system linking the North and South Islands when it is operating in Earth return mode. However, after correcting for Earth return operation, as described here, the New Zealand measurements provide an unusually long and spatially detailed set of geomagnetically induced current (GIC) measurements. We examine the peak GIC magnitudes observed from these observations during two large geomagnetic storms on 6 November 2001 and 2 October 2013. Currents of similar to 30-50 A are observed, depending on the measurement location. There are large spatial variations in the GIC observations over comparatively small distances, which likely depend upon network layout and ground conductivity. We then go on to examine the GIC in transformers throughout the South Island during more than 151 h of geomagnetic storm conditions. We compare the GIC to the various magnitude and rate of change components of the magnetic field. Our results show that there is a strong correlation between the magnitude of the GIC and the rate of change of the horizontal magnetic field (H'). This correlation is particularly clear for transformers that show large GIC current during magnetic storms.</t>
  </si>
  <si>
    <t>[Mac Manus, Daniel H.; Rodger, Craig J.; Thomson, Neil R.; Divett, Tim] Univ Otago, Dept Phys, Dunedin, New Zealand; [Dalzell, Michael] Transpower New Zealand Ltd, Wellington, New Zealand; [Thomson, Alan W. P.] British Geol Survey, Nottingham, England; [Clilverd, Mark A.] British Antarctic Survey NERC, Cambridge, England; [Petersen, Tanja] GNS Sci, Lower Hutt, New Zealand; [Wolf, Moritz M.] Munich Univ Appl Sci, Dept Appl Sci &amp; Mechatron, Munich, Germany</t>
  </si>
  <si>
    <t>University of Otago; UK Research &amp; Innovation (UKRI); Natural Environment Research Council (NERC); NERC British Geological Survey; UK Research &amp; Innovation (UKRI); Natural Environment Research Council (NERC); NERC British Antarctic Survey; GNS Science - New Zealand; University of Munich</t>
  </si>
  <si>
    <t>Rodger, CJ (corresponding author), Univ Otago, Dept Phys, Dunedin, New Zealand.</t>
  </si>
  <si>
    <t>crodger@physics.otago.ac.nz</t>
  </si>
  <si>
    <t>Rodger, Craig J./0000-0002-6770-2707; Mac Manus, Daniel/0000-0003-1175-2251; Divett, Tim/0000-0003-0778-4250</t>
  </si>
  <si>
    <t>Transpower New Zealand; New Zealand Ministry of Business, Innovation and Employment Hazards and Infrastructure Research Fund [UOOX1502]; NERC [NE/P017231/1, bgs05003, bas0100031] Funding Source: UKRI; Natural Environment Research Council [bas0100031, bgs05003, NE/P017231/1] Funding Source: researchfish; New Zealand Ministry of Business, Innovation &amp; Employment (MBIE) [UOOX1502] Funding Source: New Zealand Ministry of Business, Innovation &amp; Employment (MBIE)</t>
  </si>
  <si>
    <t>Transpower New Zealand; New Zealand Ministry of Business, Innovation and Employment Hazards and Infrastructure Research Fund; NERC(UK Research &amp; Innovation (UKRI)Natural Environment Research Council (NERC)); Natural Environment Research Council(UK Research &amp; Innovation (UKRI)Natural Environment Research Council (NERC)); New Zealand Ministry of Business, Innovation &amp; Employment (MBIE)(New Zealand Ministry of Business, Innovation and Employment (MBIE))</t>
  </si>
  <si>
    <t>The authors would like to thank Transpower New Zealand for supporting this study. This research was supported by the New Zealand Ministry of Business, Innovation and Employment Hazards and Infrastructure Research Fund Contract UOOX1502. Data availability is described at the following websites: http://www.intermagnet.org/imos/imos-list/imos-details-eng.php?iaga_code=EYR( Eyrewell magnetometer). K indices for Eyrewell are available by contacting one of the coauthors, Tanja Petersen (t. petersen@gns.cri.nz). The New Zealand LEM DC data from which we determined GIC measurements were provided to us by Transpower New Zealand with caveats and restrictions. This includes requirements of permission before all publications and presentations. In addition, we are unable to directly provide the New Zealand LEM DC data or the derived GIC observations. Requests for access to the measurements need to be made to Transpower New Zealand. At this time the contact point is Michael Dalzell (michael.dalzell@transpower.co.nz). We are very grateful for the substantial data access they have provided, noting that this can be a challenge in the Space Weather field [Hapgood and Knipp, 2016].</t>
  </si>
  <si>
    <t>1542-7390</t>
  </si>
  <si>
    <t>SPACE WEATHER</t>
  </si>
  <si>
    <t>Space Weather</t>
  </si>
  <si>
    <t>10.1002/2017SW001635</t>
  </si>
  <si>
    <t>Astronomy &amp; Astrophysics; Geochemistry &amp; Geophysics; Meteorology &amp; Atmospheric Sciences</t>
  </si>
  <si>
    <t>FH0GZ</t>
  </si>
  <si>
    <t>WOS:000410818900005</t>
  </si>
  <si>
    <t>Hatlen, B; Berge, K; Nordrum, S; Johnsen, K; Kolstad, K; Morkore, T</t>
  </si>
  <si>
    <t>Hatlen, B.; Berge, K.; Nordrum, S.; Johnsen, K.; Kolstad, K.; Morkore, T.</t>
  </si>
  <si>
    <t>The effect of low inclusion levels of Antarctic krill (Euphausia superba) meal on growth performance, apparent digestibility and slaughter quality of Atlantic salmon (Salmo salar)</t>
  </si>
  <si>
    <t>AQUACULTURE NUTRITION</t>
  </si>
  <si>
    <t>adiposity; computer tomography; Euphausia superba; feed intake; fillet quality; growth rate</t>
  </si>
  <si>
    <t>BASS MICROPTERUS-SALMOIDES; TROUT ONCORHYNCHUS-MYKISS; FREEZE-DRIED KRILL; FISH-MEAL; FEED-INTAKE; FED DIETS; CHEMICAL-COMPOSITION; SQUID EXTRACT; FAT-CONTENT; L. SMOLTS</t>
  </si>
  <si>
    <t>Two trials with Atlantic salmon (Salmo salar) were conducted to evaluate the potential of krill meal to improve feed intake. In the first experiment, after transfer to sea water, salmon smolts were fed diets added 75 or 150gkg(-1) Antarctic krill meal in substitution for fish meal for 13weeks. The apparent digestibility coefficient for crude protein and the majority of the amino acids was significantly lower in the feeds added krill meal (around 83.5%) than in the control diet (84.9%), whereas the digestibility of crude lipids, dry matter and energy was not significantly different among the three diets. Krill meal addition resulted in higher feed intake, which led to higher growth rates and final body weights. In the second experiment, large salmon were fed a diet containing 100gkg(-1) krill meal for 6weeks before slaughter. Their feed intake and growth performance were assessed, and fillet and visceral fat contents were measured. Salmon fed the 100gkg(-1) krill meal diet tended to eat more, resulting in significantly increased growth rates, when compared to control fish. Fish fed krill meal also had a significantly lower condition factor.</t>
  </si>
  <si>
    <t>[Hatlen, B.] Nofima Marin AS, Sunndalsora, Norway; [Berge, K.; Nordrum, S.] Aker BioMarine Antarctic AS, Oksenoyveien 10, N-1366 Lysaker, Norway; [Johnsen, K.] Helgeland Havbruksstasjon, Sentrum Naeringshage, Sandnessjoen, Norway; [Kolstad, K.; Morkore, T.] Nofima Marin AS, As, Norway</t>
  </si>
  <si>
    <t>Nofima; Nofima</t>
  </si>
  <si>
    <t>Berge, K (corresponding author), Aker BioMarine Antarctic AS, Oksenoyveien 10, N-1366 Lysaker, Norway.;Berge, K (corresponding author), POB 496, N-1327 Lysaker, Norway.</t>
  </si>
  <si>
    <t>kjetil.berge@akerbiomarine.com</t>
  </si>
  <si>
    <t>Aker Biomarine Antarctic AS, Oslo, Norway</t>
  </si>
  <si>
    <t>This research was funded by Aker Biomarine Antarctic AS, Oslo, Norway.</t>
  </si>
  <si>
    <t>1353-5773</t>
  </si>
  <si>
    <t>1365-2095</t>
  </si>
  <si>
    <t>AQUACULT NUTR</t>
  </si>
  <si>
    <t>Aquac. Nutr.</t>
  </si>
  <si>
    <t>10.1111/anu.12439</t>
  </si>
  <si>
    <t>FA7OF</t>
  </si>
  <si>
    <t>WOS:000405635300008</t>
  </si>
  <si>
    <t>Müller, MN; Trull, TW; Hallegraeff, GM</t>
  </si>
  <si>
    <t>Muller, Marius N.; Trull, Thomas W.; Hallegraeff, Gustaaf M.</t>
  </si>
  <si>
    <t>Independence of nutrient limitation and carbon dioxide impacts on the Southern Ocean coccolithophore Emiliania huxleyi</t>
  </si>
  <si>
    <t>CELL-CYCLE; NITROGEN-SOURCE; CO2; ACIDIFICATION; PHOSPHORUS; RESPONSES; GROWTH; CALCIFICATION; AVAILABILITY; TEMPERATURE</t>
  </si>
  <si>
    <t>Future oceanic conditions induced by anthropogenic greenhouse gas emissions include warming, acidification and reduced nutrient supply due to increased stratification. Some parts of the Southern Ocean are expected to show rapid changes, especially for carbonate mineral saturation. Here we compare the physiological response of the model coccolithophore Emiliania huxleyi (strain EHSO 5.14, originating from 50 degrees S, 149 degrees E) with pH/CO2 gradients (mimicking ocean acidification ranging from 1 to 4 x current pCO(2) levels) under nutrient-limited (nitrogen and phosphorus) and -replete conditions. Both nutrient limitations decreased per cell photosynthesis (particulate organic carbon (POC) production) and calcification (particulate inorganic carbon (PIC) production) rates for all pCO(2) levels, with more than 50% reductions under nitrogen limitation. These impacts, however, became indistinguishable from nutrient-replete conditions when normalized to cell volume. Calcification decreased three-fold and linearly with increasing pCO(2) under all nutrient conditions, and was accompanied by a smaller similar to 30% nonlinear reduction in POC production, manifested mainly above 3 x current pCO(2). Our results suggest that normalization to cell volume allows the major impacts of nutrient limitation (changed cell sizes and reduced PIC and POC production rates) to be treated independently of the major impacts of increasing pCO(2) and, additionally, stresses the importance of including cell volume measurements to the toolbox of standard physiological analysis of coccolithophores in field and laboratory studies.</t>
  </si>
  <si>
    <t>[Muller, Marius N.; Hallegraeff, Gustaaf M.] IMAS, Hobart, Tas, Australia; [Muller, Marius N.] Univ Sao Paulo, IO, Praca Oceanog 191, BR-05508120 Sao Paulo, SP, Brazil; [Trull, Thomas W.] Univ Tasmania, Antarctic Climate &amp; Ecosyst Cooperat Res Ctr, Hobart, Tas, Australia; [Trull, Thomas W.] CSIRO Oceans &amp; Atmosphere, Hobart, Tas, Australia</t>
  </si>
  <si>
    <t>Universidade de Sao Paulo; Antarctic Climate &amp; Ecosystems Cooperative Research Centre (ACE CRC); University of Tasmania; Commonwealth Scientific &amp; Industrial Research Organisation (CSIRO)</t>
  </si>
  <si>
    <t>Müller, MN (corresponding author), Univ Sao Paulo, IO, Praca Oceanog 191, BR-05508120 Sao Paulo, SP, Brazil.</t>
  </si>
  <si>
    <t>mnmuller@usp.br</t>
  </si>
  <si>
    <t>Hallegraeff, Gustaaf/C-8351-2013; Muller, Marius N./N-9338-2014</t>
  </si>
  <si>
    <t>Hallegraeff, Gustaaf/0000-0001-8464-7343; Muller, Marius N./0000-0003-4765-3933</t>
  </si>
  <si>
    <t>Australian Research Council [DP 1093801]; Conselho Nacional de Desenvolvimento Cientifico e Tecnologico Brasil (CNPq) [405585/2013-6]</t>
  </si>
  <si>
    <t>Australian Research Council(Australian Research Council); Conselho Nacional de Desenvolvimento Cientifico e Tecnologico Brasil (CNPq)(Conselho Nacional de Desenvolvimento Cientifico e Tecnologico (CNPQ))</t>
  </si>
  <si>
    <t>We thank D Davies for laboratory assistance. The work was funded by the Australian Research Council (DP 1093801) and the 'Conselho Nacional de Desenvolvimento Cientifico e Tecnologico Brasil (CNPq, Processo: 405585/2013-6)'.</t>
  </si>
  <si>
    <t>10.1038/ismej.2017.53</t>
  </si>
  <si>
    <t>FA8VD</t>
  </si>
  <si>
    <t>hybrid, Green Published, Green Accepted</t>
  </si>
  <si>
    <t>WOS:000405723500005</t>
  </si>
  <si>
    <t>England, MH; Hutchinson, DK; Santoso, A; Sijp, WP</t>
  </si>
  <si>
    <t>England, Matthew H.; Hutchinson, David K.; Santoso, Agus; Sijp, Willem P.</t>
  </si>
  <si>
    <t>Ice-Atmosphere Feedbacks Dominate the Response of the Climate System to Drake Passage Closure</t>
  </si>
  <si>
    <t>OCEAN CIRCULATION MODELS; SCALE WATER MASSES; ANTARCTIC GLACIATION; SOUTHERN-HEMISPHERE; EOCENE; TEMPERATURE; IMPACTS; SIMULATION; WORLD</t>
  </si>
  <si>
    <t>The response of the global climate system to Drake Passage (DP) closure is examined using a fully coupled ocean-atmosphere-ice model. Unlike most previous studies, a full three-dimensional atmospheric general circulation model is included with a complete hydrological cycle and a freely evolving wind field, as well as a coupled dynamic-thermodynamic sea ice module. Upon DP closure the initial response is found to be consistent with previous ocean-only and intermediate-complexity climate model studies, with an expansion and invigoration of the Antarctic meridional overturning, along with a slowdown in North Atlantic Deep Water (NADW) production. This results in a dominance of Southern Ocean poleward geostrophic flow and Antarctic sinking when DP is closed. However, within just a decade of DP closure, the increased southward heat transport has melted back a substantial fraction of Antarctic sea ice. At the same time the polar oceans warm by 4 degrees-6 degrees C on the zonal mean, and the maximum strength of the Southern Hemisphere westerlies weakens by similar or equal to 10%. These effects, not captured in models without ice and atmosphere feedbacks, combine to force Antarctic Bottom Water (AABW) to warm and freshen, to the point that this water mass becomes less dense than NADW. This leads to a marked contraction of the Antarctic overturning, allowing NADW to ventilate the abyssal ocean once more. Poleward heat transport settles back to very similar values as seen in the unperturbed DP open case. Yet remarkably, the equilibrium climate in the closed DP configuration retains a strong Southern Hemisphere warming, similar to past studies with no dynamic atmosphere. However, here it is ocean-atmosphere-ice feedbacks, primarily the ice-albedo feedback and partly the weakened midlatitude jet, not a vigorous southern sinking, which maintain the warm polar oceans. This demonstrates that DP closure can drive a hemisphere-scale warming with polar amplification, without the presence of any vigorous Southern Hemisphere overturning circulation. Indeed, DP closure leads to warming that is sufficient over the West Antarctic Ice Sheet region to inhibit ice-sheet growth. This highlights the importance of the DP gap, Antarctic sea ice, and the associated ice-albedo feedback in maintaining the present-day glacial state over Antarctica.</t>
  </si>
  <si>
    <t>[England, Matthew H.; Hutchinson, David K.; Santoso, Agus; Sijp, Willem P.] Univ New South Wales, ARC Ctr Excellence Climate Syst Sci, Sydney, NSW, Australia; [Hutchinson, David K.] Stockholm Univ, Bolin Ctr Climate Res, Stockholm, Sweden; [Hutchinson, David K.] Stockholm Univ, Dept Geol Sci, Stockholm, Sweden</t>
  </si>
  <si>
    <t>University of New South Wales Sydney; ARC Centre of Excellence for Climate System Science; Stockholm University</t>
  </si>
  <si>
    <t>England, MH (corresponding author), Univ New South Wales, ARC Ctr Excellence Climate Syst Sci, Sydney, NSW, Australia.</t>
  </si>
  <si>
    <t>m.england@unsw.edu.au</t>
  </si>
  <si>
    <t>Hutchinson, David/F-4564-2016; Sijp, Willem P/E-5988-2012; England, Matthew/A-7539-2011; Santoso, Agus/J-7350-2012; Santoso, Agus/P-1918-2019</t>
  </si>
  <si>
    <t>Hutchinson, David/0000-0001-9385-4782; England, Matthew/0000-0001-9696-2930; Santoso, Agus/0000-0001-7749-8124; Sijp, Willem/0000-0002-5971-3860</t>
  </si>
  <si>
    <t>Australian Research Council (ARC); ARC Centre of Excellence for Climate System Science [CE110001028]; ARC Laureate Fellowship [FL100100214]; National Computational Infrastructure (NCI) National Facility systems at the Australian National University through the National Computational Merit Allocation Scheme; Australian Government</t>
  </si>
  <si>
    <t>Australian Research Council (ARC)(Australian Research Council); ARC Centre of Excellence for Climate System Science(Australian Research Council); ARC Laureate Fellowship(Australian Research Council); National Computational Infrastructure (NCI) National Facility systems at the Australian National University through the National Computational Merit Allocation Scheme; Australian Government(Australian Government)</t>
  </si>
  <si>
    <t>This work was supported by the Australian Research Council (ARC), including the ARC Centre of Excellence for Climate System Science (CE110001028) and an ARC Laureate Fellowship (FL100100214). Numerical simulations were supported by the National Computational Infrastructure (NCI) National Facility systems at the Australian National University through the National Computational Merit Allocation Scheme supported by the Australian Government.</t>
  </si>
  <si>
    <t>10.1175/JCLI-D-15-0554.1</t>
  </si>
  <si>
    <t>FA5GG</t>
  </si>
  <si>
    <t>WOS:000405470400010</t>
  </si>
  <si>
    <t>Johnson, SC; Large, RR; Coveney, RM; Kelley, KD; Slack, JF; Steadman, JA; Gregory, DD; Sack, PJ; Meffre, S</t>
  </si>
  <si>
    <t>Johnson, Sean C.; Large, Ross R.; Coveney, Raymond M.; Kelley, Karen D.; Slack, John F.; Steadman, Jeffrey A.; Gregory, Daniel D.; Sack, Patrick J.; Meffre, Sebastien</t>
  </si>
  <si>
    <t>Secular distribution of highly metalliferous black shales corresponds with peaks in past atmosphere oxygenation</t>
  </si>
  <si>
    <t>MINERALIUM DEPOSITA</t>
  </si>
  <si>
    <t>TRACE-ELEMENT CONTENT; MO-PGE-AU; SEDIMENTARY PYRITE; SOUTH CHINA; METALS; OCEAN; PROXIES; NI; MINERALIZATION; GEOCHEMISTRY</t>
  </si>
  <si>
    <t>Highly metalliferous black shales (HMBS) are enriched in organic carbon and a suite of metals, including Ni, Se, Mo, Ag, Au, Zn, Cu, Pb, V, As, Sb, Se, P, Cr, and U +/- PGE, compared to common black shales, and are distributed at particular times through Earth history. They constitute an important future source of metals. HMBS are relatively thin units within thicker packages of regionally extensive, continental margin or intra-continental marine shales that are rich in organic matter and bio-essential trace elements. Accumulation and preservation of black shales, and the metals contained within them, usually require low-oxygen or euxinic bottom waters. However, whole-rock redox proxies, particularly Mo, suggest that HMBS may have formed during periods of elevated atmosphere pO(2). This interpretation is supported by high levels of nutrient trace elements within these rocks and secular patterns of Se and Se/Co ratios in sedimentary pyrite through Earth history, with peaks occurring in the middle Paleoproterozoic, Early Cambrian to Early Ordovician, Middle Devonian, Middle to late Carboniferous, Middle Permian, and Middle to Late Cretaceous, all corresponding with time periods of HMBS deposition. This counter-intuitive relationship of strongly anoxic to euxinic, localized seafloor conditions forming under an atmosphere of peak oxygen concentrations is proposed as key to the genesis of HMBS. The secular peaks and shoulders of enriched Se in sedimentary pyrite through time correlate with periods of tectonic plate collision, which resulted in high nutrient supply to the oceans and consequently maximum productivity accompanying severe drawdown into seafloor muds of C, S, P, and nutrient trace metals. The focused burial of C and S over extensive areas of the seafloor, during these anoxic to euxinic periods, likely resulted in an O-2 increase in the atmosphere, causing short-lived peaks in pO(2) that coincide with the deposition of HMBS. As metals become scarce, particularly Mo, Ni, Se, Ag, and U, the geological times of these narrow HMBS horizons will become a future focus for exploration.</t>
  </si>
  <si>
    <t>[Johnson, Sean C.; Large, Ross R.; Steadman, Jeffrey A.; Meffre, Sebastien] Univ Tasmania, ARC Ctr Excellence Ore Deposits, CODES, Sandy Bay, Tas 7005, Australia; [Johnson, Sean C.] Univ Tasmania, Inst Marine &amp; Antarctic Studies, Hobart, Tas 7001, Australia; [Coveney, Raymond M.] Univ Missouri, Kansas City, MO 64110 USA; [Kelley, Karen D.] US Geol Survey, MS 973, Denver, CO 80225 USA; [Slack, John F.] US Geol Survey, MS 954, Reston, VA 20192 USA; [Gregory, Daniel D.] Univ Calif Riverside, Riverside, CA 92521 USA; [Sack, Patrick J.] Yukon Geol Survey, Whitehorse, YT Y1A 2C6, Canada</t>
  </si>
  <si>
    <t>University of Tasmania; University of Tasmania; University of Missouri System; University of Missouri Kansas City; United States Department of the Interior; United States Geological Survey; United States Department of the Interior; United States Geological Survey; University of California System; University of California Riverside</t>
  </si>
  <si>
    <t>Large, RR (corresponding author), Univ Tasmania, ARC Ctr Excellence Ore Deposits, CODES, Sandy Bay, Tas 7005, Australia.</t>
  </si>
  <si>
    <t>ross.large@utas.edu.au</t>
  </si>
  <si>
    <t>Meffre, Sebastien/O-6896-2019; Coveney, Raymond/IVV-7464-2023; Kelley, Karen/HNQ-6474-2023; Steadman, Jeffrey/W-2231-2019; Large, Ross R/C-5365-2009; Coveney, Raymond/D-5133-2017</t>
  </si>
  <si>
    <t>Meffre, Sebastien/0000-0003-2741-6076; Kelley, Karen/0000-0002-3232-5809; Steadman, Jeffrey/0000-0003-4679-3643; Coveney, Raymond/0000-0002-2082-9727; Large, Ross/0000-0003-0012-0101; Johnson, Sean/0000-0001-9015-3809</t>
  </si>
  <si>
    <t>ANZIC-IODP grant [ARC LE0882854]; Mining Institute of Scotland's Sam Mavor Travelling Scholarship; ARC grant [DP 150102578]</t>
  </si>
  <si>
    <t>ANZIC-IODP grant; Mining Institute of Scotland's Sam Mavor Travelling Scholarship; ARC grant(Australian Research Council)</t>
  </si>
  <si>
    <t>Thanks to Leonid Danyushevsky, Sarah Gilbert, Paul Olin, and Elena Lounejeva, who ensured high-quality analyses of pyrite for this project. Rob Willink kindly provided access to drill cores from the Arthur Creek Formation, Queensland. Special thanks to Jan Peter and Hartwig Frimmell for their excellent reviews and suggestions for improvement of the manuscript. SCJ was supported by an ANZIC-IODP grant (ARC LE0882854) and the Mining Institute of Scotland's Sam Mavor Travelling Scholarship. Large was supported by an ARC grant DP 150102578.</t>
  </si>
  <si>
    <t>0026-4598</t>
  </si>
  <si>
    <t>1432-1866</t>
  </si>
  <si>
    <t>MINER DEPOSITA</t>
  </si>
  <si>
    <t>Miner. Depos.</t>
  </si>
  <si>
    <t>10.1007/s00126-017-0735-7</t>
  </si>
  <si>
    <t>Geochemistry &amp; Geophysics; Mineralogy</t>
  </si>
  <si>
    <t>FA7CP</t>
  </si>
  <si>
    <t>WOS:000405602500001</t>
  </si>
  <si>
    <t>Ivanova, DK; Kietzmann, DA</t>
  </si>
  <si>
    <t>Ivanova, Dania K.; Kietzmann, Diego A.</t>
  </si>
  <si>
    <t>Calcareous dinoflagellate cysts from the Tithonian - Valanginian Vaca Muerta Formation in the southern Mendoza area of the Neuquen Basin, Argentina</t>
  </si>
  <si>
    <t>Calcareous dinoflagellate cysts; biostratigraphy; Upper jurassic; Lower cretaceous; Vaca Muerta Formation</t>
  </si>
  <si>
    <t>JURASSIC-CRETACEOUS BOUNDARY; ANTARCTIC PENINSULA; CARBONATE RAMP; SOURCE-ROCK; BIOSTRATIGRAPHY; STRATIGRAPHY; CARPATHIANS; SUCCESSION; AMERICA; SECTION</t>
  </si>
  <si>
    <t>The Late Jurassic - Early Cretaceous marine sediments of the Andean region show an excellent record of different calcareous microfossils, among which calcareous dinoflagellate cysts stand out. Detailed micropaleontological studies of Vaca Muerta Formation (Early Tithonian - Early Valanginian) in the southern Mendoza Neuquen Basin from three sections are conducted with the aim of establishing a major presence of microfossil representatives from different microfossil groups. The analysis of several thin sections from the outcrops reveals a relatively rich micropaleontological assemblage of calcareous dinoflagellate cysts, as well as levels with poor preserved calpionellids and benthic foraminifera. Particularly, calcareous dinoflagellate cyst includes 24 known species (two of them with two subspecies). Some species with biostratigraphic value of the Tethyan region have been identified also in the Andean region: 1) Committosphaera pulls (Borza) and Parastomiosphaera malmica (Borza) are species known only from Lower Tithonian; 2) Colomisphaera tenuis (Nagy) appears in the latest Early Tithonian; 3) Colomisphaera fords Rehanek and Stomiosphaerina proxima Rehanek are important markers for the latest Late Tithonian - middle Late Berriasian interval; 4) Stomiosphaera wanneri Borza appears in the middle Late Berriasian; 5) Colomisphaera conferta Rehanek and Colomisphaera vogleri (Borza) appear in the Late Berriasian and marked the Berriasian-Valanginian boundary interval; 6) Carpistomiosphaera valanginiana Borza is a marker for the Lower/Upper Valanginian. More detailed studies of these groups will allow their correlation with Tethyan biozones, and contribute to improve biostratigraphic schemes in the Neuquen Basin. (c) 2017 Elsevier Ltd. All rights reserved.</t>
  </si>
  <si>
    <t>[Ivanova, Dania K.] Bulgarian Acad Sci, Dept Paleontol Stratig &amp; Sedimentol, Geol Inst, BG-1113 Sofia, Bulgaria; [Kietzmann, Diego A.] Univ Buenos Aires, Fac Ciencias Exactas &amp; Nat, Dept Ciencias Geol, Ciudad Univ,Pabellon 2,Intendente Guiraldes 2160, Buenos Aires, DF, Argentina; [Kietzmann, Diego A.] Univ Buenos Aires, CONICET, Inst Geociencias Basicas Ambientales &amp; Aplicadas, Buenos Aires, DF, Argentina</t>
  </si>
  <si>
    <t>Bulgarian Academy of Sciences; University of Buenos Aires; Consejo Nacional de Investigaciones Cientificas y Tecnicas (CONICET); University of Buenos Aires</t>
  </si>
  <si>
    <t>Kietzmann, DA (corresponding author), Univ Buenos Aires, CONICET, Inst Geociencias Basicas Ambientales &amp; Aplicadas, Buenos Aires, DF, Argentina.</t>
  </si>
  <si>
    <t>diegokietzmann@gl.fcen.uba.ar</t>
  </si>
  <si>
    <t>Kietzmann, Diego/S-4549-2019; Ivanova, Daria K/B-8443-2013</t>
  </si>
  <si>
    <t>Ivanova, Daria K/0000-0001-7521-1716; Kietzmann, Diego Alejandro/0000-0003-1222-7811</t>
  </si>
  <si>
    <t>Agencia Nacional de Promocion Cientifica y Tecnologica [PICT-2015-0206]; University of Buenos Aires; UBACyT proyect [20020150200218BA]</t>
  </si>
  <si>
    <t>Agencia Nacional de Promocion Cientifica y Tecnologica(ANPCyTSpanish Government); University of Buenos Aires(University of Buenos Aires); UBACyT proyect</t>
  </si>
  <si>
    <t>This research has been done under the framework of the PICT-2015-0206 project supported by the Agencia Nacional de Promocion Cientifica y Tecnologica, and UBACyT 20020150200218BA proyect supported by the University of Buenos Aires. We are especially grateful to Dr. Alberto Riccardi (Universidad Nacional de La Plata y Museo, Argentina) for ammonite identification and discussion of Tithonian-Valanginian biostratigraphic data of the Neuquen over the years. Also, we thank Dr. H.A. Leanza (Museo de Ciencias Naturales Bernandino Rivadavia, Argentina) for his enriching conversations regarding the Neuquen Basin stratigraphy. We thank Dr. Mohamed Benzaggagh (Universite Moulay Ismail, Morocco), Dr. Rafael Lopez Martinez (Universidad Nacional Autonoma de Mexico, Mexico) and an anonymous reviewer, for their comments and suggestions that improved the original manuscript, as well as the editorial work of Dr. F. Vega (Regional Editor JSAES).</t>
  </si>
  <si>
    <t>10.1016/j.jsames.2017.05.004</t>
  </si>
  <si>
    <t>EZ9LJ</t>
  </si>
  <si>
    <t>WOS:000405051600011</t>
  </si>
  <si>
    <t>Naughten, KA; Galton-Fenzi, BK; Meissner, KJ; England, MH; Brassington, GB; Colberg, F; Hattermann, T; Debernard, JB</t>
  </si>
  <si>
    <t>Naughten, Kaitlin A.; Galton-Fenzi, Benjamin K.; Meissner, Katrin J.; England, Matthew H.; Brassington, Gary B.; Colberg, Frank; Hattermann, Tore; Debernard, Jens B.</t>
  </si>
  <si>
    <t>Spurious sea ice formation caused by oscillatory ocean tracer advection schemes</t>
  </si>
  <si>
    <t>Advection; Dispersive error; Sea ice; Terrain-following coordinates; Ocean modelling</t>
  </si>
  <si>
    <t>GENERAL-CIRCULATION MODELS; COUPLING TOOLKIT; SYSTEM MODEL; TRANSPORT; PARAMETERIZATION; EXPLICIT</t>
  </si>
  <si>
    <t>Tracer advection schemes used by ocean models are susceptible to artificial oscillations: a form of numerical error whereby the advected field alternates between overshooting and undershooting the exact solution, producing false extrema. Here we show that these oscillations have undesirable interactions with a coupled sea ice model. When oscillations cause the near-surface ocean temperature to fall below the freezing point, sea ice forms for no reason other than numerical error. This spurious sea ice formation has significant and wide-ranging impacts on Southern Ocean simulations, including the disappearance of coastal polynyas, stratification of the water column, erosion of Winter Water, and upwelling of warm Circumpolar Deep Water. This significantly limits the model's suitability for coupled ocean-ice and climate studies. Using the terrain-following-coordinate ocean model ROMS (Regional Ocean Modelling System) coupled to the sea ice model CICE (Community Ice CodE) on a circumpolar Antarctic domain, we compare the performance of three different tracer advection schemes, as well as two levels of parameterised diffusion and the addition of flux limiters to prevent numerical oscillations. The upwind third-order advection scheme performs better than the centered fourth-order and Akima fourth-order advection schemes, with far fewer incidents of spurious sea ice formation. The latter two schemes are less problematic with higher parameterised diffusion, although some supercooling artifacts persist. Spurious supercooling was eliminated by adding flux limiters to the upwind third-order scheme. We present this comparison as evidence of the problematic nature of oscillatory advection schemes in sea ice formation regions, and urge other ocean/sea-ice modellers to exercise caution when using such schemes. (C) 2017 Elsevier Ltd. All rights reserved.</t>
  </si>
  <si>
    <t>[Naughten, Kaitlin A.; Meissner, Katrin J.; England, Matthew H.] Univ New South Wales, Climate Change Res Ctr, Level 4,Mathews Bldg, Sydney, NSW 2052, Australia; [Naughten, Kaitlin A.; Meissner, Katrin J.; England, Matthew H.] ARC Ctr Excellence Climate Syst Sci, Canberra, ACT, Australia; [Naughten, Kaitlin A.; Galton-Fenzi, Benjamin K.] Antarctic Climate &amp; Ecosyst Cooperat Res Ctr, Private Bag 80, Hobart, Tas 7001, Australia; [Galton-Fenzi, Benjamin K.] Australian Antarctic Div, 203 Channel Highway, Kingston, Tas 7050, Australia; [Brassington, Gary B.; Colberg, Frank] Bur Meteorol, POB 413, Darlinghurst, NSW 1300, Australia; [Hattermann, Tore] Akvaplan Niva, POB 6606, N-9296 Tromso, Norway; [Hattermann, Tore] Alfred Wegener Inst, Postfach 12 01 61, D-27515 Bremerhaven, Germany; [Debernard, Jens B.] Norwegian Meteorol Inst, POB 43, N-0313 Oslo, Norway</t>
  </si>
  <si>
    <t>University of New South Wales Sydney; ARC Centre of Excellence for Climate System Science; Antarctic Climate &amp; Ecosystems Cooperative Research Centre (ACE CRC); Australian Antarctic Division; Bureau of Meteorology - Australia; Akvaplan-niva; Helmholtz Association; Alfred Wegener Institute, Helmholtz Centre for Polar &amp; Marine Research; Norwegian Meteorological Institute</t>
  </si>
  <si>
    <t>Naughten, KA (corresponding author), Univ New South Wales, Climate Change Res Ctr, Level 4,Mathews Bldg, Sydney, NSW 2052, Australia.</t>
  </si>
  <si>
    <t>k.naughten@unsw.edu.au; Ben.Galton-fenzi@aad.gov.au; k.meissner@unsw.edu.au; m.england@unsw.edu.au; gary.brassington@bom.gov.au; frank.colberg@bom.gov.au; tore.hattermann@awi.de; jens.debernard@met.no</t>
  </si>
  <si>
    <t>England, Matthew/A-7539-2011</t>
  </si>
  <si>
    <t>England, Matthew/0000-0001-9696-2930; Brassington, Gary/0000-0002-4227-3221; Meissner, Katrin/0000-0002-0716-7415; Hattermann, Tore/0000-0002-5538-2267; Galton-Fenzi, Benjamin Keith/0000-0003-1404-4103; Naughten, Kaitlin/0000-0001-9475-9162</t>
  </si>
  <si>
    <t>Australian Government scholarship under the Australian Postgraduate Award and Research Training Program schemes; UNSW Research Excellence Award; UNSW Science Silver Star and Gold Star Awards; Australian Research Council's Centre of Excellence for Climate System Science; Australian Government's Cooperative Research Centre Programme through the Antarctic Climate &amp; Ecosystems Cooperative Research Centre; NCI National Facility at the Australian National University, through award under the Merit Allocation Scheme; NCI National Facility at the Australian National University, through award under the Intersect allocation scheme</t>
  </si>
  <si>
    <t>Australian Government scholarship under the Australian Postgraduate Award and Research Training Program schemes; UNSW Research Excellence Award; UNSW Science Silver Star and Gold Star Awards; Australian Research Council's Centre of Excellence for Climate System Science(Australian Research Council); Australian Government's Cooperative Research Centre Programme through the Antarctic Climate &amp; Ecosystems Cooperative Research Centre(Australian GovernmentDepartment of Industry, Innovation and ScienceCooperative Research Centres (CRC) Programme); NCI National Facility at the Australian National University, through award under the Merit Allocation Scheme; NCI National Facility at the Australian National University, through award under the Intersect allocation scheme</t>
  </si>
  <si>
    <t>We are grateful to Michael Dinniman, Petra Heil, Xylar AsayDavis, and Elizabeth Hunke, all of whom provided valuable advice while we were trying to track down the cause of our disappearing polynyas and Winter Water. Nicolas Hannah provided technical support during the installation of MetROMS. This research was supported by an Australian Government scholarship under the Australian Postgraduate Award and Research Training Program schemes, a UNSW Research Excellence Award, and UNSW Science Silver Star and Gold Star Awards. Support was also provided by the Australian Research Council's Centre of Excellence for Climate System Science, and the Australian Government's Cooperative Research Centre Programme through the Antarctic Climate &amp; Ecosystems Cooperative Research Centre. Computational resources were provided by the NCI National Facility at the Australian National University, through awards under the Merit Allocation Scheme and the Intersect allocation scheme. We would like to thank Xylar Asay-Davis and two anonymous reviewers for their comments on this manuscript.</t>
  </si>
  <si>
    <t>10.1016/j.ocemod.2017.06.010</t>
  </si>
  <si>
    <t>FA5DN</t>
  </si>
  <si>
    <t>WOS:000405462900007</t>
  </si>
  <si>
    <t>Karanovic, I; Lavtizar, V; Djurakic, M</t>
  </si>
  <si>
    <t>Karanovic, Ivana; Lavtizar, Vesna; Djurakic, Marko</t>
  </si>
  <si>
    <t>A complete survey of normal pores on a smooth shell ostracod (Crustacea): Landmark-based versus outline geometric morphometrics</t>
  </si>
  <si>
    <t>JOURNAL OF MORPHOLOGY</t>
  </si>
  <si>
    <t>cytochrome b; 2D-geometric morphometrics; directional asymmetry; Elliptic Fourier analysis; normal pores; sexual dimorphism</t>
  </si>
  <si>
    <t>CYTOCHROME-B GENE; FLUCTUATING ASYMMETRY; DISTRIBUTIONAL PATTERNS; WING SHAPE; EVOLUTION; VARIABILITY; SEQUENCE; POPULATIONS; MORPHOLOGY; INFERENCE</t>
  </si>
  <si>
    <t>Pores and sensilla on ostracod shell have often been used in studies of ontogeny, taxonomy, and phylogeny of the group. However, an analysis of sexual dimorphism and variation between valves in the number and distribution of pores is lacking. Also, such studies have never been done on a widely distributed, morphologically variable, and weakly ornamented freshwater ostracod. Here, we survey pores in one such species, Physocypria kraepelini. We choose 27 homologous pores as landmarks for 2D-geometric morphometric analysis, with the aim to assess intersexual and between valves variation in size and shape relative to the Fourier outline analysis. This species has only simple (Type A) pores with and without a lip, and each pore carries an undivided sensory seta. Our results show that the total number of pores varies (from 270 to 296), but this is not associated with a specific valve. Males carry fewer pores than females, however no sex specific pores are found. Small intrapopulation divergence of the Cyt b molecular marker (1%) indicates that morphological variability is not species related. We found that P. kraepelini exhibits directional asymmetry of size and shape, sexual size dimorphism (SSD) but lacks sexual shape dimorphism (SShD). Two geometric morphometrics methods were congruent in the estimation of SSD, SShD, and directional asymmetry of shape but differ in the statistical evaluation of directional asymmetry of size. Contrary to other animal groups, our study suggests that ostracods have more pronounced directional asymmetry of shape compared to directional asymmetry of size.</t>
  </si>
  <si>
    <t>[Karanovic, Ivana] Hanyang Univ, Coll Nat Sci, Dept Life Sci, Seoul 133791, South Korea; [Karanovic, Ivana] Univ Tasmania, Inst Marine &amp; Antarctic Studies, Private Bag 49, Hobart, Tas 7001, Australia; [Lavtizar, Vesna] Kobe Univ, Lab Maritime Environm Management, Res Ctr Inland Seas, Higashinada Ku, 5-1-1 Fukaeminami, Kobe, Hyogo 6580022, Japan; [Djurakic, Marko] Univ Novi Sad, Dept Biol &amp; Ecol, Fac Sci, Trg Dositeja Obradovica 2, Novi Sad 21000, Serbia</t>
  </si>
  <si>
    <t>Hanyang University; University of Tasmania; Kobe University; University of Novi Sad</t>
  </si>
  <si>
    <t>Karanovic, I (corresponding author), Hanyang Univ, Coll Nat Sci, Dept Life Sci, Seoul 133791, South Korea.</t>
  </si>
  <si>
    <t>Djurakic, Marko/L-7974-2019</t>
  </si>
  <si>
    <t>Djurakic, Marko/0000-0001-5735-1635</t>
  </si>
  <si>
    <t>National Institute of Biodiversity Research in Korea, NIBR [NIBR201501201]; National Research Foundation of Korea (NRF) [2016R1D1A1B01009806]; Ministry of Education, Science and Technological Development of the Republic of Serbia [173012]</t>
  </si>
  <si>
    <t>National Institute of Biodiversity Research in Korea, NIBR; National Research Foundation of Korea (NRF)(National Research Foundation of Korea); Ministry of Education, Science and Technological Development of the Republic of Serbia</t>
  </si>
  <si>
    <t>National Institute of Biodiversity Research in Korea, NIBR Number: NIBR201501201; National Research Foundation of Korea (NRF), Grant Number: 2016R1D1A1B01009806; Ministry of Education, Science and Technological Development of the Republic of Serbia; Project Number: 173012.</t>
  </si>
  <si>
    <t>0362-2525</t>
  </si>
  <si>
    <t>1097-4687</t>
  </si>
  <si>
    <t>J MORPHOL</t>
  </si>
  <si>
    <t>J. Morphol.</t>
  </si>
  <si>
    <t>10.1002/jmor.20696</t>
  </si>
  <si>
    <t>Anatomy &amp; Morphology</t>
  </si>
  <si>
    <t>FA4FR</t>
  </si>
  <si>
    <t>WOS:000405399700005</t>
  </si>
  <si>
    <t>Dabski, M; Zmarz, A; Pabjanek, P; Korczak-Abshire, M; Karsznia, I; Chwedorzewska, KJ</t>
  </si>
  <si>
    <t>Dabski, Maciej a; Zmarz, Anna; Pabjanek, Piotr; Korczak-Abshire, Malgorzata; Karsznia, Izabela; Chwedorzewska, Katarzyna J.</t>
  </si>
  <si>
    <t>UAV-based detection and spatial analyses of periglacial landforms on Demay Point (King George Island, South Shetland Islands, Antarctica)</t>
  </si>
  <si>
    <t>Western Antarctica; Periglacial landforms; Long-range unmanned aerial vehicle; Photointerpretation</t>
  </si>
  <si>
    <t>PENINSULA; ENVIRONMENTS; PERMAFROST</t>
  </si>
  <si>
    <t>High-resolution aerial images allow detailed analyses of periglacial landforms, which is of particular importance in light of climate change and resulting changes in active layer thickness. The aim of this study is to show possibilities of using UAV-based photography to perform spatial analysis of periglacial landforms on the Demay Point peninsula, King George Island, and hence to supplement previous geomorphological studies of the South Shetland Islands. Photogrammetric flights were performed using a PW-ZOOM fixed-winged unmanned aircraft vehicle. Digital elevation models (DEM) and maps of slope and contour lines were prepared in ESRI ArcGIS 10.3 with the Spatial Analyst extension, and three-dimensional visualizations in ESRI ArcScene 10.3 software. Careful interpretation of orthophoto and DEM, allowed us to vectorize polygons of landforms, such as (i) solifluction landforms (solifluction sheets, tongues, and lobes); (ii) scarps, taluses, and a protalus rampart; (iii) patterned ground (hummocks, sorted circles, stripes, nets and labyrinths, and nonsorted nets and stripes); (iv) coastal landforms (cliffs and beaches); (v) landslides and mud flows; and (vi) stone fields and bedrock outcrops. We conclude that geomorphological studies based on commonly accessible aerial and satellite images can underestimate the spatial extent of periglacial landforms and result in incomplete inventories. The PW-ZOOM UAV is well suited to gather detailed geomorphological data and can be used in spatial analysis of periglacial landforms in the Western Antarctic Peninsula region.</t>
  </si>
  <si>
    <t>[Dabski, Maciej a] Univ Warsaw, Fac Geog &amp; Reg Studies, Dept Geomorphol, Krakowskie Przedmiescie 30, PL-00927 Warsaw, Poland; [Zmarz, Anna; Pabjanek, Piotr; Karsznia, Izabela] Univ Warsaw, Fac Geog &amp; Reg Studies, Dept Geoinformat Cartog &amp; Remote Sensing, Krakowskie Przedmiescie 30, PL-00927 Warsaw, Poland; [Korczak-Abshire, Malgorzata; Chwedorzewska, Katarzyna J.] Polish Acad Sci, Inst Biochem &amp; Biophys, Pawinskiego 5a, PL-02106 Warsaw, Poland</t>
  </si>
  <si>
    <t>University of Warsaw; University of Warsaw; Polish Academy of Sciences; Institute of Biochemistry &amp; Biophysics - Polish Academy of Sciences</t>
  </si>
  <si>
    <t>Dabski, M (corresponding author), Univ Warsaw, Fac Geog &amp; Reg Studies, Dept Geomorphol, Krakowskie Przedmiescie 30, PL-00927 Warsaw, Poland.</t>
  </si>
  <si>
    <t>mfdbski@uw.edu.pl</t>
  </si>
  <si>
    <t>Chwedorzewska, Katarzyna J/A-9480-2008; Chwedorzewska, Katarzyna/M-9721-2019; Korczak-Abshire, Malgorzata/AAA-1563-2020; Dąbski, Maciej/AAY-7184-2020; Karsznia, Izabela/W-8042-2019; Zmarz, Anna/T-9548-2018</t>
  </si>
  <si>
    <t>Chwedorzewska, Katarzyna/0000-0001-6860-3666; Korczak-Abshire, Malgorzata/0000-0001-7695-0588; Karsznia, Izabela/0000-0001-5510-8770; Zmarz, Anna/0000-0001-5846-4017; Dabski, Maciej/0000-0003-1018-9639</t>
  </si>
  <si>
    <t>Polish-Norwegian Research Programme [197810]</t>
  </si>
  <si>
    <t>Polish-Norwegian Research Programme</t>
  </si>
  <si>
    <t>The research leading to these results was funded by the Polish-Norwegian Research Programme operated by the National Centre for Research and Development under the Norwegian Financial Mechanism 2009-2014 under Project Contract No 197810. The authors wish to thank Prof. Miroslaw Rodzewicz and his team from Warsaw University of Technology, Faculty of Power and Aeronautical Engineering, Department of Aircraft Design for designing of UAV PW-ZOOM and relevant support during Antarctic Expediton in 2015. Gracious thanks are provided to Barbara Przybylska for the linguistic adjustments, to the three reviewers for constructive comments, and to the editor for improving the final version of this paper.</t>
  </si>
  <si>
    <t>10.1016/j.geomorph.2017.03.033</t>
  </si>
  <si>
    <t>EZ9NC</t>
  </si>
  <si>
    <t>WOS:000405056100003</t>
  </si>
  <si>
    <t>Esteves, M; Bjarnadóttir, LR; Winsborrow, MCM; Shackleton, CS; Andreassen, K</t>
  </si>
  <si>
    <t>Esteves, Mariana; Bjarnadottir, Lilja R.; Winsborrow, Monica C. M.; Shackleton, Calvin S.; Andreassen, Karin</t>
  </si>
  <si>
    <t>Retreat patterns and dynamics of the Sentralbankrenna glacial system, central Barents Sea</t>
  </si>
  <si>
    <t>Late quaternary; Deglaciation; Barents Sea Ice Sheet; Glacial geomorphology; Sentralbankrenna palaeo-ice stream; GZW; MSGL; Marine-based ice sheet; Ice stream reconstruction; Glacial dynamics</t>
  </si>
  <si>
    <t>BJORNOYRENNA ICE STREAM; POLAR NORTH-ATLANTIC; GROUNDING-LINE; SEISMIC ARCHITECTURE; SUBMARINE LANDFORMS; CALVING PROCESSES; SUBGLACIAL LAKES; SHEET EXTENT; DEGLACIATION; SVALBARD</t>
  </si>
  <si>
    <t>The Barents Sea Ice Sheet (BSIS) is a good palaeo-analogue for the present day West Antarctic Ice Sheet. Both were marine-based ice sheets, particularly vulnerable to ocean warming and sea-level rise. Understanding the BSIS ice dynamics and patterns of retreat since the Last Glacial Maximum (LGM) is useful in developing our knowledge of spatial and temporal variations during marine-based ice sheet retreat. While the western margins of the Barents Sea have been extensively studied, few studies have focused on the central regions, which hosted key ice stream tributaries and major ice domes and divides. Presenting a new high-resolution (5 m) bathymetric dataset, this glacial geomorphological study focuses on the Sentralbankrenna palaeo-glacial system in the central Barents Sea. A large number of grounding zone wedges, mega-scale glacial lineations and areas with tunnel valleys and palaeo-subglacial basins were identified. These form the basis for a six-stage reconstruction of ice stream retreat through deglaciation since the LGM. In reconstructing the retreat of the Sentralbankrenna Ice Stream, we document the rapid but highly spatially variable pattern of retreat of a marine-based ice sheet margin. The presence of several tunnel valleys and interconnected palaeo-subglacial basin systems indicates an abundance of meltwater, likely to have been stored and released through several discharge events, significantly influencing the ice stream margin dynamics. This study provides insight into the behaviour and dynamics of ice during the late stages of the BSIS deglaciation within the central Barents Sea, increasing our understanding of grounding line processes. (C) 2017 Elsevier Ltd. All rights reserved.</t>
  </si>
  <si>
    <t>[Esteves, Mariana; Winsborrow, Monica C. M.; Shackleton, Calvin S.; Andreassen, Karin] UiT Arctic Univ Norway, Dept Geosci, CAGE Ctr Arctic Gas Hydrate Environm &amp; Climate, N-9037 Tromso, Norway; [Bjarnadottir, Lilja R.] Geol Survey Norway NGU, Postboks 6315 Sluppen, N-7491 Trondheim, Norway</t>
  </si>
  <si>
    <t>UiT The Arctic University of Tromso; Geological Survey of Norway</t>
  </si>
  <si>
    <t>Esteves, M (corresponding author), UiT Arctic Univ Norway, Dept Geosci, CAGE Ctr Arctic Gas Hydrate Environm &amp; Climate, N-9037 Tromso, Norway.</t>
  </si>
  <si>
    <t>mariana.esteves@uit.no</t>
  </si>
  <si>
    <t>Shackleton, Calvin S/M-8373-2018</t>
  </si>
  <si>
    <t>Shackleton, Calvin S/0000-0003-4534-4598; Winsborrow, Monica/0000-0001-5950-1254</t>
  </si>
  <si>
    <t>Research Council of Norway through the Centre of Excellence funding scheme [223259]</t>
  </si>
  <si>
    <t>Research Council of Norway through the Centre of Excellence funding scheme(Research Council of Norway)</t>
  </si>
  <si>
    <t>We would like to acknowledge Kartverket (the Norwegian Hydrographic Service), the Geological Survey of Norway and the MAREANO programme for the provision of this dataset, used here under a CC by 4.0 license (https://creativecommons.org/licenses/by/4.0/legalcode). This is a contribution to CAGE (Centre for Arctic Gas Hydrate, Environment and Climate) that is funded by the Research Council of Norway through the Centre of Excellence funding scheme grant no. 223259. Furthermore, we would like to acknowledge the editor and reviewer, Neil Glasser, and our second reviewer, Stephen Livingstone, for their insightful and constructive comments, which have greatly helped to improve this manuscript.</t>
  </si>
  <si>
    <t>10.1016/j.quascirev.2017.06.004</t>
  </si>
  <si>
    <t>WOS:000405154100009</t>
  </si>
  <si>
    <t>Streuff, K; Cofaigh, CO; Hogan, K; Jennings, A; Lloyd, JM; Noormets, R; Nielsen, T; Kuijpers, A; Dowdeswell, JA; Weinrebe, W</t>
  </si>
  <si>
    <t>Streuff, Katharina; Cofaigh, Colm O.; Hogan, Kelly; Jennings, Anne; Lloyd, Jeremy M.; Noormets, Riko; Nielsen, Tove; Kuijpers, Antoon; Dowdeswell, Julian A.; Weinrebe, Wilhelm</t>
  </si>
  <si>
    <t>Seafloor geomorphology and glacimarine sedimentation associated with fast-flowing ice sheet outlet glaciers in Disko Bay, West Greenland</t>
  </si>
  <si>
    <t>Glacial geomorphology; Sedimentology; Holocene; Greenland; Deglaciation; Tidewater glaciers</t>
  </si>
  <si>
    <t>SUBMARINE LANDFORMS; MARINE SEDIMENTATION; JAKOBSHAVNS ISBRAE; SCORESBY-SUND; SEISMIC ARCHITECTURE; STREAM RETREAT; GROUNDING-LINE; BAFFIN-ISLAND; MUIR INLET; HOLOCENE</t>
  </si>
  <si>
    <t>Fast-flowing outlet glaciers currently drain the Greenland Ice Sheet (GIS), delivering ice, meltwater and debris to the fjords around Greenland. Although such glaciers strongly affect the ice sheet's mass balance, their glacimarine processes and associated products are still poorly understood. This study provides a detailed analysis of lithological and geophysical data from Disko Bay and the Vaigat Strait in central West Greenland. Disko Bay is strongly influenced by Jakobshavn Isbr ae, Greenland's fastest-flowing glacier, which currently drains similar to 7% of the ice sheet. Streamlined glacial landforms record the former flow of an expanded Jakobshavn Isbr ae and adjacent GIS outlets through Disko Bay and the Vaigat Strait towards the continental shelf. Thirteen vibrocores contain a complex set of lithofacies including diamict, stratified mud, interbedded mud and sand, and bioturbated mud deposited by (1) suspension settling from meltwater plumes and the water column, (2) sediment gravity flows, and (3) iceberg rafting and ploughing. The importance of meltwater-related processes to glacimarine sedimentation in West Greenland fjords and bays is emphasised by the abundance of mud preserved in the cores. Radiocarbon dates constrain the position of the ice margin during deglaciation, and suggest that Jakobshavn Isbr ae had retreated into central Disko Bay before 10.6 cal ka BP and to beyond Isfjeldsbanken by 7.6-7.1 cal ka BP. Sediment accumulation rates were up to 1.7 cm a(-1) for ice-proximal glacimarine mud, and similar to 0.007-0.05 cm a(-1) for overlying distal sediments. In addition to elucidating the deglacial retreat history of Jakobshavn Isbr ae, our findings show that the glacimarine sedimentary processes in West Greenland are similar to those in East Greenland, and that variability in such processes is more a function of time and glacier proximity than of geographic location and associated climatic regime. Crown Copyright (C) 2017 Published by Elsevier Ltd. All rights reserved.</t>
  </si>
  <si>
    <t>[Streuff, Katharina; Cofaigh, Colm O.; Lloyd, Jeremy M.] Univ Durham, Dept Geog, South Rd, Durham DH1 3LE, England; [Hogan, Kelly] British Antarctic Survey, NERC, Madingley Rd, Cambridge CB3 0ET, England; [Jennings, Anne] Univ Colorado, INSTAAR, Boulder, CO 80309 USA; [Jennings, Anne] Univ Colorado, Dept Geol Sci, Boulder, CO 80309 USA; [Noormets, Riko] Univ Ctr Svalbard UNIS, POB 156, N-9171 Longyearbyen, Norway; [Nielsen, Tove; Kuijpers, Antoon] Geol Survey Denmark &amp; Greenland, Oster Voldgade 10, DK-1350 Copenhagen, Denmark; [Dowdeswell, Julian A.] Univ Cambridge, Scott Polar Res Inst, Lensfield Rd, Cambridge CB2 1ER, England; [Weinrebe, Wilhelm] GEOMAR Helmholtz Ctr Ocean Res Kiel, Wischhofstr 1-3, D-24148 Kiel, Germany</t>
  </si>
  <si>
    <t>Durham University; UK Research &amp; Innovation (UKRI); Natural Environment Research Council (NERC); NERC British Antarctic Survey; University of Colorado System; University of Colorado Boulder; University of Colorado System; University of Colorado Boulder; University Centre Svalbard (UNIS); Geological Survey Of Denmark &amp; Greenland; University of Cambridge; Helmholtz Association; GEOMAR Helmholtz Center for Ocean Research Kiel</t>
  </si>
  <si>
    <t>Streuff, K (corresponding author), Univ Durham, Dept Geog, South Rd, Durham DH1 3LE, England.</t>
  </si>
  <si>
    <t>katharina.streuff@durham.ac.uk; colm.ocofaigh@durham.ac.uk; kelgan@bas.ac.uk; anne.jennings@colorado.edu; j.m.lloyd@durham.ac.uk; riko.noormets@unis.no; tni@geus.dk; aku@geus.dk; jd16@cam.ac.uk; wweinrebe@geomar.de</t>
  </si>
  <si>
    <t>Streuff, Katharina/JVO-1269-2024</t>
  </si>
  <si>
    <t>Streuff, Katharina/0000-0002-1508-8311; Dowdeswell, Julian/0000-0003-1369-9482; Noormets, Riko/0000-0002-2832-386X; Nielsen, Tove/0000-0002-7504-4898</t>
  </si>
  <si>
    <t>UK Natural Environment Research Council [NE/D001986/1, NE/D001951/1]; People Programme (Marie Curie Actions) of the European Union's Seventh Framework Programme under REA grant [317217]; National Science Foundation, USA [NSF-OPP-0713755]; NERC [NE/D001986/1, NE/D001951/1, bas0100030] Funding Source: UKRI; Natural Environment Research Council [NE/D001951/1, bas0100030, NE/D001986/1] Funding Source: researchfish</t>
  </si>
  <si>
    <t>UK Natural Environment Research Council(UK Research &amp; Innovation (UKRI)Natural Environment Research Council (NERC)); People Programme (Marie Curie Actions) of the European Union's Seventh Framework Programme under REA grant(Marie Curie Actions); National Science Foundation, USA(National Science Foundation (NSF)); NERC(UK Research &amp; Innovation (UKRI)Natural Environment Research Council (NERC)); Natural Environment Research Council(UK Research &amp; Innovation (UKRI)Natural Environment Research Council (NERC))</t>
  </si>
  <si>
    <t>This research has received funding from the UK Natural Environment Research Council (Grants NE/D001986/1 and NE/D001951/1) and the People Programme (Marie Curie Actions) of the European Union's Seventh Framework Programme FP7/ 2007-2013/under REA grant agreement no. 317217. Some of the radiocarbon dates were acquired with the NSF-OPP-0713755 grant awarded to Anne Jennings by the National Science Foundation, USA. We thank the participants and crew of the JR175 research cruise for their help with data acquisition. Neil Tunstall and Frank Davies kindly assisted with the use of the MSCL. Discussions with Elena Grimoldi, Louise Callard and Kasper Weilbach and the comments from two anonymous reviewers further helped to improve the manuscript.</t>
  </si>
  <si>
    <t>1873-457X</t>
  </si>
  <si>
    <t>10.1016/j.quascirev.2017.05.021</t>
  </si>
  <si>
    <t>Green Submitted, hybrid, Green Accepted</t>
  </si>
  <si>
    <t>WOS:000405154100013</t>
  </si>
  <si>
    <t>Columbu, A; Drysdale, R; Capron, E; Woodhead, J; De Waele, J; Sanna, L; Hellstrom, J; Bajo, P</t>
  </si>
  <si>
    <t>Columbu, Andrea; Drysdale, Russell; Capron, Emilie; Woodhead, Jon; De Waele, Jo; Sanna, Laura; Hellstrom, John; Bajo, Petra</t>
  </si>
  <si>
    <t>Early last glacial intra-interstadial climate variability recorded in a Sardinian speleothem</t>
  </si>
  <si>
    <t>Speleothems; Greenland interstadials/stadials; Ice-core chronology; U-Th dating</t>
  </si>
  <si>
    <t>OXYGEN-ISOTOPE COMPOSITION; GRANDE DI MONTICCHIO; CHRONOLOGY AICC2012; PALAEO-CLIMATE; ANTARCTIC ICE; CAVE; KA; RECONSTRUCTION; TH-230; PROXY</t>
  </si>
  <si>
    <t>Chemical and physical proxy data from a precisely dated early last glacial (similar to 113-110 ka, MIS5d) Sardinian stalagmite reveal a sub-millennial-scale, cool-dry climate event centered at 112.0 (+0.52)/(-0.59) ka, followed by a rapid return to warm-wet conditions at 111.76 (+0-43)/(-0.45) ka. Comparison with regional speleothem records and the palaeotemperature proxy record from the NGRIP ice core (Greenland) suggests that this event corresponds to Greenland Interstadial (GI) 25b and 25a, an intra-interstadial climate oscillation within GI-25, according to the recent Greenland stratigraphic framework. The speleothem age is in reasonable agreement (within 0.8 kyr) with that of the corresponding event in Greenland based on the GICC05modelext ice chronology but is older by about 3.7 kyr than the Greenland age based on the AICC2012 chronology. (C) 2017 Elsevier Ltd. All rights reserved.</t>
  </si>
  <si>
    <t>[Columbu, Andrea; Drysdale, Russell; Bajo, Petra] Univ Melbourne, Sch Geog, 221 Bouverie St, Melbourne, Vic 3010, Australia; [Drysdale, Russell] Univ Savoie Mt Blanc, CNRS, UMR 5204, Lab EDYTEM, F-73376 Le Bourget Du Lac, France; [Capron, Emilie] Univ Copenhagen, Niels Bohr Inst, Ctr Ice &amp; Climate, Juliane Maries Vej 30, DK-2100 Copenhagen O, Denmark; [Capron, Emilie] British Antarctic Survey, High Cross Madingley Rd, Cambridge CB3 0ET, England; [Woodhead, Jon; Hellstrom, John] Univ Melbourne, Sch Earth Sci, Corner Swanston &amp; Elgin St, Melbourne, Vic 3010, Australia; [Columbu, Andrea; De Waele, Jo] Univ Bologna, Dept Biol Geol &amp; Environm Sci, Via Zamboni 67, I-40127 Bologna, Italy; [Sanna, Laura] CNR, Inst Biometeorol, Traversa Crucca 3, I-07100 Sassari, Italy</t>
  </si>
  <si>
    <t>University of Melbourne; Melbourne Genomics Health Alliance; Centre National de la Recherche Scientifique (CNRS); CNRS - Institute of Ecology &amp; Environment (INEE); Universite Savoie Mont Blanc; University of Copenhagen; Niels Bohr Institute; UK Research &amp; Innovation (UKRI); Natural Environment Research Council (NERC); NERC British Antarctic Survey; Melbourne Genomics Health Alliance; University of Melbourne; University of Bologna; Consiglio Nazionale delle Ricerche (CNR); Istituto di Biometeorologia (IBIMET-CNR)</t>
  </si>
  <si>
    <t>Columbu, A (corresponding author), Univ Melbourne, Sch Geog, 221 Bouverie St, Melbourne, Vic 3010, Australia.;Columbu, A (corresponding author), Univ Bologna, Dept Biol Geol &amp; Environm Sci, Via Zamboni 67, I-40127 Bologna, Italy.</t>
  </si>
  <si>
    <t>acolumbu@student.unimelb.edu.au; rnd@unimelb.edu.au; capron@nbi.ku.dk; jdwood@unimelb.edu.au; jo.dewaele@unibo.it; speleokikers@tiscali.it; j.hellstrom@unimelb.edu.au; p.bajo@student.unimelb.edu.au</t>
  </si>
  <si>
    <t>Columbu, Andrea/AAH-2339-2019; Woodhead, Jon/C-2227-2012; De Waele, Jo/A-7509-2008; Drysdale, Russell/AAH-9376-2019; Capron, Emilie/ITU-2672-2023; Sanna, Laura/C-2560-2013; Hellstrom, John C/B-1770-2008</t>
  </si>
  <si>
    <t>Columbu, Andrea/0000-0001-5410-062X; De Waele, Jo/0000-0001-5325-5208; Sanna, Laura/0000-0003-4326-1115; Hellstrom, John/0000-0001-9427-3525; Drysdale, Russell/0000-0001-7867-031X; Woodhead, Jon/0000-0002-7614-0136</t>
  </si>
  <si>
    <t>European Union's Seventh Framework Programme for research and innovation under the Marie Sklodowska-Curie grant [600207]; NERC [bas0100034, NE/I009639/1] Funding Source: UKRI; Natural Environment Research Council [bas0100034, NE/I009639/1] Funding Source: researchfish</t>
  </si>
  <si>
    <t>European Union's Seventh Framework Programme for research and innovation under the Marie Sklodowska-Curie grant; NERC(UK Research &amp; Innovation (UKRI)Natural Environment Research Council (NERC)); Natural Environment Research Council(UK Research &amp; Innovation (UKRI)Natural Environment Research Council (NERC))</t>
  </si>
  <si>
    <t>We are grateful to Salvatore Cabras for his help during the fieldwork and the staff of the Bue Marino cave for the access to the cave. This project has received funding from the European Union's Seventh Framework Programme for research and innovation under the Marie Sklodowska-Curie grant agreement no 600207.</t>
  </si>
  <si>
    <t>10.1016/j.quascirev.2017.05.007</t>
  </si>
  <si>
    <t>WOS:000405154100024</t>
  </si>
  <si>
    <t>Smith, N; Sandal, GM; Leon, GR; Kjaergaard, A</t>
  </si>
  <si>
    <t>Smith, N.; Sandal, G. M.; Leon, G. R.; Kjaergaard, A.</t>
  </si>
  <si>
    <t>Examining personal values in extreme environment contexts: Revisiting the question of generalizability</t>
  </si>
  <si>
    <t>Personal' values; Extreme environments; Human spaceflight; Generalizability; Analog</t>
  </si>
  <si>
    <t>POLAR EXPEDITIONS; SPACE; SPACEFLIGHT; PERFORMANCE; PREDICTORS; CHALLENGES; MOTIVATION; MISSIONS; BEHAVIOR; GROWTH</t>
  </si>
  <si>
    <t>Land-based extreme environments (e.g. polar expeditions, Antarctic research stations, confinement chambers) have often been used as analog settings for spaceflight. These settings share similarities with the conditions experienced during space missions, including confinement, isolation and limited possibilities for evacuation. To determine the utility of analog settings for understanding human spaceflight, researchers have examined the extent to which the individual characteristics (e.g., personality) of people operating in extreme environments can be generalized across contexts (Sandal, 2000) [1]. Building on previous work, and utilising new and preexisting data, the present study examined the extent to which personal value motives could be generalized across extreme environments. Four populations were assessed; mountaineers (N =59), military personnel (N = 25), Antarctic over-winterers (N = 21) and Mars simulation participants (N = 12). All participants completed the Portrait Values Questionnaire (PVQ; Schwartz; 2) capturing information on 10 personal values. Rank scores suggest that all groups identified Self-direction, Stimulation, Universalism and Benevolence as important values and acknowledged Power and Tradition as being low priorities. Results from difference testing suggest the extreme environment groups were most comparable on Self-direction, Stimulation, Benevolence, Tradition and Security. There were significant between-group differences on five of the ten values. Overall, findings pinpointed specific values that may be important for functioning in challenging environments. However, the differences that emerged on certain values highlight the importance of considering the specific population when comparing results across extreme settings. We recommend that further research examine the impact of personal value motives on indicators of adjustment, group working, and performance. Information from such studies could then be used to aid selection and training processes for personnel operating in extreme settings, and in space.</t>
  </si>
  <si>
    <t>[Smith, N.] Univ Northampton, Sch Hlth, Pk Campus, Northampton NN2 7AL, England; [Sandal, G. M.] Univ Bergen, Inst Social Psychol, Christiesgate 12, N-5020 Bergen, Norway; [Leon, G. R.] Elliott Hall,75 E River Rd, Minneapolis, MN 55455 USA; [Kjaergaard, A.] Danish Def, Copenhagen, Denmark</t>
  </si>
  <si>
    <t>University of Northampton; University of Bergen</t>
  </si>
  <si>
    <t>Smith, N (corresponding author), Univ Northampton, Sch Hlth, Pk Campus, Northampton NN2 7AL, England.</t>
  </si>
  <si>
    <t>Nathan.j.smithphd@gmail.com; gro.sandal@uib.no; leonx003@umn.edu; psykc@outlook.dk</t>
  </si>
  <si>
    <t>Sandal, Gro Mjeldheim/0000-0001-9017-9654; Smith, Nathan/0000-0001-7400-8978</t>
  </si>
  <si>
    <t>10.1016/j.actaastro.2017.04.008</t>
  </si>
  <si>
    <t>EZ9HZ</t>
  </si>
  <si>
    <t>WOS:000405042000017</t>
  </si>
  <si>
    <t>Cuypers, B; Vermeylen, S; Hammerschmid, D; Trashin, S; Rahemi, V; Konijnenberg, A; De Schutter, A; Cheng, CHC; Giordano, D; Verde, C; De Wael, K; Sobott, F; Dewilde, S; Van Doorslaer, S</t>
  </si>
  <si>
    <t>Cuypers, Bert; Vermeylen, Stijn; Hammerschmid, Dietmar; Trashin, Stanislav; Rahemi, Vanoushe; Konijnenberg, Albert; De Schutter, Amy; Cheng, C. -H. Christina; Giordano, Daniela; Verde, Cinzia; De Wael, Karolien; Sobott, Frank; Dewilde, Sylvia; Van Doorslaer, Sabine</t>
  </si>
  <si>
    <t>Antarctic fish versus human cytoglobins - The same but yet so different</t>
  </si>
  <si>
    <t>JOURNAL OF INORGANIC BIOCHEMISTRY</t>
  </si>
  <si>
    <t>Cytoglobin; Protein expression; Electron paramagnetic resonance; Resonance Raman spectroscopy; Mass spectrometry; Redox</t>
  </si>
  <si>
    <t>DISULFIDE-BRIDGE FORMATION; HEPATIC STELLATE CELLS; LIGAND-BINDING; RESONANCE RAMAN; HEME-POCKET; STRUCTURAL-CHARACTERIZATION; HEXACOORDINATE HEMOGLOBINS; 3-DIMENSIONAL STRUCTURES; MASS-SPECTROMETRY; OXIDATIVE STRESS</t>
  </si>
  <si>
    <t>The cytoglobins of the Antarctic fish Chaenocephalus aceratus and Dissostichus mawsoni have many features in common with human cytoglobin. These cytoglobins are heme proteins in which the ferric and ferrous forms have a characteristic hexacoordination of the heme iron, i.e. axial ligation of two endogenous histidine residues, as confirmed by electron paramagnetic resonance, resonance Raman and optical absorption spectroscopy. The combined spectroscopic analysis revealed only small variations in the heme-pocket structure, in line with the small variations observed for the redox potential. Nevertheless, some striking differences were also discovered. Resonance Raman spectroscopy showed that the stabilization of an exogenous heme ligand, such as CO, occurs differently in human cytoglobin in comparison with Antarctic fish cytoglobins. Furthermore, while it has been extensively reported that human cytoglobin is essentially monomeric and can form an intramolecular disulfide bridge that can influence the ligand binding kinetics, 3D modeling of the Antarctic fish cytoglobins indicates that the cysteine residues are too far apart to form such an intramolecular bridge. Moreover, gel filtration and mass spectrometry reveal the occurrence of non-covalent multimers (up to pentamers) in the Antarctic fish cytoglobins that are formed at low concentrations. Stabilization of these oligomers by disulfide-bridge formation is possible, but not essential. If intermolecular disulfide bridges are formed, they influence the heme-pocket structure, as is shown by EPR measurements.</t>
  </si>
  <si>
    <t>[Cuypers, Bert; De Schutter, Amy; Van Doorslaer, Sabine] Univ Antwerp, Dept Phys, BIMEF Lab, Antwerp, Belgium; [Vermeylen, Stijn; Hammerschmid, Dietmar; Dewilde, Sylvia] Univ Antwerp, Dept Biomed Sci, PPES Lab, Antwerp, Belgium; [Hammerschmid, Dietmar; Sobott, Frank] Univ Antwerp, Dept Chem, BAMS Lab, Antwerp, Belgium; [Trashin, Stanislav; Rahemi, Vanoushe; Konijnenberg, Albert; De Wael, Karolien] Univ Antwerp, Dept Chem, AXES Lab, Antwerp, Belgium; [Cheng, C. -H. Christina] Univ Illinois, Dept Anim Biol, Chicago, IL 60680 USA; [Giordano, Daniela; Verde, Cinzia] CNR, Inst Biosci &amp; BioResources, Naples, Italy; [Verde, Cinzia] Univ Roma 3, Dept Biol, Rome, Italy; [Giordano, Daniela; Verde, Cinzia] Staz Zool Anton Dohrn, Naples, Italy</t>
  </si>
  <si>
    <t>University of Antwerp; University of Antwerp; University of Antwerp; University of Antwerp; University of Illinois System; University of Illinois Chicago; University of Illinois Chicago Hospital; Consiglio Nazionale delle Ricerche (CNR); Istituto di Bioscienze e Biorisorse (IBBR-CNR); Roma Tre University; Stazione Zoologica Anton Dohrn di Napoli</t>
  </si>
  <si>
    <t>Van Doorslaer, S (corresponding author), Univ Antwerp, Dept Phys, BIMEF Lab, Antwerp, Belgium.</t>
  </si>
  <si>
    <t>sabine.vandoorslaer@uantwerpen.be</t>
  </si>
  <si>
    <t>Giordano, Daniela/AFK-7772-2022; De Wael, Karolien/U-5545-2018; Trashin, Stanislav A./C-9824-2013; Van Doorslaer, Sabine/E-5050-2017; Trashin, Stanislav A./S-3506-2019</t>
  </si>
  <si>
    <t>Giordano, Daniela/0000-0002-8891-6245; Trashin, Stanislav A./0000-0002-4089-4251; Van Doorslaer, Sabine/0000-0002-1685-9202; VERDE, Cinzia/0000-0001-6185-282X; Hammerschmid, Dietmar/0000-0002-0210-3690; De Wael, Karolien/0000-0003-4495-0748; Sobott, Frank/0000-0001-9029-1865</t>
  </si>
  <si>
    <t>University of Antwerp GOA-BOF funding [28312]; FWO [G.0687.13]; Hercules foundation; Italian National Program for Antarctic Research (PNRA); Agency for Innovation by Science and Technology (IWT, Belgium) [121339]; US National Science Foundation Polar Programs [ANT-1142158]; Office of Polar Programs (OPP); Directorate For Geosciences [1142158] Funding Source: National Science Foundation</t>
  </si>
  <si>
    <t>University of Antwerp GOA-BOF funding; FWO(FWO); Hercules foundation; Italian National Program for Antarctic Research (PNRA); Agency for Innovation by Science and Technology (IWT, Belgium)(Institute for the Promotion of Innovation by Science and Technology in Flanders (IWT)); US National Science Foundation Polar Programs; Office of Polar Programs (OPP); Directorate For Geosciences(National Science Foundation (NSF)NSF - Directorate for Geosciences (GEO))</t>
  </si>
  <si>
    <t>The authors acknowledge the support of the University of Antwerp GOA-BOF funding (28312), FWO funding (G.0687.13) and the Hercules foundation for funding of the Synapt G2 instrument. This study was carried out in the framework of the SCAR program Antarctic Thresholds - Ecosystem Resilience and Adaptation (AnT-ERA). It was financially supported by the Italian National Program for Antarctic Research (PNRA). Research of A. De Schutter is funded by a PhD grant of the Agency for Innovation by Science and Technology (121339) (IWT, Belgium). C-H C. Cheng acknowledges funding support from US National Science Foundation Polar Programs (ANT-1142158).</t>
  </si>
  <si>
    <t>360 PARK AVE SOUTH, NEW YORK, NY 10010-1710 USA</t>
  </si>
  <si>
    <t>0162-0134</t>
  </si>
  <si>
    <t>1873-3344</t>
  </si>
  <si>
    <t>J INORG BIOCHEM</t>
  </si>
  <si>
    <t>J. Inorg. Biochem.</t>
  </si>
  <si>
    <t>10.1016/j.jinorgbio.2017.04.025</t>
  </si>
  <si>
    <t>Biochemistry &amp; Molecular Biology; Chemistry, Inorganic &amp; Nuclear</t>
  </si>
  <si>
    <t>FA0XI</t>
  </si>
  <si>
    <t>WOS:000405159600007</t>
  </si>
  <si>
    <t>La Ferla, R; Azzaro, M; Michaud, L; Caruso, G; Lo Giudice, A; Paranhos, R; Cabral, AS; Conte, A; Cosenza, A; Maimone, G; Papale, M; Rappazzo, AC; Guglielmin, M</t>
  </si>
  <si>
    <t>La Ferla, Rosabruna; Azzaro, Maurizio; Michaud, Luigi; Caruso, Gabriella; Lo Giudice, Angelina; Paranhos, Rodolfo; Cabral, Anderson S.; Conte, Antonella; Cosenza, Alessandro; Maimone, Giovanna; Papale, Maria; Rappazzo, Alessandro Ciro; Guglielmin, Mauro</t>
  </si>
  <si>
    <t>Prokaryotic Abundance and Activity in Permafrost of the Northern Victoria Land and Upper Victoria Valley (Antarctica)</t>
  </si>
  <si>
    <t>Permafrost; Microbial community; Microbial activity; Physiological profiles; Antarctica</t>
  </si>
  <si>
    <t>BACTERIAL COMMUNITIES; MICROBIAL COMMUNITIES; FLOW-CYTOMETRY; SOILS; ENVIRONMENTS; BIODIVERSITY; DIVERSITY; SEDIMENTS; CARBON; SEA</t>
  </si>
  <si>
    <t>Victoria Land permafrost harbours a potentially large pool of cold-affected microorganisms whose metabolic potential still remains underestimated. Three cores (BC-1, BC-2 and BC-3) drilled at different depths in Boulder Clay (Northern Victoria Land) and one sample (DY) collected from a core in the Dry Valleys (Upper Victoria Valley) were analysed to assess the prokaryotic abundance, viability, physiological profiles and potential metabolic rates. The cores drilled at Boulder Clay were a template of different ecological conditions (different temperature regime, ice content, exchanges with atmosphere and with liquid water) in the same small basin while the Dry Valleys site was very similar to BC-2 conditions but with a complete different geological history and ground ice type. Image analysis was adopted to determine cell abundance, size and shape as well as to quantify the potential viable and respiring cells by live/dead and 5-cyano-2,3-ditolyl-tetrazolium chloride staining, respectively. Subpopulation recognition by apparent nucleic acid contents was obtained by flow cytometry. Moreover, the physiological profiles at community level by Biolog-Ecoplate (TM) as well as the ectoenzymatic potential rates on proteinaceous (leucine-aminopeptidase) and glucidic (-glucosidase) organic matter and on organic phosphates (alkaline-phosphatase) by fluorogenic substrates were tested. The adopted methodological approach gave useful information regarding viability and metabolic performances of microbial community in permafrost. The occurrence of a multifaceted prokaryotic community in the Victoria Land permafrost and a large number of potentially viable and respiring cells (in the order of 10(4)-10(5)) were recognised. Subpopulations with a different apparent DNA content within the different samples were observed. The physiological profiles stressed various potential metabolic pathways among the samples and intense utilisation rates of polymeric carbon compounds and carbohydrates, mainly in deep samples. The measured enzymatic activity rates suggested the potential capability of the microbial community to decompose proteins and polysaccharides. The microbial community seems to be appropriate to contribute to biogeochemical cycling in this extreme environment.</t>
  </si>
  <si>
    <t>[La Ferla, Rosabruna; Azzaro, Maurizio; Caruso, Gabriella; Lo Giudice, Angelina; Cosenza, Alessandro; Maimone, Giovanna; Rappazzo, Alessandro Ciro] Natl Council Res IAMC CNR, Inst Coastal Marine Environm, Spianata San Raineri 86, I-98122 Messina, Italy; [Michaud, Luigi; Lo Giudice, Angelina; Conte, Antonella; Papale, Maria] Univ Messina, Dept Chem Biol Pharmaceut &amp; Environm Sci, Viale Ferdinando Stagno dAlcontres 31, I-98166 Messina, Italy; [Paranhos, Rodolfo; Cabral, Anderson S.] Univ Fed Rio de Janeiro, Inst Biol, Predio CCS, Cidade Univ Fundao, Rio De Janeiro, Brazil; [Guglielmin, Mauro] Univ Insubria, Dept Theoret &amp; Appl Sci, Via JH Dunant 3, Varese, Italy</t>
  </si>
  <si>
    <t>Consiglio Nazionale delle Ricerche (CNR); L'Istituto per l'Ambiente Marino Costiero (IAMC-CNR); University of Messina; Universidade Federal do Rio de Janeiro; University of Insubria</t>
  </si>
  <si>
    <t>La Ferla, R (corresponding author), Natl Council Res IAMC CNR, Inst Coastal Marine Environm, Spianata San Raineri 86, I-98122 Messina, Italy.</t>
  </si>
  <si>
    <t>rosabruna.laferla@iamc.cnr.it</t>
  </si>
  <si>
    <t>Caruso, Gabriella/F-5450-2013; azzaro, Maurizio/AAE-6784-2019; Papale, Maria/AAC-6049-2020</t>
  </si>
  <si>
    <t>Caruso, Gabriella/0000-0002-3819-5486; azzaro, Maurizio/0000-0001-7885-2340; Papale, Maria/0000-0002-6013-4436; la ferla, rosabruna/0000-0003-1029-7349</t>
  </si>
  <si>
    <t>National Antarctic Research Program (PNRA); Italian Ministry of Education and Research (Research Project PNRA) [2013/AZ1.05]; National Council of Research (CNR) [0058167]</t>
  </si>
  <si>
    <t>National Antarctic Research Program (PNRA); Italian Ministry of Education and Research (Research Project PNRA); National Council of Research (CNR)(Consiglio Nazionale delle Ricerche (CNR))</t>
  </si>
  <si>
    <t>This work was supported by grants from the National Antarctic Research Program (PNRA), Italian Ministry of Education and Research (Research Project PNRA 2013/AZ1.05) and from the National Council of Research (CNR) in the frame of the Short Term Mobility 2015 (STM, AMMCNT-CNR N. 0058167). Our thanks to all the staff at Mario Zucchelli Station, for the logistic help and support, which made possible the expedition. We want to thank Dr. Fabio Baio and Dr. Andrea Strini for their role in the drilling and sampling procedures, Dr. Giulia Maricchiolo and Mr. Michele Furnari (CNR-IAMC) for laboratory availability and for technical instrument helps, respectively, as well as Dr. Daniela Zampino (CNR-IPCB) and Dr. Fabrizio Ioppolo for their friendly technical support.</t>
  </si>
  <si>
    <t>10.1007/s00248-017-0955-5</t>
  </si>
  <si>
    <t>EZ7TB</t>
  </si>
  <si>
    <t>WOS:000404927500013</t>
  </si>
  <si>
    <t>Brandao, LR; Vaz, ABM; Santo, LCE; Pirnenta, RS; Morais, PB; Libkind, D; Rosa, LH; Rosa, CA</t>
  </si>
  <si>
    <t>Brandao, Luciana R.; Vaz, Aline B. M.; Espirito Santo, Lilia C.; Pirnenta, Raphael S.; Morais, Paula B.; Libkind, Diego; Rosa, Luiz H.; Rosa, Carlos A.</t>
  </si>
  <si>
    <t>Diversity and biogeographical patterns of yeast communities in Antarctic, Patagonian and tropical lakes</t>
  </si>
  <si>
    <t>FUNGAL ECOLOGY</t>
  </si>
  <si>
    <t>Biogeography; Distance decay; Diversity; Freshwater; Yeasts</t>
  </si>
  <si>
    <t>SP NOV.; ANTIFUNGAL SUSCEPTIBILITY; PHOTOPROTECTIVE COMPOUNDS; SPECIES RECOGNITION; BIODIVERSITY; ENVIRONMENTS; ARGENTINA; SOUTH</t>
  </si>
  <si>
    <t>We investigated the distribution patterns of yeast communities in freshwater lakes along a latitudinal gradient in order to evaluate yeast biogeography at intercontinental (501-8000 km), regional (0-500 km) and local (0-1 km) geographical scales. We identified 285 yeast isolates belonging to 64 species based on sequence analysis of the ITS-5.8S region and the D1/D2 domains of the large subunit of rRNA genes. Distance decay analysis showed a significant negative slope curve at the intercontinental scale. At the intercontinental and regional scales, the dissimilarity of the yeast communities was correlated with geographical distance, with community similarity decreasing with increasing distance. The physiological profiles of the yeast communities from tropical and Patagonian lakes were similar but were different from those of Antarctic lakes. This is the first report of latitudinal patterns of lake yeast diversity along a gradient extending from Antarctic to tropical environments. (C) 2017 Elsevier Ltd and British Mycological Society. All rights reserved.</t>
  </si>
  <si>
    <t>[Brandao, Luciana R.; Vaz, Aline B. M.; Espirito Santo, Lilia C.; Rosa, Luiz H.; Rosa, Carlos A.] Univ Fed Minas Gerais, ICB, Dept Microbiol, BR-31270901 Belo Horizonte, MG, Brazil; [Pirnenta, Raphael S.; Morais, Paula B.] Univ Fed Tocantins, Campus Univ Palmas, BR-77001090 Palmas, Tocantins, Brazil; [Libkind, Diego] UNComahue CONICET, Inst Invest Biodiversidad &amp; Medioambiente, Lab Microbiol Aplicada &amp; Biotecnol, San Carlos De Bariloche, Rio Negro, Argentina</t>
  </si>
  <si>
    <t>Universidade Federal de Minas Gerais; Universidade Federal do Tocantins (UFT); Universidad Nacional del Comahue; Consejo Nacional de Investigaciones Cientificas y Tecnicas (CONICET)</t>
  </si>
  <si>
    <t>Rosa, CA (corresponding author), Univ Fed Minas Gerais, ICB, Dept Microbiol, BR-31270901 Belo Horizonte, MG, Brazil.</t>
  </si>
  <si>
    <t>carlrosa@icb.ufmg.br</t>
  </si>
  <si>
    <t>Pimenta, Raphael Sanzio/D-9195-2013; Pimenta, Raphael Sanzio/ABE-4515-2021; Vaz, Aline BM/F-7684-2012; Morais, Paula/E-9794-2013</t>
  </si>
  <si>
    <t>Pimenta, Raphael Sanzio/0000-0001-7207-4437; Morais, Paula/0000-0002-5050-5766</t>
  </si>
  <si>
    <t>Conselho Nacional de Desenvolvimento Cientifico e Tecnologico [CNPq: PROANTAR-407230/2013-0, 457499/2014-1]; Fundacao de Amparo a Pesquisa do Estado de Minas Gerais [APQ-01525-14]</t>
  </si>
  <si>
    <t>Conselho Nacional de Desenvolvimento Cientifico e Tecnologico(Conselho Nacional de Desenvolvimento Cientifico e Tecnologico (CNPQ)); Fundacao de Amparo a Pesquisa do Estado de Minas Gerais(Fundacao de Amparo a Pesquisa do Estado de Minas Gerais (FAPEMIG))</t>
  </si>
  <si>
    <t>This work was funded by Conselho Nacional de Desenvolvimento Cientifico e Tecnologico (CNPq: PROANTAR-407230/2013-0 and 457499/2014-1) and Fundacao de Amparo a Pesquisa do Estado de Minas Gerais (APQ-01525-14). We thank the editor and two anonymous reviewers for their constructive comments, which helped us to improve the manuscript.</t>
  </si>
  <si>
    <t>1754-5048</t>
  </si>
  <si>
    <t>1878-0083</t>
  </si>
  <si>
    <t>FUNGAL ECOL</t>
  </si>
  <si>
    <t>Fungal Ecol.</t>
  </si>
  <si>
    <t>10.1016/j.funeco.2017.04.003</t>
  </si>
  <si>
    <t>Ecology; Mycology</t>
  </si>
  <si>
    <t>Environmental Sciences &amp; Ecology; Mycology</t>
  </si>
  <si>
    <t>EY5AY</t>
  </si>
  <si>
    <t>WOS:000403990800004</t>
  </si>
  <si>
    <t>Schallenberg, C; Ross, ARS; Davidson, AB; Stewart, GM; Cullen, JT</t>
  </si>
  <si>
    <t>Schallenberg, Christina; Ross, Andrew R. S.; Davidson, Ashley B.; Stewart, Gillian M.; Cullen, Jay T.</t>
  </si>
  <si>
    <t>Temporal variability of dissolved iron species in the mesopelagic zone at Ocean Station PAPA</t>
  </si>
  <si>
    <t>Ocean Station PAPA; Dissolved iron; Iron(II); Aerosol; Oxygen-deficient; Mesopelagic; GEOTRACES</t>
  </si>
  <si>
    <t>DUST DEPOSITION; BIOAVAILABLE IRON; SOUTHERN-OCEAN; NORTHERN GULF; MINERAL DUST; PHYTOPLANKTON; SOLUBILITY; AEROSOLS; TRANSPORT; BIOMASS</t>
  </si>
  <si>
    <t>Deposition of atmospheric aerosols to the surface ocean is considered an important mechanism for the supply of iron (Fe) to remote ocean regions, but direct observations of the oceanic response to aerosol deposition are sparse. In the high nutrient, low chlorophyll (HNLC) subarctic Pacific Ocean we observed a dissolved Fe and Fe(II) anomaly at depth that is best explained as the result of aerosol deposition from Siberian forest fires in May 2012. Interestingly, there was no evidence of enhanced dFe concentrations in surface waters, nor was there a detectable phytoplankton bloom in response to the suspected aerosol deposition. Dissolved Fe (dFe) and Fe(II) showed the strongest enhancement in the subsurface oxygen deficient zone (ODZ), where oxygen concentrations &lt;50 mu mol kg(-1) are, prevalent. In the upper 200 m, dFe concentrations were at or below historic background levels, consistent with a short residence time of aerosol particles in surface waters and possible scavenging loss of dFe. Aerosol toxicity and/or dominance of particle scavenging over dissolution of Fe in the upper water column may have contributed to the lack of a strong phytoplankton response. Crown Copyright (C) 2017 Published by Elsevier S.V. All rights reserved.</t>
  </si>
  <si>
    <t>[Schallenberg, Christina; Davidson, Ashley B.; Cullen, Jay T.] Univ Victoria, Sch Earth &amp; Ocean Sci, POB 1700 Stn CSC, Victoria, BC V8W 2Y2, Canada; [Schallenberg, Christina] Antarctic Climate &amp; Ecosyst CRC, Private Bag 80, Hobart, Tas 7001, Australia; [Ross, Andrew R. S.] Fisheries &amp; Oceans Canada, Inst Ocean Sci, 9860 West Saanich Rd, Sidney, BC V8L 4B2, Canada; [Davidson, Ashley B.] Univ British Columbia, Dept Earth Ocean &amp; Atmospher Sci, 2207 Main Mall, Vancouver, BC V6T 1Z4, Canada; [Stewart, Gillian M.] CUNY Queens Coll, Flushing, NY 11367 USA; [Stewart, Gillian M.] CUNY, Grad Ctr, Flushing, NY 11367 USA</t>
  </si>
  <si>
    <t>University of Victoria; University of Tasmania; Fisheries &amp; Oceans Canada; University of British Columbia; City University of New York (CUNY) System; Queens College NY (CUNY); City University of New York (CUNY) System</t>
  </si>
  <si>
    <t>Schallenberg, C (corresponding author), Univ Victoria, Sch Earth &amp; Ocean Sci, POB 1700 Stn CSC, Victoria, BC V8W 2Y2, Canada.;Schallenberg, C (corresponding author), Antarctic Climate &amp; Ecosyst CRC, Private Bag 80, Hobart, Tas 7001, Australia.</t>
  </si>
  <si>
    <t>christina.schallenberg@utas.edu.au</t>
  </si>
  <si>
    <t>Cullen, Jay/AAB-2769-2019; Cullen, Jay T./AAE-8379-2019; Schallenberg, Christina/N-4187-2017</t>
  </si>
  <si>
    <t>Cullen, Jay T./0000-0002-6484-2421; Schallenberg, Christina/0000-0002-3073-7500</t>
  </si>
  <si>
    <t>NSF grant [0825348]; Natural Sciences and Engineering Research Council of Canada (NSERC); Fisheries and Oceans Canada; NSERC-CGSD; NSERC-USRA; [262239]; Directorate For Geosciences; Division Of Ocean Sciences [0825348] Funding Source: National Science Foundation</t>
  </si>
  <si>
    <t>NSF grant(National Science Foundation (NSF)); Natural Sciences and Engineering Research Council of Canada (NSERC)(Natural Sciences and Engineering Research Council of Canada (NSERC)); Fisheries and Oceans Canada; NSERC-CGSD(Natural Sciences and Engineering Research Council of Canada (NSERC)); NSERC-USRA(Natural Sciences and Engineering Research Council of Canada (NSERC)); ; Directorate For Geosciences; Division Of Ocean Sciences(National Science Foundation (NSF)NSF - Directorate for Geosciences (GEO))</t>
  </si>
  <si>
    <t>The authors would like to thank two anonymous reviewers for their thoughtful comments that significantly improved the manuscript. We thank Brendan Mackinson for the helpful discussion of his data, Frank Whitney for the helpful feedback on this manuscript, PMEL/NOAA for making the OSP mooring data publicly available and always being quick to respond to questions, and Colin Seftor of NASA's Suomi NPP OMPS Science Team for permission to use the image in Fig. 5. We also thank the scientists at the Institute of Ocean Sciences in Sidney, Canada, for their support and measurements on numerous Line P cruises, and we are grateful for the profiling float data made available by Kenneth Johnson and Steve Riser with support from NSF grant 0825348. A snapshot of the quality controlled MBARI/UW biogeochemical float data used in this study are available at http://doi.org/10.6075/J0QC01DJ. Float temperature and salinity data are available at http://doi.org/10.17882/42182 and were made freely available by the International Argo Program and the national programs that contribute to it. Historic dFe data from OSP were generated by W. Keith Johnson and Nes Sutherland and may be requested from Andrew Ross (Andrew.Ross@dfo-mpo.gc.ca); historic nutrient and chl a data are available from the Line P data websites (https://www.waterproperties.ca/linep/cruises.php and http: //www.pac.dfo-mpo.gc.ca/science/oceans/data-donnees/linep/index-eng.html). This research was supported by the Natural Sciences and Engineering Research Council of Canada (NSERC) and Fisheries and Oceans Canada. JTC was funded by a Discovery Grant (262239), CS was funded by an NSERC-CGSD scholarship, and ABD was supported by an NSERC-USRA.</t>
  </si>
  <si>
    <t>10.1016/j.jmarsys.2017.03.006</t>
  </si>
  <si>
    <t>EY5BC</t>
  </si>
  <si>
    <t>WOS:000403991200012</t>
  </si>
  <si>
    <t>Vugmeyster, L; Hagedorn, B; Clark, MA; Sletten, RS</t>
  </si>
  <si>
    <t>Vugmeyster, Liliya; Hagedorn, Birgit; Clark, Matthew A.; Sletten, R. S.</t>
  </si>
  <si>
    <t>Evaluating the effect of grain size and salts on liquid water content in frozen soils of Antarctica by combining NMR, chemical equilibrium modeling, and scattered diffraction analysis</t>
  </si>
  <si>
    <t>Water content; NMR; FREZCHEM; Freezing curves; Antarctic soils; Grain size; Modeling</t>
  </si>
  <si>
    <t>MCMURDO DRY VALLEYS; HYDROPHOBIC CORE; LOW-TEMPERATURES; UNFROZEN WATER; CHEMISTRY; HYDRATION; DYNAMICS; ICE; STRONTIUM; ORIGIN</t>
  </si>
  <si>
    <t>Recent studies point to the possible existence of liquid water on Mars surface. While many efforts have focused on experimental determination and modeling of liquid water content in inorganic-salt rich soils, additional factors that govern liquid water formation remain largely unexplored. The purpose of this study is to determine main soil properties that will affect unfrozen water content. We analyzed liquid water content and bulk freezing points using high field deuterium NMR measurements and compared the results to the amount of liquid water content at the same temperatures based on salt concentration and composition using an empirical chemical equilibrium model (FREZCHEM). We selected soils with a wide range of salt concentrations and composition collected from the McMurdo Dry Valleys, Antarctica. The comparison indicates that at 50% unfrozen water content the freezing temperatures deviate substantially from water content modeled based on salt composition. In particular, the NMR freezing points are lower than those calculated with FREZCHEM for all low to medium salt content samples. The results indicate that soil properties other than aqueous chemical composition add to liquid water content. Particle size does not necessarily correlate with the liquid water content, revealing that more detailed investigation including surface area and composition may be necessary to describe the dependence of unfrozen water content on soil properties. The study highlights the necessity of experimental measurements of water content due to effects of multiple factors that are difficult to take into account in simulations. (C) 2017 Elsevier B.V. All rights reserved.</t>
  </si>
  <si>
    <t>[Vugmeyster, Liliya] Univ Colorado, Denver, CO 80204 USA; [Hagedorn, Birgit; Clark, Matthew A.] Univ Alaska Anchorage, Anchorage, AK 99508 USA; [Sletten, R. S.] Univ Washington, Seattle, WA 98195 USA</t>
  </si>
  <si>
    <t>University of Colorado System; University of Colorado Denver; University of Alaska System; University of Alaska Anchorage; University of Washington; University of Washington Seattle</t>
  </si>
  <si>
    <t>Vugmeyster, L (corresponding author), Univ Colorado, Denver, CO 80204 USA.</t>
  </si>
  <si>
    <t>LILIYA.VUGMEYSTER@UCDENVER.EDU</t>
  </si>
  <si>
    <t>CU Denver College of Liberal Arts and Sciences award; National Science Foundation [DMR-1157490]; State of Florida; U.S. Department of Energy</t>
  </si>
  <si>
    <t>CU Denver College of Liberal Arts and Sciences award; National Science Foundation(National Science Foundation (NSF)); State of Florida; U.S. Department of Energy(United States Department of Energy (DOE))</t>
  </si>
  <si>
    <t>This research was supported by CU Denver College of Liberal Arts and Sciences award. NMR and impedance experiments were performed at the National High Magnetic Field Laboratory, which is supported by National Science Foundation Cooperative Agreement No. DMR-1157490, the State of Florida and the U.S. Department of Energy. We thanks Dr. Riqiang Fu and Dr. Peter Gor'kov for technical assistance.</t>
  </si>
  <si>
    <t>10.1016/j.geoderma.2017.03.024</t>
  </si>
  <si>
    <t>EW0YT</t>
  </si>
  <si>
    <t>WOS:000402217800003</t>
  </si>
  <si>
    <t>Martínez, D; Oyarzún, R; Vargas-Lagos, C; Pontigo, JP; Soto-Dávila, M; Saravia, J; Romero, A; Núñez, JJ; Yáñez, AJ; Vargas-Chacoff, L</t>
  </si>
  <si>
    <t>Martinez, D.; Oyarzun, R.; Vargas-Lagos, C.; Pontigo, J. P.; Soto-Davila, M.; Saravia, J.; Romero, A.; Nunez, J. J.; Yanez, A. J.; Vargas-Chacoff, L.</t>
  </si>
  <si>
    <t>Identification, characterization and modulation of ferritin-H in the sub-Antarctic Notothenioid Eleginops maclovinus challenged with Piscirickettsia salmonis</t>
  </si>
  <si>
    <t>DEVELOPMENTAL AND COMPARATIVE IMMUNOLOGY</t>
  </si>
  <si>
    <t>Eleginops maclovinus; Ferritin; Gene expression; Iron; Notothenioid</t>
  </si>
  <si>
    <t>INNATE IMMUNE-RESPONSE; STOCKING DENSITY; GENOME SEQUENCE; IRON-METABOLISM; GENE-EXPRESSION; FISH; INFECTION; PATHOGEN; EVOLUTION; SUBUNITS</t>
  </si>
  <si>
    <t>Ferritin is a major iron storage protein essential not only in the infectious process, but also in any circumstance generating oxidative stress. In this study, the cDNA coding sequence of ferritin-H was obtained from the sub-Antarctic Notothenioid fish Eleginops maclovinus through transcriptomic analysis of the head kidney. This sequence contained a 534 bp open reading frame that coded for a 177 amino acid protein with a molecular weight of 20,786.2 Da and a theoretical pI of 5.56. The protein displayed a region of iron putative response elements in the 5'UTR, two putative ferritin iron-binding region signatures, and seven characteristic amino acids with ferroxidase functions. Phylogenetic analysis related this sequence to ferritin-H sequences of other Antarctic Notothenioid fish, sharing 96.61% similarity. Constitutive gene expression analysis in different organs revealed increased ferritin-H gene expression in the gills, spleen, muscle, and liver. After infection with two bacterial strains of Piscirickettsia salmonis (LF-89 and Austral-005), ferritin-H was differentially expressed depending on bacterial strain and tissue. This study provides relevant information towards understanding the iron metabolism of a sub-Antarctic Notothenioid fish. (C) 2017 Elsevier Ltd. All rights reserved.</t>
  </si>
  <si>
    <t>[Martinez, D.; Oyarzun, R.; Vargas-Lagos, C.; Pontigo, J. P.; Soto-Davila, M.; Saravia, J.; Nunez, J. J.; Vargas-Chacoff, L.] Univ Austral Chile, Inst Ciencias Marinas &amp; Limnol, Valdivia, Chile; [Martinez, D.; Oyarzun, R.; Saravia, J.] Univ Austral Chile, Escuela Grad, Programa Doctorado Ciencias Acuicultura, Av Los Pinos S-N, Balneario Pelluco, Puerto Montt, Chile; [Martinez, D.; Oyarzun, R.; Soto-Davila, M.; Vargas-Chacoff, L.] Univ Austral Chile, Ctr Fondap Invest Altas Latitudes IDEAL, Valdivia, Chile; [Vargas-Lagos, C.] Univ Austral Chile, Escuela Grad, Programa Magister Microbiol, Valdivia, Chile; [Yanez, A. J.] Univ Austral Chile, Inst Bioquim &amp; Microbiol, Valdivia, Chile; [Vargas-Lagos, C.; Romero, A.; Yanez, A. J.] Univ Austral Chile, Ctr Fondap Interdisciplinary Ctr Aquaculture Res, Valdivia, Chile; [Romero, A.] Univ Austral Chile, Inst Patol Anim, Valdivia, Chile</t>
  </si>
  <si>
    <t>Universidad Austral de Chile; Universidad Austral de Chile; Universidad Austral de Chile; Universidad Austral de Chile; Universidad Austral de Chile; Universidad Austral de Chile; Universidad Austral de Chile</t>
  </si>
  <si>
    <t>Vargas-Chacoff, L (corresponding author), Univ Austral Chile, Inst Ciencias Marinas &amp; Limnol, Valdivia, Chile.;Martínez, D (corresponding author), Univ Austral Chile, Escuela Grad, Programa Doctorado Ciencias Acuicultura, Av Los Pinos S-N, Balneario Pelluco, Puerto Montt, Chile.</t>
  </si>
  <si>
    <t>danixapamela@gmail.com; luis.vargas@uach.cl</t>
  </si>
  <si>
    <t>Nunez, Jose J/J-2931-2017; Pontigo, Juan Pablo/AAS-2367-2021; Oyarzún-Salazar, Ricardo/HGU-6035-2022; Vargas-Chacoff, Luis LVCh/A-5855-2012; Romero, Alejandro/R-4565-2019; Saravia, Julia/AAM-7420-2020; Saravia, Julia/JKI-0931-2023</t>
  </si>
  <si>
    <t>Pontigo, Juan Pablo/0000-0003-0084-0862; Romero, Alejandro/0000-0002-9343-3352; Saravia, Julia/0000-0002-8411-6718; Vargas-Chacoff, Luis/0000-0002-0497-2582; Oyarzun-Salazar, Ricardo/0000-0003-3177-399X; MARTINEZ GONZALEZ, DANIXA PAMELA/0000-0002-7363-419X</t>
  </si>
  <si>
    <t>Fondap-Incar [15110027]; DID; UACH; Fondap-Ideal Grant [15150003]; Fondecyt [1160877]; Comision Nacional de Investigacion Cientifica y Tecnologica</t>
  </si>
  <si>
    <t>Fondap-Incar(Comision Nacional de Investigacion Cientifica y Tecnologica (CONICYT)CONICYT FONDAP); DID; UACH; Fondap-Ideal Grant; Fondecyt(Comision Nacional de Investigacion Cientifica y Tecnologica (CONICYT)CONICYT FONDECYT); Comision Nacional de Investigacion Cientifica y Tecnologica</t>
  </si>
  <si>
    <t>This work was financed by Fondap-Incar Grant No15110027, DID, UACH, Fondap-Ideal Grant No 15150003 and Fondecyt regular No1160877. D. Martinez was funded by the Comision Nacional de Investigacion Cientifica y Tecnologica through a national doctoral scholarship.</t>
  </si>
  <si>
    <t>0145-305X</t>
  </si>
  <si>
    <t>1879-0089</t>
  </si>
  <si>
    <t>DEV COMP IMMUNOL</t>
  </si>
  <si>
    <t>Dev. Comp. Immunol.</t>
  </si>
  <si>
    <t>10.1016/j.dci.2017.03.015</t>
  </si>
  <si>
    <t>Fisheries; Immunology; Veterinary Sciences; Zoology</t>
  </si>
  <si>
    <t>EU9SQ</t>
  </si>
  <si>
    <t>WOS:000401380400011</t>
  </si>
  <si>
    <t>Murphy, EJ; Thorpe, SE; Tarling, GA; Watkins, JL; Fielding, S; Underwood, P</t>
  </si>
  <si>
    <t>Murphy, Eugene J.; Thorpe, Sally E.; Tarling, Geraint A.; Watkins, Jonathan L.; Fielding, Sophie; Underwood, Philip</t>
  </si>
  <si>
    <t>Restricted regions of enhanced growth of Antarctic krill in the circumpolar Southern Ocean</t>
  </si>
  <si>
    <t>EUPHAUSIA-SUPERBA DANA; SCOTIA SEA; CLIMATE-CHANGE; FOOD; VARIABILITY; TEMPERATURE; ECOSYSTEMS; SHRINKAGE; RATES; CONNECTIONS</t>
  </si>
  <si>
    <t>Food webs in high-latitude oceans are dominated by relatively few species. Future ocean and sea-ice changes affecting the distribution of such species will impact the structure and functioning of whole ecosystems. Antarctic krill (Euphausia superba) is a key species in Southern Ocean food webs, but there is little understanding of the factors influencing its success throughout much of the ocean. The capacity of a habitat to maintain growth will be crucial and here we use an empirical relationship of growth rate to assess seasonal spatial variability. Over much of the ocean, potential for growth is limited, with three restricted oceanic regions where seasonal conditions permit high growth rates, and only a few areas around the Scotia Sea and Antarctic Peninsula suitable for growth of the largest krill (&gt; 60 mm). Our study demonstrates that projections of impacts of future change need to account for spatial and seasonal variability of key ecological processes within ocean ecosystems.</t>
  </si>
  <si>
    <t>[Murphy, Eugene J.; Thorpe, Sally E.; Tarling, Geraint A.; Watkins, Jonathan L.; Fielding, Sophie; Underwood, Philip] British Antarctic Survey, NERC, Cambridge, England; [Underwood, Philip] UNEP World Conservat Monitoring Ctr, Cambridge, England</t>
  </si>
  <si>
    <t>Murphy, EJ (corresponding author), British Antarctic Survey, NERC, Cambridge, England.</t>
  </si>
  <si>
    <t>e.murphy@bas.ac.uk</t>
  </si>
  <si>
    <t>murphy, eugene/GZL-1620-2022; Fielding, Sophie/E-5137-2012</t>
  </si>
  <si>
    <t>Thorpe, Sally/0000-0002-5193-6955; Murphy, Eugene/0000-0002-7369-9196; Underwood, Philip/0000-0002-2559-7339</t>
  </si>
  <si>
    <t>BAS NC-ALI; non-ALI; Natural Environment Research Council (NERC) [NE/I029943/1]; NERC [NE/I029943/1, bas0100035] Funding Source: UKRI; Natural Environment Research Council [bas0100035] Funding Source: researchfish</t>
  </si>
  <si>
    <t>BAS NC-ALI; non-ALI; 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</si>
  <si>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This study is part of the BAS long-term project on Antarctic krill, for which we acknowledge all our colleagues in that work, and is a contribution to the BAS Ecosystems science. We are grateful for the helpful comments of three anonymous reviewers. The project is funded through BAS NC-ALI, non-ALI and Natural Environment Research Council (NERC) grant NE/I029943/1. The SST and sea-ice data used in this paper were obtained from the University of Columbia IRI Data Library and the SeaWiFS data were produced with the Giovanni online data system, developed and maintained by the NASA GES DISC. The paper is also a contribution to the ICED programme aimed at analysing climate-ecosystem interactions in the Southern Ocean.</t>
  </si>
  <si>
    <t>JUL 31</t>
  </si>
  <si>
    <t>10.1038/s41598-017-07205-9</t>
  </si>
  <si>
    <t>FX3MR</t>
  </si>
  <si>
    <t>WOS:000425976600001</t>
  </si>
  <si>
    <t>Gagné, ME; Fyfe, JC; Gillett, NP; Polyakov, IV; Flato, GM</t>
  </si>
  <si>
    <t>Gagne, Marie-Eve; Fyfe, John C.; Gillett, Nathan P.; Polyakov, Igor V.; Flato, Gregory M.</t>
  </si>
  <si>
    <t>Aerosol-driven increase in Arctic sea ice over the middle of the twentieth century</t>
  </si>
  <si>
    <t>GLOBAL CLIMATE; TEMPERATURE; VARIABILITY; ATTRIBUTION; ANOMALIES; EXTENT; CMIP5</t>
  </si>
  <si>
    <t>Updated observational data sets without climatological infilling show that there was an increase in sea ice concentration in the eastern Arctic between 1950 and 1975, contrary to earlier climatology infilled observational data sets that show weak interannual variations during that time period. We here present climate model simulations showing that this observed sea ice concentration increase was primarily a consequence of cooling induced by increasing anthropogenic aerosols and natural forcing. Indeed, sulphur dioxide emissions, which lead to the formation of sulphate aerosols, peaked around 1980 causing a sharp increase in the burden of sulphate between the 1950s and 1970s; but since 1980, the burden has dropped. Our climate model simulations show that the cooling contribution of aerosols offset the warming effect of increasing greenhouse gases over the midtwentieth century resulting in the expansion of the Arctic sea ice cover. These results challenge the perception that Arctic sea ice extent was unperturbed by human influence until the 1970s, suggesting instead that it exhibited earlier forced multidecadal variations, with implications for our understanding of impacts and adaptation in human and natural Arctic systems.</t>
  </si>
  <si>
    <t>[Gagne, Marie-Eve; Fyfe, John C.; Gillett, Nathan P.; Flato, Gregory M.] Environm &amp; Climate Change Canada, Canadian Ctr Climate Modelling &amp; Anal, Victoria, BC, Canada; [Polyakov, Igor V.] Univ Alaska Fairbanks, Dept Atmospher Sci, Coll Nat Sci &amp; Math, Fairbanks, AK USA; [Polyakov, Igor V.] Univ Alaska Fairbanks, Int Arctic Res Ctr, Fairbanks, AK USA</t>
  </si>
  <si>
    <t>Environment &amp; Climate Change Canada; Canadian Centre for Climate Modelling &amp; Analysis (CCCma); University of Alaska System; University of Alaska Fairbanks; University of Alaska System; University of Alaska Fairbanks</t>
  </si>
  <si>
    <t>Marie-Eve.Gagne@canada.ca</t>
  </si>
  <si>
    <t>Flato, Gregory M/K-6711-2015</t>
  </si>
  <si>
    <t>Gagne, Marie-Eve/0000-0002-0387-3072</t>
  </si>
  <si>
    <t>University of Alaska Fairbanks [UAF 12-0081]; Office of Polar Programs (OPP); Directorate For Geosciences [1203473] Funding Source: National Science Foundation</t>
  </si>
  <si>
    <t>University of Alaska Fairbanks; Office of Polar Programs (OPP); Directorate For Geosciences(National Science Foundation (NSF)NSF - Directorate for Geosciences (GEO))</t>
  </si>
  <si>
    <t>We thank Neil Swart and Rashed Mahmood for their helpful comments on the manuscript. The blended sea ice total concentration data set referred here as AARI was developed by V. Smolyanitsky at the Arctic and Antarctic Research Institute under the Seasonal Ice Forecast project with the University of Alaska Fairbanks (grant UAF 12-0081). The AARI data set is available from http://climate.iarc.uaf.edu/geonetwork/srv/en/main.home?uuid=9106242829f5-4f45-8c0f-a742c6da4c04. The updated Walsh et al. [2015] data set used in our study was downloaded from ftp://sidads.colorado.edu/pub/DATASETS/NOAA/G10010/. We acknowledge Environment and Climate Change Canada's Canadian Centre for Climate Modelling and Analysis for executing and making available the CanESM2 large ensemble simulations used in this study, and the Canadian Sea Ice and Snow Evolution Network for proposing the simulations. The CanESM2 large ensemble is made available at http://collaboration.beta.cmc.ec.gc.ca/cmc/cccma/CanSISE/output/CCCma/CanESM2/.</t>
  </si>
  <si>
    <t>JUL 28</t>
  </si>
  <si>
    <t>10.1002/2016GL071941</t>
  </si>
  <si>
    <t>FD8QZ</t>
  </si>
  <si>
    <t>WOS:000407790500028</t>
  </si>
  <si>
    <t>Pittard, ML; Galton-Fenzi, BK; Watson, CS; Roberts, JL</t>
  </si>
  <si>
    <t>Pittard, M. L.; Galton-Fenzi, B. K.; Watson, C. S.; Roberts, J. L.</t>
  </si>
  <si>
    <t>Future sea level change from Antarctica's Lambert-Amery glacial system</t>
  </si>
  <si>
    <t>GEOTHERMAL HEAT-FLUX; PARALLEL ICE-SHEET; FULL-STOKES MODEL; GROUNDING LINE; EAST ANTARCTICA; PISM-PIK; SHELF; DYNAMICS; RETREAT; SURFACE</t>
  </si>
  <si>
    <t>Future global mean sea level (GMSL) change is dependent on the complex response of the Antarctic ice sheet to ongoing changes and feedbacks in the climate system. The Lambert-Amery glacial system has been observed to be stable over the recent period yet is potentially at risk of rapid grounding line retreat and ice discharge given that a significant volume of its ice is grounded below sea level, making its future contribution to GMSL uncertain. Using a regional ice sheet model of the Lambert-Amery system, we find that under a range of future warming and extreme scenarios, the simulated grounding line remains stable and does not trigger rapid mass loss from grounding line retreat. This allows for increased future accumulation to exceed the mass loss from ice dynamical changes. We suggest that the Lambert-Amery glacial system will remain stable or gain ice mass and mitigate a portion of potential future sea level rise over the next 500 years, with a range of +3.6 to -117.5 mm GMSL equivalent.</t>
  </si>
  <si>
    <t>[Pittard, M. L.] Univ Tasmania, Inst Marine &amp; Antarctic Studies, Hobart, Tas, Australia; [Pittard, M. L.; Galton-Fenzi, B. K.; Roberts, J. L.] Univ Tasmania, Antarctic Climate &amp; Ecosyst Cooperat Res Ctr, Hobart, Tas, Australia; [Galton-Fenzi, B. K.; Roberts, J. L.] Australian Antarctic Div, Kingston, Tas, Australia; [Watson, C. S.] Univ Tasmania, Sch Land &amp; Food, Hobart, Tas, Australia</t>
  </si>
  <si>
    <t>University of Tasmania; University of Tasmania; Antarctic Climate &amp; Ecosystems Cooperative Research Centre (ACE CRC); Australian Antarctic Division; University of Tasmania</t>
  </si>
  <si>
    <t>Pittard, ML (corresponding author), Univ Tasmania, Inst Marine &amp; Antarctic Studies, Hobart, Tas, Australia.</t>
  </si>
  <si>
    <t>mark.l.pittard@durham.ac.uk</t>
  </si>
  <si>
    <t>Roberts, Jason L/B-2235-2012; Watson, Christopher S/D-4707-2013</t>
  </si>
  <si>
    <t>Roberts, Jason L/0000-0002-3477-4069; Pittard, Mark/0000-0002-9026-7571; Watson, Christopher/0000-0002-7464-4592; Galton-Fenzi, Benjamin Keith/0000-0003-1404-4103</t>
  </si>
  <si>
    <t>Australian Government's Cooperative Research Centres programme through the Antarctic Climate &amp; Ecosystems Cooperative Research Centre (ACE CRC); Australian Research Council's Special Research Initiative for Antarctic Gateway Partnership [SR140300001]; Australian Government; NASA [NNX13AM16G, NNX13AK27G]; NASA [NNX13AK27G, 471916] Funding Source: Federal RePORTER</t>
  </si>
  <si>
    <t>Australian Government's Cooperative Research Centres programme through the Antarctic Climate &amp; Ecosystems Cooperative Research Centre (ACE CRC)(Australian GovernmentDepartment of Industry, Innovation and ScienceCooperative Research Centres (CRC) Programme); Australian Research Council's Special Research Initiative for Antarctic Gateway Partnership(Australian Research Council); Australian Government(Australian Government); NASA(National Aeronautics &amp; Space Administration (NASA)); NASA(National Aeronautics &amp; Space Administration (NASA))</t>
  </si>
  <si>
    <t>This work was supported by and Australian Government's Cooperative Research Centres programme through the Antarctic Climate &amp; Ecosystems Cooperative Research Centre (ACE CRC). This research was supported under Australian Research Council's Special Research Initiative for Antarctic Gateway Partnership (Project ID SR140300001). This research was undertaken with the assistance of resources under projects m68 and gh8 from the National Computational Infrastructure (NCI), which is supported by the Australian Government. Development of PISM is supported by NASA grants NNX13AM16G and NNX13AK27G. All data sets, scripts, and outputs used to generate these results will be available through the Australian Antarctica Data Center (https://data.aad.gov.au/)</t>
  </si>
  <si>
    <t>10.1002/2017GL073486</t>
  </si>
  <si>
    <t>WOS:000407790500029</t>
  </si>
  <si>
    <t>Meiners, KM; Arndt, S; Bestley, S; Krumpen, T; Ricker, R; Milnes, M; Newbery, K; Freier, U; Jarman, S; King, R; Proud, R; Kawaguchi, S; Meyer, B</t>
  </si>
  <si>
    <t>Meiners, K. M.; Arndt, S.; Bestley, S.; Krumpen, T.; Ricker, R.; Milnes, M.; Newbery, K.; Freier, U.; Jarman, S.; King, R.; Proud, R.; Kawaguchi, S.; Meyer, B.</t>
  </si>
  <si>
    <t>Antarctic pack ice algal distribution: Floe-scale spatial variability and predictability from physical parameters</t>
  </si>
  <si>
    <t>SEA-ICE; LIGHT TRANSMISSION; WEDDELL SEA; SNOW; THICKNESS; BIOMASS; GROWTH</t>
  </si>
  <si>
    <t>Antarctic pack ice serves as habitat for microalgae which contribute to Southern Ocean primary production and serve as important food source for pelagic herbivores. Ice algal biomass is highly patchy and remains severely undersampled by classical methods such as spatially restricted ice coring surveys. Here we provide an unprecedented view of ice algal biomass distribution, mapped (as chlorophyll a) in a 100 m by 100 m area of a Weddell Sea pack ice floe, using under-ice irradiance measurements taken with an instrumented remotely operated vehicle. We identified significant correlations (p &lt; 0.001) between algal biomass and concomitant in situ surface measurements of snow depth, ice thickness, and estimated sea ice freeboard levels using a statistical model. The model's explanatory power (r(2) = 0.30) indicates that these parameters alone may provide a first basis for spatial prediction of ice algal biomass, but parameterization of additional determinants is needed to inform more robust upscaling efforts.</t>
  </si>
  <si>
    <t>[Meiners, K. M.; Milnes, M.; Newbery, K.; Jarman, S.; King, R.; Kawaguchi, S.] Australian Antarctic Div, Dept Environm &amp; Energy, Kingston, Tas, Australia; [Meiners, K. M.; Kawaguchi, S.] Univ Tasmania, Antarctic Climate &amp; Ecosyst Cooperat Res Ctr, Hobart, Tas, Australia; [Arndt, S.; Krumpen, T.; Ricker, R.] Helmholtz Ctr Polar &amp; Marine Res, Alfred Wegener Inst, Sea Ice Phys, Bremerhaven, Germany; [Bestley, S.] Univ Tasmania, Inst Marine &amp; Antarctic Studies, Hobart, Tas, Australia; [Ricker, R.] Univ Brest, CNRS, Lab Oceanog Phys &amp; Spatiale, IFREMER,IUEM,IRD, Brest, France; [Freier, U.] SC Sci Consulting, Neuss, Germany; [Jarman, S.] Univ Porto, Ctr Invest Biodiversidade &amp; Recursos Genet, CIBIO InBIO, Vairao, Portugal; [Proud, R.] Univ St Andrews, Scottish Oceans Inst, Gatty Marine Lab, Pelag Ecol Res Grp, St Andrews, Fife, Scotland; [Meyer, B.] Alfred Wegener Inst, Helmholtz Ctr Polar &amp; Marine Res, Polar Biol Oceanog, Bremerhaven, Germany; [Meyer, B.] Carl von Ossietzky Univ Oldenburg, Inst Chem &amp; Biol Marine Environm, Oldenburg, Germany; [Meyer, B.] Helmholtz Inst Funct Marine Biodivers, Oldenburg, Germany</t>
  </si>
  <si>
    <t>Australian Antarctic Division; University of Tasmania; Antarctic Climate &amp; Ecosystems Cooperative Research Centre (ACE CRC); Helmholtz Association; Alfred Wegener Institute, Helmholtz Centre for Polar &amp; Marine Research; University of Tasmania; Ifremer; Institut de Recherche pour le Developpement (IRD); Universite de Bretagne Occidentale; Institut Universitaire Europeen de la Mer (IUEM); Centre National de la Recherche Scientifique (CNRS); Universidade do Porto; University of St Andrews; Helmholtz Association; Alfred Wegener Institute, Helmholtz Centre for Polar &amp; Marine Research; Carl von Ossietzky Universitat Oldenburg</t>
  </si>
  <si>
    <t>Meiners, KM (corresponding author), Australian Antarctic Div, Dept Environm &amp; Energy, Kingston, Tas, Australia.;Meiners, KM (corresponding author), Univ Tasmania, Antarctic Climate &amp; Ecosyst Cooperat Res Ctr, Hobart, Tas, Australia.</t>
  </si>
  <si>
    <t>klaus.meiners@aad.gov.au</t>
  </si>
  <si>
    <t>Arndt, Stefanie/AAA-6178-2021; Kawaguchi, So/N-1795-2017; Krumpen, Thomas/D-5163-2011; Meyer, Bettina/ABB-5311-2020; Ricker, Robert/Z-4214-2019; Bestley, Sophie/AAN-2483-2021; Jarman, Simon/H-9265-2016</t>
  </si>
  <si>
    <t>Arndt, Stefanie/0000-0001-9782-3844; Krumpen, Thomas/0000-0001-6234-8756; Meyer, Bettina/0000-0001-6804-9896; Ricker, Robert/0000-0001-6928-7757; Bestley, Sophie/0000-0001-9342-669X; Proud, Roland/0000-0002-8647-5562; Kawaguchi, So/0000-0002-2042-5095; King, Robert/0000-0002-4650-2335; Jarman, Simon/0000-0002-0792-9686</t>
  </si>
  <si>
    <t>PACES (Polar Regions and Coasts in a changing Earth System) program of the Alfred Wegener Institute; Helmholtz Centre for Polar and Marine Research; Helmholtz Virtual Institute PolarTime [VH-VI-500]; Helmholtz Alliance Remote Sensing and Earth System Dynamics [HA-310]; Australian Government [4073, 4298]; Cooperative Research Centers Programme through the Antarctic Climate and Ecosystems Cooperative Research Centre (ACE CRC); Antarctic Gateway Partnership special research initiative through the Australian Research Council</t>
  </si>
  <si>
    <t>PACES (Polar Regions and Coasts in a changing Earth System) program of the Alfred Wegener Institute; Helmholtz Centre for Polar and Marine Research; Helmholtz Virtual Institute PolarTime; Helmholtz Alliance Remote Sensing and Earth System Dynamics; Australian Government(Australian Government); Cooperative Research Centers Programme through the Antarctic Climate and Ecosystems Cooperative Research Centre (ACE CRC); Antarctic Gateway Partnership special research initiative through the Australian Research Council</t>
  </si>
  <si>
    <t>We thank the captain, crew, and shipboard scientific party of Polarstern voyage ANTXXIX-7/PS89 for their support of our work. We gratefully acknowledge the Australian Antarctic Division's Science Technical Support and Instrument Workshop teams and in particular Peter Mantel, for their expert help in instrumenting, ice hardening, and piloting the ROV. This study was supported by the PACES (Polar Regions and Coasts in a changing Earth System) program (Topic 1, WP 5) of the Alfred Wegener Institute, Helmholtz Centre for Polar and Marine Research, the Helmholtz Virtual Institute PolarTime (VH-VI-500: Biological timing in a changing marine environment-Clocks and rhythms in polar pelagic organisms), the Helmholtz Alliance Remote Sensing and Earth System Dynamics (HA-310), and by the Australian Government through (i) Australian Antarctic Science projects (4073 and 4298), (ii) the Cooperative Research Centers Programme through the Antarctic Climate and Ecosystems Cooperative Research Centre (ACE CRC), and (iii) the Antarctic Gateway Partnership special research initiative through the Australian Research Council. We thank two anonymous reviewers for their constructive comments on this paper. All data used in this study are available through the Australian Antarctic Data Centre and PANGAEA (doi.pangaea.de/10.1594/PANGAEA.870706). K.M.M. and S.A. contributed equally to this work.</t>
  </si>
  <si>
    <t>10.1002/2017GL074346</t>
  </si>
  <si>
    <t>Green Published, Green Accepted, Green Submitted, Bronze</t>
  </si>
  <si>
    <t>WOS:000407790500033</t>
  </si>
  <si>
    <t>Souza, CA; Murphy, N; Villacorta-Rath, C; Woodings, LN; Ilyushkina, I; Hernandez, CE; Green, BS; Bell, JJ; Strugnell, JM</t>
  </si>
  <si>
    <t>Souza, Carla A.; Murphy, Nicholas; Villacorta-Rath, Cecilia; Woodings, Laura N.; Ilyushkina, Irina; Hernandez, Cristian E.; Green, Bridget S.; Bell, James J.; Strugnell, Jan M.</t>
  </si>
  <si>
    <t>Efficiency of ddRAD target enriched sequencing across spiny rock lobster species (Palinuridae: Jasus)</t>
  </si>
  <si>
    <t>CAPTURE; CONNECTIVITY; EVOLUTION; ELEMENTS; DECAPODA</t>
  </si>
  <si>
    <t>Double digest restriction site-associated DNA sequencing (ddRADseq) and target capture sequencing methods are used to explore population and phylogenetic questions in non-model organisms. ddRADseq offers a simple and reliable protocol for population genomic studies, however it can result in a large amount of missing data due to allelic dropout. Target capture sequencing offers an opportunity to increase sequencing coverage with little missing data and consistent orthologous loci across samples, although this approach has generally been applied to conserved markers for deeper evolutionary questions. Here, we combine both methods to generate high quality sequencing data for population genomic studies of all marine lobster species from the genus Jasus. We designed probes based on ddRADseq libraries of two lobster species (Jasus edwardsii and Sagmariasus verreauxi) and evaluated the captured sequencing data in five other Jasus species. We validated 4,465 polymorphic loci amongst these species using a cost effective sequencing protocol, of which 1,730 were recovered from all species, and 4,026 were present in at least three species. The method was also successfully applied to DNA samples obtained from museum specimens. This data will be further used to assess spatialtemporal genetic variation in Jasus species found in the Southern Hemisphere.</t>
  </si>
  <si>
    <t>[Souza, Carla A.; Murphy, Nicholas; Woodings, Laura N.; Strugnell, Jan M.] La Trobe Univ, Sch Life Sci, Dept Ecol Environm &amp; Evolut, Melbourne, Vic 3086, Australia; [Villacorta-Rath, Cecilia; Green, Bridget S.] Univ Tasmania, Inst Marine &amp; Antarctic Studies, Hobart, Tas 7001, Australia; [Ilyushkina, Irina; Bell, James J.] Victoria Univ Wellington, Sch Biol Sci, Wellington 6140, New Zealand; [Hernandez, Cristian E.] Univ Concepcion, Fac Ciencias Nat &amp; Oceanog, Dept Zool, Concepcion, Chile; [Strugnell, Jan M.] James Cook Univ, Ctr Sustainable Trop Fisheries &amp; Aquaculture, Townsville, Qld 7001, Australia; [Strugnell, Jan M.] James Cook Univ, Coll Sci &amp; Engn, Townsville, Qld 7001, Australia</t>
  </si>
  <si>
    <t>Melbourne Genomics Health Alliance; La Trobe University; University of Tasmania; Victoria University Wellington; Universidad de Concepcion; James Cook University; James Cook University</t>
  </si>
  <si>
    <t>Souza, CA (corresponding author), La Trobe Univ, Sch Life Sci, Dept Ecol Environm &amp; Evolut, Melbourne, Vic 3086, Australia.</t>
  </si>
  <si>
    <t>carladosanjos@gmail.com</t>
  </si>
  <si>
    <t>Villacorta-Rath, Cecilia/G-8819-2013; Green, Bridget S/G-3368-2014; Strugnell, Jan M/P-9921-2016; Murphy, Nick/J-9883-2019; Hernández, Cristián E./GLS-1111-2022; Hernández, Cristián E./AAS-1286-2020</t>
  </si>
  <si>
    <t>Villacorta-Rath, Cecilia/0000-0002-1060-5447; Murphy, Nick/0000-0002-0907-4642; Hernández, Cristián E./0000-0002-9811-2881; Hernández, Cristián E./0000-0002-9811-2881; Anjos-Souza, Carla/0000-0003-0671-7275; Bell, James/0000-0001-9996-945X; Strugnell, Jan/0000-0003-2994-637X</t>
  </si>
  <si>
    <t>Australian Research Council [DP150101491, LP120200164]; Fisheries Research and Development Corporation grant [2015-025]; Tasmanian Rock Lobster Fisherman's Association; Department of Primary Industries, Park Water and Environment (Tasmania, Australia); New Zealand Rock Lobster Industry Council; Brazilian Program Science without Borders (CNPq - Conselho Nacional de Desenvolvimento Cientifico e Tecnologico); FRST; Seafood Innovations Limited (Wellington, New Zealand); Australian Research Council [LP120200164] Funding Source: Australian Research Council</t>
  </si>
  <si>
    <t>Australian Research Council(Australian Research Council); Fisheries Research and Development Corporation grant(Fisheries R&amp;D Corp); Tasmanian Rock Lobster Fisherman's Association; Department of Primary Industries, Park Water and Environment (Tasmania, Australia); New Zealand Rock Lobster Industry Council; Brazilian Program Science without Borders (CNPq - Conselho Nacional de Desenvolvimento Cientifico e Tecnologico); FRST(New Zealand Foundation for Research, Science and Technology); Seafood Innovations Limited (Wellington, New Zealand); Australian Research Council(Australian Research Council)</t>
  </si>
  <si>
    <t>Funding for this research was provided by an Australian Research Council Discovery Project grant (Project No. DP150101491) awarded to J.M.S., N.P.M., B.S.G. and J.J.B., an Australian Research Council Linkage Project grant (Project No. LP120200164) from B.S.G., a Fisheries Research and Development Corporation grant 2015-025 as well as the Tasmanian Rock Lobster Fisherman's Association, the Department of Primary Industries, Park Water and Environment (Tasmania, Australia), Seafood Innovations Limited (Wellington, New Zealand) and the New Zealand Rock Lobster Industry Council. The first author acknowledges the Postdoctoral grant from the Brazilian Program Science without Borders (CNPq - Conselho Nacional de Desenvolvimento Cientifico e Tecnologico). L.N.W. thanks La Trobe University Securing Food, Water and Environment Grant, Holsworth Wildlife Research Endowment, the New South Wales Department of Primary Industries and IMAS. We would like to thank Gary Carlos (University of Tasmania), Colin Fry (University of Tasmania), Daniel Ierodiaconou (Deakin University), Kent Way Andrew Kent, Geoff Liggins, Marcus Miller, Giles Ballinger, Darrel Sykes, Andrew Cockcroft (DAFF), Rick Webber (Te Papa Museum) and Sadie Mills (NIWA Invertebrate Collection samples collected from various sources including the scientific observers from the Ministry for Primary Industry and FRST-funded NIWA projects from the Ministry of Business, Innovation and Employment of New Zealand) for field assistance and COPEC and the fisheries observers Guy Duhamel, Nicolas Gasco, Alexis Martin, Patrice Pruvost and Charlotte Chazeau on board the F.V. AUSTRAL to have made available biological scientific samples of Jasus paulensis from catches in the Saint-Paul/Amsterdam* French EEZ; the help of crew has also been appreciated; Steve Doyle and Michael Amor for ddRADseq laboratory assistance and; Cristina Valdiosera her helpful comments on methods using ancient DNA. We would like to thank the editor Toshifumi Minamoto and the anonymous reviewers for their constructive suggestions.</t>
  </si>
  <si>
    <t>10.1038/s41598-017-06582-5</t>
  </si>
  <si>
    <t>FC1PP</t>
  </si>
  <si>
    <t>WOS:000406610000032</t>
  </si>
  <si>
    <t>Voets, IK</t>
  </si>
  <si>
    <t>Voets, I. K.</t>
  </si>
  <si>
    <t>From ice-binding proteins to bio-inspired antifreeze materials</t>
  </si>
  <si>
    <t>SOFT MATTER</t>
  </si>
  <si>
    <t>RECRYSTALLIZATION INHIBITION-ACTIVITY; THERMAL HYSTERESIS ACTIVITY; BEETLE UPIS-CERAMBOIDES; RED-BLOOD-CELLS; POLY(VINYL ALCOHOL); CRYSTAL-GROWTH; MOLECULAR RECOGNITION; PSEUDOMONAS-SYRINGAE; STRUCTURING PROTEINS; NUCLEATION PROTEIN</t>
  </si>
  <si>
    <t>Ice-binding proteins (IBP) facilitate survival under extreme conditions in diverse life forms. IBPs in polar fishes block further growth of internalized environmental ice and inhibit ice recrystallization of accumulated internal crystals. Algae use IBPs to structure ice, while ice adhesion is critical for the Antarctic bacterium Marinomonas primoryensis. Successful translation of this natural cryoprotective ability into man-made materials holds great promise but is still in its infancy. This review covers recent advances in the field of ice-binding proteins and their synthetic analogues, highlighting fundamental insights into IBP functioning as a foundation for the knowledge-based development of cheap, bio-inspired mimics through scalable production routes. Recent advances in the utilisation of IBPs and their analogues to e.g. improve cryopreservation, ice-templating strategies, gas hydrate inhibition and other technologies are presented.</t>
  </si>
  <si>
    <t>[Voets, I. K.] Eindhoven Univ Technol, Inst Complex Mol Syst, POB 513, NL-5600 MD Eindhoven, Netherlands; [Voets, I. K.] Eindhoven Univ Technol, Dept Chem Engn &amp; Chem, Lab Macromol &amp; Organ Chem, POB 513, NL-5600 MD Eindhoven, Netherlands; [Voets, I. K.] Eindhoven Univ Technol, Dept Chem Engn &amp; Chem, Lab Phys Chem, POB 513, NL-5600 MD Eindhoven, Netherlands</t>
  </si>
  <si>
    <t>Eindhoven University of Technology; Eindhoven University of Technology; Eindhoven University of Technology</t>
  </si>
  <si>
    <t>Voets, IK (corresponding author), Eindhoven Univ Technol, Inst Complex Mol Syst, POB 513, NL-5600 MD Eindhoven, Netherlands.;Voets, IK (corresponding author), Eindhoven Univ Technol, Dept Chem Engn &amp; Chem, Lab Macromol &amp; Organ Chem, POB 513, NL-5600 MD Eindhoven, Netherlands.;Voets, IK (corresponding author), Eindhoven Univ Technol, Dept Chem Engn &amp; Chem, Lab Phys Chem, POB 513, NL-5600 MD Eindhoven, Netherlands.</t>
  </si>
  <si>
    <t>I.Voets@tue.nl</t>
  </si>
  <si>
    <t>Voets, Ilja/AAG-7502-2021</t>
  </si>
  <si>
    <t>Voets, Ilja/0000-0003-3543-4821</t>
  </si>
  <si>
    <t>European Union (ERC-StG) [635928]; Dutch Science Foundation (NWO ECHO) [712.016.002]; Dutch Ministry of Education, Culture and Science [024.001.035]</t>
  </si>
  <si>
    <t>European Union (ERC-StG); Dutch Science Foundation (NWO ECHO); Dutch Ministry of Education, Culture and Science</t>
  </si>
  <si>
    <t>This work was financially supported by the European Union (ERC-2014-StG Contract No. 635928), the Dutch Science Foundation (NWO ECHO Grant No. 712.016.002), and the Dutch Ministry of Education, Culture and Science (Gravity Program 024.001.035).</t>
  </si>
  <si>
    <t>1744-683X</t>
  </si>
  <si>
    <t>1744-6848</t>
  </si>
  <si>
    <t>Soft Matter</t>
  </si>
  <si>
    <t>10.1039/c6sm02867e</t>
  </si>
  <si>
    <t>Chemistry, Physical; Materials Science, Multidisciplinary; Physics, Multidisciplinary; Polymer Science</t>
  </si>
  <si>
    <t>Chemistry; Materials Science; Physics; Polymer Science</t>
  </si>
  <si>
    <t>FB4HG</t>
  </si>
  <si>
    <t>WOS:000406101800001</t>
  </si>
  <si>
    <t>Alexander, SP; Orr, A; Webster, S; Murphy, DJ</t>
  </si>
  <si>
    <t>Alexander, S. P.; Orr, A.; Webster, S.; Murphy, D. J.</t>
  </si>
  <si>
    <t>Observations and fine-scalemodel simulations of gravity waves over Davis, East Antarctica (69 °S, 78 °E)</t>
  </si>
  <si>
    <t>GENERAL-CIRCULATION MODEL; CLIMATE MODEL; RESOLUTION; ATMOSPHERE; 69-DEGREES-S; 78-DEGREES-E; VARIABILITY; PERFORMANCE; MOUNTAINS; CIRRUS</t>
  </si>
  <si>
    <t>Large vertical velocities were observed throughout the troposphere at Davis, East Antarctica, on 18 February 2014 by a VHF wind-profiling radar. Simulations using the Met Office Unified Model at 2.2, 0.5, and 0.1 km horizontal grid spacing were able to broadly capture the location, timing, and magnitude of the observed velocities, as well as reveal that they are due to small-scale orographic gravity waves resulting from the interaction between the coastal topography and strong easterly winds associated with a synoptic-scale cyclone situated to the north. The simulations indicated that the gravity waves are responsible for (i) temperature fluctuations which coincided with satellite-observed cloud variations in the vicinity of Davis, suggesting that they have a crucial role in the formation of cirrus clouds, and (ii) large vertical momentum fluxes in the troposphere. The waves are prevented from propagating into the stratosphere by the background winds turning from near-surface easterlies to lower stratospheric northerlies. As well as illuminating and quantifying the role that weather systems have in producing orographic gravity waves along the East Antarctic coastline, studies such as this should be exploited to improve the representation of key localized atmospheric processes in global climate models.</t>
  </si>
  <si>
    <t>[Alexander, S. P.; Murphy, D. J.] Australian Antarctic Div, Hobart, Tas, Australia; [Alexander, S. P.; Murphy, D. J.] Antarctic Climate &amp; Ecosyst Cooperat Res Ctr, Hobart, Tas, Australia; [Orr, A.] British Antarctic Survey, Cambridge, England; [Webster, S.] Met Off, Exeter, Devon, England</t>
  </si>
  <si>
    <t>Australian Antarctic Division; Antarctic Climate &amp; Ecosystems Cooperative Research Centre (ACE CRC); UK Research &amp; Innovation (UKRI); Natural Environment Research Council (NERC); NERC British Antarctic Survey; Met Office - UK</t>
  </si>
  <si>
    <t>Alexander, SP (corresponding author), Australian Antarctic Div, Hobart, Tas, Australia.;Alexander, SP (corresponding author), Antarctic Climate &amp; Ecosyst Cooperat Res Ctr, Hobart, Tas, Australia.</t>
  </si>
  <si>
    <t>Simon.Alexander@aad.gov.au</t>
  </si>
  <si>
    <t>Alexander, Simon/0000-0001-6823-8857</t>
  </si>
  <si>
    <t>Australian Antarctic program [4025, 4292]; Australian Antarctic Division, Department of the Environment, Australia; NERC [bas0100032] Funding Source: UKRI; Natural Environment Research Council [bas0100032] Funding Source: researchfish</t>
  </si>
  <si>
    <t>Australian Antarctic program; Australian Antarctic Division, Department of the Environment, Australia; NERC(UK Research &amp; Innovation (UKRI)Natural Environment Research Council (NERC)); Natural Environment Research Council(UK Research &amp; Innovation (UKRI)Natural Environment Research Council (NERC))</t>
  </si>
  <si>
    <t>We thank the Davis engineers for their efforts upgrading and maintaining the VHF wind-profiling radar and the Bureau of Meteorology staff who launched the radiosondes. The UM simulations were run at the UK Met Office. The UM simulation data, the VHF radar data, and the radiosonde data are available from the authors upon request. ERA-Interim data were downloaded from the ECMWF server, and the NOAA satellite data were downloaded from the NOAA Comprehensive Large Array-data Stewardship System (CLASS) server after registration. We thank Tony Phillips at BAS for producing Figure 1. This research was conducted for projects 4025 and 4292 of the Australian Antarctic program. and funded by the Australian Antarctic Division, Department of the Environment, Australia (10.13039/501100005108).</t>
  </si>
  <si>
    <t>JUL 27</t>
  </si>
  <si>
    <t>10.1002/2017JD026615</t>
  </si>
  <si>
    <t>FE6VC</t>
  </si>
  <si>
    <t>WOS:000408346000009</t>
  </si>
  <si>
    <t>Cain, M; Warwick, NJ; Fisher, RE; Lowry, D; Lanoisellé, M; Nisbet, EG; France, J; Pitt, J; O'Shea, S; Bower, KN; Allen, G; Illingworth, S; Manning, AJ; Bauguitte, S; Pisso, I; Pyle, JA</t>
  </si>
  <si>
    <t>Cain, M.; Warwick, N. J.; Fisher, R. E.; Lowry, D.; Lanoiselle, M.; Nisbet, E. G.; France, J.; Pitt, J.; O'Shea, S.; Bower, K. N.; Allen, G.; Illingworth, S.; Manning, A. J.; Bauguitte, S.; Pisso, I.; Pyle, J. A.</t>
  </si>
  <si>
    <t>A cautionary tale: A study of amethane enhancement over the North Sea</t>
  </si>
  <si>
    <t>METHANE EMISSIONS; ATMOSPHERIC METHANE; FOSSIL-FUEL; CH4; VARIABILITY; DECADE; GROWTH; CAVITY</t>
  </si>
  <si>
    <t>Airborne measurements of a methane (CH4) plume over the North Sea from August 2013 are analyzed. The plume was only observed downwind of circumnavigated gas fields, and three methods are used to determine its source. First, a mass balance calculation assuming a gas field source gives a CH4 emission rate between 2.5 +/- 0.8x10(4) and 4.6 +/- 1.5x10(4) kg h(-1). This would be greater than the industry's reported 0.5% leak rate if it were emitting for more than half the time. Second, annual average UK CH4 emissions are combined with an atmospheric dispersion model to create pseudo-observations. Clean air from the North Atlantic passed over mainland UK, picking up anthropogenic emissions. To best explain the observed plume using pseudo-observations, an additional North Sea source from the gas rigs area is added. Third, the. delta C-13-CH4 from the plume is shown to be -53%, which is lighter than fossil gas but heavier than the UK average emission. We conclude that either an additional small-area mainland source is needed, combined with temporal variability in emission or transport in small-scale meteorological features. Alternatively, a combination of additional sources that are at least 75% from the mainland (-58%) and up to 25% from the North Sea gas rigs area (-32%) would explain the measurements. Had the isotopic analysis not been performed, the likely conclusion would have been of a gas field source of CH4. This demonstrates the limitation of analyzing mole fractions alone, as the simplest explanation is rejected based on analysis of isotopic data. Plain Language Summary In the study, we have analyzed aircraft data to try and identify the source of a plume of methane observed over the North Sea. The flight circuited North Sea gas fields with the aim of intercepting any fugitive methane. Initial analysis of the amount of methane present and its location suggested that the methane was being emitted from the gas field area, and this was supported by dispersion modeling of the case. However, analysis of carbon isotopes in methane revealed that fugitive gas could not have been the primary component of the plume. As methane is often measured without analysis of its carbon isotopes, the authors feel that this is an important cautionary tale. We present our analysis of this case study with recommendations for how best to conduct such analyses in the future to try and avoid potential misdiagnosis of methane plume sources.</t>
  </si>
  <si>
    <t>[Cain, M.; Warwick, N. J.; Pyle, J. A.] Univ Cambridge, Ctr Atmospher Sci, Cambridge, England; [Cain, M.; Warwick, N. J.; Pyle, J. A.] Natl Ctr Atmospher Sci, Leeds, W Yorkshire, England; [Fisher, R. E.; Lowry, D.; Lanoiselle, M.; Nisbet, E. G.; France, J.] Royal Holloway Univ London, Dept Earth Sci, Egham, Surrey, England; [France, J.] Univ East Anglia, Sch Environm Sci, Norwich, Norfolk, England; [France, J.] British Antarctic Survey, Cambridge, England; [Pitt, J.; O'Shea, S.; Bower, K. N.; Allen, G.; Illingworth, S.] Univ Manchester, Sch Earth Atmospher &amp; Environm Sci, Manchester, Lancs, England; [Illingworth, S.] Manchester Metropolitan Univ, Sch Res Enterprise &amp; Innovat, Manchester, Lancs, England; [Manning, A. J.] UK Meteorol Off, Exeter, Devon, England; [Bauguitte, S.] Cranfield Univ, FAAM, Cranfield, Beds, England; [Pisso, I.] Norwegian Inst Air Res NILU, Inst Veien, Dept Atmospher &amp; Climate Res, Kjeller, Norway</t>
  </si>
  <si>
    <t>University of Cambridge; UK Research &amp; Innovation (UKRI); Natural Environment Research Council (NERC); NERC National Centre for Atmospheric Science; University of Leeds; University of London; Royal Holloway University London; University of East Anglia; UK Research &amp; Innovation (UKRI); Natural Environment Research Council (NERC); NERC British Antarctic Survey; University of Manchester; Manchester Metropolitan University; Met Office - UK; Cranfield University; NILU</t>
  </si>
  <si>
    <t>Cain, M (corresponding author), Univ Cambridge, Ctr Atmospher Sci, Cambridge, England.;Cain, M (corresponding author), Natl Ctr Atmospher Sci, Leeds, W Yorkshire, England.</t>
  </si>
  <si>
    <t>michelle.cain@atm.ch.cam.ac.uk</t>
  </si>
  <si>
    <t>Pitt, Joseph/GWM-5007-2022; Fisher, Rebecca/AAA-5352-2022; Lowry, David/GXG-1235-2022; Lowry, David/JCE-0619-2023; Allen, Grant/A-7737-2013; Allen, Grant/AAF-7097-2021; Illingworth, Sam/A-4899-2015; Cain, Michelle/AAX-4672-2021; Pisso, Ignacio/B-1357-2017; France, James/L-9719-2015</t>
  </si>
  <si>
    <t>Pitt, Joseph/0000-0002-8660-5136; Allen, Grant/0000-0002-7070-3620; Allen, Grant/0000-0002-7070-3620; Illingworth, Sam/0000-0003-2551-0675; Cain, Michelle/0000-0003-2062-6556; LOWRY, DAVID/0000-0002-8535-0346; Fisher, Rebecca/0000-0002-9262-5467; Warwick, Nicola/0000-0003-1840-0283; Bower, Keith/0000-0002-9802-3264; Pisso, Ignacio/0000-0002-0056-7897; France, James/0000-0002-8785-1240</t>
  </si>
  <si>
    <t>UK Natural Environment Research Council [NE/I029293/1]; ERC ACCI project [267760]; MOCA; Research Council of Norway [225814]; UK Department of Business, Energy, and Industrial Strategy [GA01103]; NASA through MIT [NNX11AF17G, 5710002970]; NERC [NE/K00221X/1, NE/I029161/1, NE/I021276/1, NE/I029293/1, bas0100032, NE/N015835/1, NE/I010750/1] Funding Source: UKRI; Natural Environment Research Council [NE/K00221X/1, bas0100032, NE/I010750/1, NE/I021276/1, NE/I029293/1, NE/N015835/1, NE/I029161/1] Funding Source: researchfish; NASA [NNX11AF17G, 146499] Funding Source: Federal RePORTER</t>
  </si>
  <si>
    <t>UK Natural Environment Research Council(UK Research &amp; Innovation (UKRI)Natural Environment Research Council (NERC)); ERC ACCI project(European Research Council (ERC)); MOCA; Research Council of Norway(Research Council of Norway); UK Department of Business, Energy, and Industrial Strategy; NASA through MIT; NERC(UK Research &amp; Innovation (UKRI)Natural Environment Research Council (NERC)); Natural Environment Research Council(UK Research &amp; Innovation (UKRI)Natural Environment Research Council (NERC)); NASA(National Aeronautics &amp; Space Administration (NASA))</t>
  </si>
  <si>
    <t>The MAMM project was funded by the UK Natural Environment Research Council (grant NE/I029293/1). J.A.P. and M.C. also acknowledge support through the ERC ACCI project, project 267760. I.P. acknowledges support from MOCA, funded by the Research Council of Norway, grant 225814. Airborne data were obtained using the BAe-146-301 Atmospheric Research Aircraft (ARA) flown by Directflight Ltd and managed by the Facility for Airborne Atmospheric Measurements (FAAM), which is a joint entity of the Natural Environment Research Council (NERC) and the Met Office. We specifically acknowledge the cooperation and effort of S. O'Doherty and D. Young (University of Bristol) for the CH4 measurements from the AGAGE Mace Head station. The operation at Mace Head is funded by the UK Department of Business, Energy, and Industrial Strategy (formerly the Department of Energy and Climate Change) through contract GA01103 with additional funding at Mace Head under NASA contract NNX11AF17G through MIT with a subaward 5710002970 to University of Bristol. Data is available through http://catalogue.ceda.ac.uk/uuid/03b040a422a4b694a90252410613282e or requested through direct contact with the corresponding author.</t>
  </si>
  <si>
    <t>10.1002/2017JD026626</t>
  </si>
  <si>
    <t>WOS:000408346000025</t>
  </si>
  <si>
    <t>Golledge, NR; Thomas, ZA; Levy, RH; Gasson, EGW; Naish, TR; Mckay, RM; Kowalewski, DE; Fogwill, CJ</t>
  </si>
  <si>
    <t>Golledge, Nicholas R.; Thomas, Zoe A.; Levy, Richard H.; Gasson, Edward G. W.; Naish, Timothy R.; Mckay, Robert M.; Kowalewski, Douglas E.; Fogwill, Christopher J.</t>
  </si>
  <si>
    <t>Antarctic climate and ice-sheet configuration during the early Pliocene interglacial at 4.23 Ma</t>
  </si>
  <si>
    <t>EARLY WARNING SIGNAL; MAJOR DIATOM TAXA; SEA-LEVEL; VESTFOLD HILLS; TEMPERATURE VARIABILITY; SORSDAL FORMATION; ATMOSPHERIC CO2; MODEL; GREENLAND; RETREAT</t>
  </si>
  <si>
    <t>The geometry of Antarctic ice sheets during warm periods of the geological past is difficult to determine from geological evidence, but is important to know because such reconstructions enable a more complete understanding of how the ice-sheet system responds to changes in climate. Here we investigate how Antarctica evolved under orbital and greenhouse gas conditions representative of an interglacial in the early Pliocene at 4.23 Ma, when Southern Hemisphere insolation reached a maximum. Using offline-coupled climate and ice-sheet models, together with a new synthesis of high-latitude palaeoenvironmental proxy data to define a likely climate envelope, we simulate a range of ice-sheet geometries and calculate their likely contribution to sea level. In addition, we use these simulations to investigate the processes by which the West and East Antarctic ice sheets respond to environmental forcings and the timescales over which these behaviours manifest. We conclude that the Antarctic ice sheet contributed 8.6 +/- 2.8 m to global sea level at this time, under an atmospheric CO2 concentration identical to present (400 ppm). Warmer-than-present ocean temperatures led to the collapse of West Antarctica over centuries, whereas higher air temperatures initiated surface melting in parts of East Antarctica that over one to two millennia led to lowering of the ice-sheet surface, flotation of grounded margins in some areas, and retreat of the ice sheet into the Wilkes Subglacial Basin. The results show that regional variations in climate, ice-sheet geometry, and topography pro-duce long-term sea-level contributions that are non-linear with respect to the applied forcings, and which under certain conditions exhibit threshold behaviour associated with behavioural tipping points.</t>
  </si>
  <si>
    <t>[Golledge, Nicholas R.; Naish, Timothy R.; Mckay, Robert M.] Victoria Univ Wellington, Antarctic Res Ctr, Wellington 6140, New Zealand; [Golledge, Nicholas R.; Levy, Richard H.] GNS Sci, Lower Hutt 5011, New Zealand; [Thomas, Zoe A.; Fogwill, Christopher J.] Univ New South Wales, Climate Change Res Ctr, Sydney, NSW 2052, Australia; [Thomas, Zoe A.; Fogwill, Christopher J.] Univ New South Wales, PANGEA Res Ctr, Sydney, NSW 2052, Australia; [Gasson, Edward G. W.] Univ Sheffield, Dept Geog, Sheffield S10 2TN, S Yorkshire, England; [Kowalewski, Douglas E.] Worcester State Univ, Dept Earth Environm &amp; Phys, Worcester, MA 01602 USA</t>
  </si>
  <si>
    <t>Victoria University Wellington; GNS Science - New Zealand; University of New South Wales Sydney; University of New South Wales Sydney; University of Sheffield; Massachusetts System of Public Higher Education; Worcester State University</t>
  </si>
  <si>
    <t>Golledge, NR (corresponding author), Victoria Univ Wellington, Antarctic Res Ctr, Wellington 6140, New Zealand.;Golledge, NR (corresponding author), GNS Sci, Lower Hutt 5011, New Zealand.</t>
  </si>
  <si>
    <t>nicholas.golledge@vuw.ac.nz</t>
  </si>
  <si>
    <t>Levy, Richard H/E-2477-2011; Fogwill, Chris/AAW-3502-2021; Fogwill, Christopher/HPF-1150-2023; Thomas, Zoe/D-1656-2016</t>
  </si>
  <si>
    <t>Fogwill, Chris/0000-0002-6471-1106; Kowalewski, Douglas/0000-0002-7847-026X; Levy, Richard/0000-0002-8783-0167; Thomas, Zoe/0000-0002-2323-4366; Naish, Tim/0000-0002-1185-9932; Gasson, Edward/0000-0003-4653-6217; McKay, Robert/0000-0002-5602-6985; Golledge, Nicholas/0000-0001-7676-8970</t>
  </si>
  <si>
    <t>Royal Society of New Zealand's Marsden Fund [VUW1203]; Antarctic Research Centre, Victoria University of Wellington; ANDRILL; GNS Science; NSF Polar Programs [ANT-1043712, PLR-1245899]; Australian Research Council (ARC) [FL100100195]; NASA [NNX13AM16G, NNX13AK27G]; Directorate For Geosciences; Office of Polar Programs (OPP) [1245899] Funding Source: National Science Foundation</t>
  </si>
  <si>
    <t>Royal Society of New Zealand's Marsden Fund(Royal Society of New ZealandMarsden Fund (NZ)); Antarctic Research Centre, Victoria University of Wellington; ANDRILL; GNS Science; NSF Polar Programs(National Science Foundation (NSF)); Australian Research Council (ARC)(Australian Research Council); NASA(National Aeronautics &amp; Space Administration (NASA)); Directorate For Geosciences; Office of Polar Programs (OPP)(National Science Foundation (NSF)NSF - Directorate for Geosciences (GEO))</t>
  </si>
  <si>
    <t>We are grateful to the two anonymous reviewers for their comments on a previous version of this manuscript. This work was funded by contract VUW1203 of the Royal Society of New Zealand's Marsden Fund, with support from the Antarctic Research Centre, Victoria University of Wellington, ANDRILL, GNS Science, NSF Polar Programs grants ANT-1043712 and PLR-1245899, and the Australian Research Council (ARC) including a Laureate Fellowship (FL100100195) supporting Zoe A. Thomas. We are very grateful to PISM developers for their continued support. PISM is supported by NASA grants NNX13AM16G and NNX13AK27G.</t>
  </si>
  <si>
    <t>10.5194/cp-13-959-2017</t>
  </si>
  <si>
    <t>FB8SG</t>
  </si>
  <si>
    <t>WOS:000406408600001</t>
  </si>
  <si>
    <t>Martin, JCG; Brooke, JSA; Feng, WH; Höpfner, M; Mills, MJ; Plane, JMC</t>
  </si>
  <si>
    <t>Martin, Juan Carlos Gomez; Brooke, James S. A.; Feng, Wuhu; Hoepfner, Michael; Mills, Michael J.; Plane, John M. C.</t>
  </si>
  <si>
    <t>Impacts of meteoric sulfur in the Earth's atmosphere</t>
  </si>
  <si>
    <t>POSITIVE-ION COMPOSITION; ABSORPTION CROSS-SECTIONS; STRATOSPHERIC CN LAYER; IN-SITU MEASUREMENTS; INTERPLANETARY DUST; UPPER TROPOSPHERE; SULFATE AEROSOL; COSMIC DUST; DIOXIDE SO2; ACID VAPOR</t>
  </si>
  <si>
    <t>A meteoric sulfur input function and a sulfur ion chemistry scheme have been incorporated into a chemistry-climate model, in order to study the speciation of sulfur between the stratosphere and the thermosphere (similar to 20-120 km) and the impact of the sulfur input from ablation of cosmic dust. The simulations have been compared to rocket observations of SO+ between 85 and 110 km, MIPAS observations of SO2 between 20 and 45 km, and stratospheric balloon-borne measurements of H2SO4 vapor and sulfate aerosol. These observations constrain the present-day global flux of meteoric sulfur to &lt;= 1.0 t S d(-1), i.e., 2 orders of magnitude smaller than the flux of S into the stratosphere from OCS photooxidation and explosive volcanic SO2 injection. However, the meteoric sulfur flux is strongly focused into the polar vortices by the meridional circulation, and therefore, the contribution of SO2 of meteoric origin to the polar upper stratosphere during winter is substantial (similar to 30% at 50 km for a flux of 1.0 t S d(-1)). The Antarctic spring sulfate aerosol layer is found to be very sensitive to a moderate increase of the input rate of meteoric sulfur, showing a factor of 2 enhancement in total sulfate aerosol number density at 30 km for an input of 3.0 t S d(-1). The input rate estimate of 1.0 t S d(-1) suggests an enrichment of sodium relative to sulfur of 2.7 +/- 1.5 and is consistent with a total cosmic dust input rate of 44 t d(-1).</t>
  </si>
  <si>
    <t>[Martin, Juan Carlos Gomez; Brooke, James S. A.; Feng, Wuhu; Plane, John M. C.] Univ Leeds, Sch Chem, Leeds, W Yorkshire, England; [Feng, Wuhu] Univ Leeds, Natl Ctr Atmospher Sci, Leeds, W Yorkshire, England; [Hoepfner, Michael] Karlsruhe Inst Technol, Inst Meteorol &amp; Climate Res, Karlsruhe, Germany; [Mills, Michael J.] Natl Ctr Atmospher Res, Atmospher Chem Observat &amp; Modeling Lab, POB 3000, Boulder, CO 80307 USA</t>
  </si>
  <si>
    <t>University of Leeds; UK Research &amp; Innovation (UKRI); Natural Environment Research Council (NERC); NERC National Centre for Atmospheric Science; University of Leeds; Helmholtz Association; Karlsruhe Institute of Technology; National Center Atmospheric Research (NCAR) - USA</t>
  </si>
  <si>
    <t>Martin, JCG; Plane, JMC (corresponding author), Univ Leeds, Sch Chem, Leeds, W Yorkshire, England.</t>
  </si>
  <si>
    <t>chmjgm@leeds.ac.uk; J.M.C.Plane@leeds.ac.uk</t>
  </si>
  <si>
    <t>Brooke, James SA/H-6533-2013; Martin, Juan Carlos Gomez/G-9366-2012; FENG, WUHU/B-8327-2008; Mills, Michael/B-5068-2010; Plane, John/C-7444-2015; Hopfner, Michael/A-7255-2013</t>
  </si>
  <si>
    <t>Martin, Juan Carlos Gomez/0000-0001-7972-085X; FENG, WUHU/0000-0002-9907-9120; Mills, Michael/0000-0002-8054-1346; Plane, John/0000-0003-3648-6893; Hopfner, Michael/0000-0002-4174-9531</t>
  </si>
  <si>
    <t>European Research Council [291332 - CODITA]; National Science Foundation; NERC [ncas10008, ncas10005] Funding Source: UKRI; Natural Environment Research Council [ncas10005, ncas10009, ncas10008] Funding Source: researchfish</t>
  </si>
  <si>
    <t>European Research Council(European Research Council (ERC)); National Science Foundation(National Science Foundation (NSF)); NERC(UK Research &amp; Innovation (UKRI)Natural Environment Research Council (NERC)); Natural Environment Research Council(UK Research &amp; Innovation (UKRI)Natural Environment Research Council (NERC))</t>
  </si>
  <si>
    <t>This work was supported by the European Research Council (project 291332 - CODITA). The rocket flight data were kindly provided by E. Kopp (University of Bern). The SO2 data set retrieved at KIT/IMK is available at http://www.imk-asf.kit.edu/english/308.php. The latest version of CESM1-WACCM is available at https://svn-ccsm-models.cgd.ucar.edu/cesm1/tags/cesm1_5_beta06/. We would like to thank Francis Vitt at NCAR for the CESM1-WACCM model development. The National Center for Atmospheric Research is sponsored by the National Science Foundation. Any opinions, findings, and conclusions or recommendations expressed in the publication are those of the author(s) and do not necessarily reflect the views of the National Science Foundation. The model output generated for this work has been archived at Leeds University PETAL (http://www.petal.leeds.ac.uk).</t>
  </si>
  <si>
    <t>10.1002/2017JD027218</t>
  </si>
  <si>
    <t>WOS:000408346000028</t>
  </si>
  <si>
    <t>Hwang, B; Wilkinson, J; Maksym, T; Graber, HC; Schweiger, A; Horvat, C; Perovich, DK; Arntsen, AE; Stanton, TP; Ren, J; Wadhams, P</t>
  </si>
  <si>
    <t>Hwang, Byongjun; Wilkinson, Jeremy; Maksym, Ted; Graber, Hans C.; Schweiger, Axel; Horvat, Christopher; Perovich, Donald K.; Arntsen, Alexandra E.; Stanton, Timothy P.; Ren, Jinchang; Wadhams, Peter</t>
  </si>
  <si>
    <t>Winter-to-summer transition of Arctic sea ice breakup and floe size distribution in the Beaufort Sea</t>
  </si>
  <si>
    <t>POWER-LAW DISTRIBUTIONS; SEASONAL EVOLUTION; CHUKCHI</t>
  </si>
  <si>
    <t>Breakup of the near-continuous winter sea ice into discrete summer ice floes is an important transition that dictates the evolution and fate of the marginal ice zone (MIZ) of the Arctic Ocean. During the winter of 2014, more than 50 autonomous drifting buoys were deployed in four separate clusters on the sea ice in the Beaufort Sea, as part of the Office of Naval Research MIZ program. These systems measured the ocean-ice-atmosphere properties at their location whilst the sea ice parameters in the surrounding area of these buoy clusters were continuously monitored by satellite TerraSAR-X Synthetic Aperture Radar. This approach provided a unique Lagrangian view of the winter-to-summer transition of sea ice breakup and floe size distribution at each cluster between March and August. The results show the critical timings of a) temporary breakup of winter sea ice coinciding with strong wind events and b) spring breakup (during surface melt, melt ponding and drainage) leading to distinctive summer ice floes. Importantly our results suggest that summer sea ice floe distribution is potentially affected by the state of winter sea ice, including the composition and fracturing (caused by deformation events) of winter sea ice, and that substantial mid-summer breakup of sea ice floes is likely linked to the timing of thermodynamic melt of sea ice in the area. As the rate of deformation and thermodynamic melt of sea ice has been increasing in the MIZ in the Beaufort Sea, our results suggest that these elevated factors would promote faster and more enhanced breakup of sea ice, leading to a higher melt rate of sea ice and thus a more rapid advance of the summer MIZ.</t>
  </si>
  <si>
    <t>[Hwang, Byongjun] Scottish Assoc Marine Sci, Oban PA37 1QA, Argyll, Scotland; [Wilkinson, Jeremy] British Antarctic Survey, Cambridge, England; [Maksym, Ted] Woods Hole Oceanog Inst, Woods Hole, MA 02543 USA; [Graber, Hans C.] Univ Miami, Rosenstiel Sch Marine &amp; Atmospher Sci, 4600 Rickenbacker Causeway, Miami, FL 33149 USA; [Schweiger, Axel] Univ Washington, Polar Sci Ctr, Appl Phys Lab, Seattle, WA 98195 USA; [Horvat, Christopher] Harvard Univ, Cambridge, MA 02138 USA; [Perovich, Donald K.; Arntsen, Alexandra E.] Dartmouth Coll, Thayer Sch Engn, Hanover, NH 03755 USA; [Perovich, Donald K.] ERDC CRREL, Hanover, NH USA; [Stanton, Timothy P.] Naval Postgrad Sch, Monterey, CA USA; [Ren, Jinchang] Univ Strathclyde, Glasgow, Lanark, Scotland; [Wadhams, Peter] Univ Cambridge, Cambridge, England</t>
  </si>
  <si>
    <t>UHI Millennium Institute; UK Research &amp; Innovation (UKRI); Natural Environment Research Council (NERC); NERC British Antarctic Survey; Woods Hole Oceanographic Institution; University of Miami; University of Washington; University of Washington Seattle; Harvard University; Dartmouth College; United States Department of Defense; United States Army; U.S. Army Corps of Engineers; U.S. Army Engineer Research &amp; Development Center (ERDC); Cold Regions Research &amp; Engineering Laboratory (CRREL); United States Department of Defense; United States Navy; Naval Postgraduate School; University of Strathclyde; University of Cambridge</t>
  </si>
  <si>
    <t>Hwang, B (corresponding author), Scottish Assoc Marine Sci, Oban PA37 1QA, Argyll, Scotland.</t>
  </si>
  <si>
    <t>phil.hwang@sams.ac.uk</t>
  </si>
  <si>
    <t>Horvat, Christopher/0000-0001-6512-0335; Schweiger, Axel J./0000-0002-8704-4123; Hwang, Byongjun/0000-0003-4579-2040; Ren, Jinchang/0000-0001-6116-3194</t>
  </si>
  <si>
    <t>Office of Naval Research as part of the Marginal Ice Zone, Department Research Initiative, ONR MIZ [N00014-12-1-0359, N00014-12-1-0448]; UK Natural Environment Research Council [NE/M00600X/1, NE/L012707/1]; NERC [NE/L012707/1, bas0100032, NE/M00600X/1] Funding Source: UKRI; Natural Environment Research Council [NE/M00600X/1, NE/L012707/1, bas0100032] Funding Source: researchfish</t>
  </si>
  <si>
    <t>Office of Naval Research as part of the Marginal Ice Zone, Department Research Initiative, ONR MIZ; 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</si>
  <si>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Funding was provided by the Office of Naval Research (grants N00014-12-1-0359, N00014-12-1-0448) as part of the Marginal Ice Zone, Department Research Initiative, ONR MIZ, by the UK Natural Environment Research Council (grants NE/M00600X/1, NE/L012707/1).</t>
  </si>
  <si>
    <t>JUL 26</t>
  </si>
  <si>
    <t>10.1525/elementa.232</t>
  </si>
  <si>
    <t>FB6PW</t>
  </si>
  <si>
    <t>WOS:000406265900001</t>
  </si>
  <si>
    <t>Mathiot, P; Jenkins, A; Harris, C; Madec, G</t>
  </si>
  <si>
    <t>Mathiot, Pierre; Jenkins, Adrian; Harris, Christopher; Madec, Gurvan</t>
  </si>
  <si>
    <t>Explicit representation and parametrised impacts of under ice shelf seas in the z* coordinate ocean model NEMO 3.6</t>
  </si>
  <si>
    <t>GEOSCIENTIFIC MODEL DEVELOPMENT</t>
  </si>
  <si>
    <t>PINE ISLAND GLACIER; BOUNDARY-CONDITIONS; CIRCULATION MODEL; WEST ANTARCTICA; MELTING ICE; TRANSPORT; MELTWATER; AMUNDSEN; SYSTEM; ROSS</t>
  </si>
  <si>
    <t>Ice-shelf-ocean interactions are a major source of freshwater on the Antarctic continental shelf and have a strong impact on ocean properties, ocean circulation and sea ice. However, climate models based on the ocean-sea ice model NEMO (Nucleus for European Modelling of the Ocean) currently do not include these interactions in any detail. The capability of explicitly simulating the circulation beneath ice shelves is introduced in the non-linear free surface model NEMO. Its implementation into the NEMO framework and its assessment in an idealised and realistic circum-Antarctic configuration is described in this study. Compared with the current prescription of ice shelf melting (i.e. at the surface), inclusion of open sub-ice-shelf cavities leads to a decrease in sea ice thickness along the coast, a weakening of the ocean stratification on the shelf, a decrease in salinity of high-salinity shelf water on the Ross and Weddell sea shelves and an increase in the strength of the gyres that circulate within the over-deepened basins on the West Antarctic continental shelf. Mimicking the overturning circulation under the ice shelves by introducing a prescribed meltwater flux over the depth range of the ice shelf base, rather than at the surface, is also assessed. It yields similar improvements in the simulated ocean properties and circulation over the Antarctic continental shelf to those from the explicit ice shelf cavity representation. With the ice shelf cavities opened, the widely used three equation ice shelf melting formulation, which enables an interactive computation of melting, is tested. Comparison with observational estimates of ice shelf melting indicates realistic results for most ice shelves. However, melting rates for the Amery, Getz and George VI ice shelves are considerably overestimated.</t>
  </si>
  <si>
    <t>[Mathiot, Pierre; Jenkins, Adrian] NERC, British Antarctic Survey, Cambridge, England; [Mathiot, Pierre; Harris, Christopher] Met Off, Exeter, Devon, England; [Madec, Gurvan] Univ Pierre &amp; Marie Curie Paris 6, Sorbonne Univ, CNRS, IRD,MNHN,LOCEAN Lab, Paris, France</t>
  </si>
  <si>
    <t>UK Research &amp; Innovation (UKRI); Natural Environment Research Council (NERC); NERC British Antarctic Survey; Met Office - UK; Sorbonne Universite; Museum National d'Histoire Naturelle (MNHN); Institut de Recherche pour le Developpement (IRD); Centre National de la Recherche Scientifique (CNRS)</t>
  </si>
  <si>
    <t>Mathiot, P (corresponding author), NERC, British Antarctic Survey, Cambridge, England.;Mathiot, P (corresponding author), Met Off, Exeter, Devon, England.</t>
  </si>
  <si>
    <t>pierre.mathiot@metoffice.gov.uk</t>
  </si>
  <si>
    <t>madec, gurvan/E-7825-2010; Jenkins, Adrian/IUN-2406-2023</t>
  </si>
  <si>
    <t>madec, gurvan/0000-0002-6447-4198; Jenkins, Adrian/0000-0002-9117-0616; Mathiot, Pierre/0000-0002-2001-0762</t>
  </si>
  <si>
    <t>National Environmental Research Council; UK Met Office; NERC [bas0100033, NE/N01801X/1] Funding Source: UKRI; Natural Environment Research Council [bas0100033, NE/N01801X/1] Funding Source: researchfish</t>
  </si>
  <si>
    <t>National Environmental Research Council(UK Research &amp; Innovation (UKRI)Natural Environment Research Council (NERC)); UK Met Office; NERC(UK Research &amp; Innovation (UKRI)Natural Environment Research Council (NERC)); Natural Environment Research Council(UK Research &amp; Innovation (UKRI)Natural Environment Research Council (NERC))</t>
  </si>
  <si>
    <t>The authors acknowledge financial support from the National Environmental Research Council and the UK Met Office. Computational resources were provided by the supercomputing facilities of the British Antarctic Survey and the ARCHER UK National Supercomputing Service. The DFS5.2 forcing fields and the open boundary conditions from the ORCA025-GRD100 simulation were provided by the DRAKKAR coordination (CNRS GDRI no. 810). We thank Martin Losch, Julien Le Sommer, Nicolas Jourdain and Jean-Marc Molines for their useful comments and suggestions. We thank, Xylar Asay-Davis and one anonymous reviewer for their detailed and very constructive comments on this work.</t>
  </si>
  <si>
    <t>1991-959X</t>
  </si>
  <si>
    <t>1991-9603</t>
  </si>
  <si>
    <t>GEOSCI MODEL DEV</t>
  </si>
  <si>
    <t>Geosci. Model Dev.</t>
  </si>
  <si>
    <t>10.5194/gmd-10-2849-2017</t>
  </si>
  <si>
    <t>FB7WF</t>
  </si>
  <si>
    <t>WOS:000406350000001</t>
  </si>
  <si>
    <t>Geyer, KM; Takacs-Vesbach, CD; Gooseff, MN; Barrett, JE</t>
  </si>
  <si>
    <t>Geyer, Kevin M.; Takacs-Vesbach, Cristina D.; Gooseff, Michael N.; Barrett, John E.</t>
  </si>
  <si>
    <t>Primary productivity as a control over soil microbial diversity along environmental gradients in a polar desert ecosystem</t>
  </si>
  <si>
    <t>Microbial ecology; Pulse amplitude modulation fluorometry; Primary production; McMurdo Dry Valleys; Biogeochemistry; Environmental gradients</t>
  </si>
  <si>
    <t>ANTARCTIC DRY VALLEY; MODULATION PAM FLUOROMETRY; ELECTRON-TRANSPORT RATES; SOUTHERN VICTORIA LAND; ORGANIC-MATTER; TAYLOR VALLEY; ROSS SEA; CO2 FLUX; COMMUNITY; BIODIVERSITY</t>
  </si>
  <si>
    <t>Primary production is the fundamental source of energy to foodwebs and ecosystems, and is thus an important constraint on soil communities. This coupling is particularly evident in polar terrestrial ecosystems where biological diversity and activity is tightly constrained by edaphic gradients of productivity (e.g., soil moisture, organic carbon availability) and geochemical severity (e.g., pH, electrical conductivity). In the McMurdo Dry Valleys of Antarctica, environmental gradients determine numerous properties of soil communities and yet relatively few estimates of gross or net primary productivity (GPP, NPP) exist for this region. Here we describe a survey utilizing pulse amplitude modulation (PAM) fluorometry to estimate rates of GPP across a broad environmental gradient along with belowground microbial diversity and decomposition. PAM estimates of GPP ranged from an average of 0.27 mmol O-2/m(2)/s in the most arid soils to an average of 6.97 mmol O-2/m(2)/s in themost productive soils, the latter equivalent to 217 g C/m(2) /y in annual NPP assuming a 60 day growing season. A diversity index of four carbon-acquiring enzyme activities also increased with soil productivity, suggesting that the diversity of organic substrates in mesic environments may be an additional driver of microbial diversity. Overall, soil productivity was a stronger predictor of microbial diversity and enzymatic activity than any estimate of geochemical severity. These results highlight the fundamental role of environmental gradients to control community diversity and the dynamics of ecosystem-scale carbon pools in arid systems.</t>
  </si>
  <si>
    <t>[Geyer, Kevin M.] Univ New Hampshire, Dept Nat Resources &amp; Environm, Durham, NH 03824 USA; [Takacs-Vesbach, Cristina D.] Univ New Mexico, Dept Biol, Albuquerque, NM 87131 USA; [Gooseff, Michael N.] Univ Colorado, Inst Arctic &amp; Alpine Res, Boulder, CO 80309 USA; [Gooseff, Michael N.] Univ Colorado, Dept Civil Environm &amp; Architectural Engn, Boulder, CO 80309 USA; [Barrett, John E.] Virginia Tech, Dept Biol Sci, Blacksburg, VA USA</t>
  </si>
  <si>
    <t>University System Of New Hampshire; University of New Hampshire; University of New Mexico; University of Colorado System; University of Colorado Boulder; University of Colorado System; University of Colorado Boulder; Virginia Polytechnic Institute &amp; State University</t>
  </si>
  <si>
    <t>Geyer, KM (corresponding author), Univ New Hampshire, Dept Nat Resources &amp; Environm, Durham, NH 03824 USA.</t>
  </si>
  <si>
    <t>kevin.geyer@unh.edu</t>
  </si>
  <si>
    <t>Gooseff, Michael N/N-6087-2015; Barrett, John/D-5851-2016</t>
  </si>
  <si>
    <t>Gooseff, Michael N/0000-0003-4322-8315; Geyer, Kevin/0000-0002-5218-2745; Barrett, John/0000-0002-7610-0505</t>
  </si>
  <si>
    <t>McMurdo LTER NSF OPP [1115245]; Directorate For Geosciences; Office of Polar Programs (OPP) [1115245] Funding Source: National Science Foundation</t>
  </si>
  <si>
    <t>McMurdo LTER NSF OPP; Directorate For Geosciences; Office of Polar Programs (OPP)(National Science Foundation (NSF)NSF - Directorate for Geosciences (GEO))</t>
  </si>
  <si>
    <t>This research was funded by McMurdo LTER NSF OPP grant 1115245. There was no additional external funding received for this study. The funders had no role in study design, data collection and analysis, decision to publish, or preparation of the manuscript.</t>
  </si>
  <si>
    <t>JUL 25</t>
  </si>
  <si>
    <t>e3377</t>
  </si>
  <si>
    <t>10.7717/peerj.3377</t>
  </si>
  <si>
    <t>FB8GI</t>
  </si>
  <si>
    <t>WOS:000406376700011</t>
  </si>
  <si>
    <t>Klages, JP; Kuhn, G; Hillenbrand, CD; Smith, JA; Graham, AGC; Nitsche, FO; Frederichs, T; Jernas, PE; Gohl, K; Wacker, L</t>
  </si>
  <si>
    <t>Klages, Johann P.; Kuhn, Gerhard; Hillenbrand, Claus-Dieter; Smith, James A.; Graham, Alastair G. C.; Nitsche, Frank O.; Frederichs, Thomas; Jernas, Patrycja E.; Gohl, Karsten; Wacker, Lukas</t>
  </si>
  <si>
    <t>Limited grounding-line advance onto the West Antarctic continental shelf in the easternmost Amundsen Sea Embayment during the last glacial period</t>
  </si>
  <si>
    <t>ICE-SHEET RETREAT; SOUTHERN-OCEAN; SCOTIA SEA; PRYDZ BAY; ROSS-SEA; SEDIMENTS; ZONE; PALEOINTENSITY; RADIOCARBON; PENINSULA</t>
  </si>
  <si>
    <t>Precise knowledge about the extent of the West Antarctic Ice Sheet (WAIS) at the Last Glacial Maximum (LGM; c. 26.5-19 cal. ka BP) is important in order to 1) improve paleo-ice sheet reconstructions, 2) provide a robust empirical framework for calibrating paleo-ice sheet models, and 3) locate potential shelf refugia for Antarctic benthos during the last glacial period. However, reliable reconstructions are still lacking for many WAIS sectors, particularly for key areas on the outer continental shelf, where the LGM-ice sheet is assumed to have terminated. In many areas of the outer continental shelf around Antarctica, direct geological data for the presence or absence of grounded ice during the LGM is lacking because of post-LGM iceberg scouring. This also applies to most of the outer continental shelf in the Amundsen Sea. Here we present detailed marine geophysical and new geological data documenting a sequence of glaciomarine sediments up to similar to 12 m thick within the deep outer portion of Abbot Trough, a palaeo-ice stream trough on the outer shelf of the Amundsen Sea Embayment. The upper 2-3 meters of this sediment drape contain calcareous foraminifera of Holocene and (pre-) LGM age and, in combination with palaeomagnetic age constraints, indicate that continuous glaciomarine deposition persisted here since well before the LGM, possibly even since the last interglacial period. Our data therefore indicate that the LGM grounding line, whose exact location was previously uncertain, did not reach the shelf edge everywhere in the Amundsen Sea. The LGM grounding line position coincides with the crest of a distinct grounding-zone wedge similar to 100 km inland from the continental shelf edge. Thus, an area of &gt;= 6000 km(2) remained free of grounded ice through the last glacial cycle, requiring the LGM grounding line position to be re-located in this sector, and suggesting a new site at which Antarctic shelf benthos may have survived the last glacial period.</t>
  </si>
  <si>
    <t>[Klages, Johann P.; Kuhn, Gerhard; Gohl, Karsten] Helmholtz Zentrum Polar &amp; Meeresforsch, Alfred Wegener Inst, Marine Geosci, Bremerhaven, Germany; [Hillenbrand, Claus-Dieter; Smith, James A.] British Antarctic Survey, Cambridge, England; [Graham, Alastair G. C.] Univ Exeter, Coll Life &amp; Environm Sci, Amory Bldg, Exeter, Devon, England; [Nitsche, Frank O.] Columbia Univ, Lamont Doherty Earth Observ, Palisades, NY USA; [Frederichs, Thomas] Univ Bremen, Fac Geosci, Bremen, Germany; [Jernas, Patrycja E.] Arctic Univ Norway, Univ Tromso, Dept Geosci, Tromso, Norway; [Wacker, Lukas] Swiss Fed Inst Technol, Lab Ion Beam Phys, Zurich, Switzerland</t>
  </si>
  <si>
    <t>Helmholtz Association; Alfred Wegener Institute, Helmholtz Centre for Polar &amp; Marine Research; UK Research &amp; Innovation (UKRI); Natural Environment Research Council (NERC); NERC British Antarctic Survey; University of Exeter; Columbia University; University of Bremen; UiT The Arctic University of Tromso; Swiss Federal Institutes of Technology Domain; ETH Zurich</t>
  </si>
  <si>
    <t>Klages, JP (corresponding author), Helmholtz Zentrum Polar &amp; Meeresforsch, Alfred Wegener Inst, Marine Geosci, Bremerhaven, Germany.</t>
  </si>
  <si>
    <t>Johann.Klages@awi.de</t>
  </si>
  <si>
    <t>Nitsche, Frank O/0000-0002-4137-547X; Klages, Johann Philipp/0000-0003-0968-1183; Gohl, Karsten/0000-0002-9558-2116; Jernas, Patrycja Ewa/0000-0002-9012-1804</t>
  </si>
  <si>
    <t>Helmholtz Association - Postdoc Project [PD-201]; Alfred Wegener Institute PACES II program WP 3.1 Circumpolar climate variability and global teleconnections at seasonal to orbital time scales; UK Natural Environment Research Council (NERC) [NE/M013081]; National Science Foundation (NSF) [ANT-0838735]; NERC [bas0100030] Funding Source: UKRI; Natural Environment Research Council [bas0100030] Funding Source: researchfish</t>
  </si>
  <si>
    <t>Helmholtz Association - Postdoc Project(Helmholtz Association); Alfred Wegener Institute PACES II program WP 3.1 Circumpolar climate variability and global teleconnections at seasonal to orbital time scales(Helmholtz Association); UK Natural Environment Research Council (NERC)(UK Research &amp; Innovation (UKRI)Natural Environment Research Council (NERC)); National Science Foundation (NSF)(National Science Foundation (NSF)); NERC(UK Research &amp; Innovation (UKRI)Natural Environment Research Council (NERC)); Natural Environment Research Council(UK Research &amp; Innovation (UKRI)Natural Environment Research Council (NERC))</t>
  </si>
  <si>
    <t>This work was supported by the Helmholtz Association - Postdoc Project PD-201 (JP Klages); the Alfred Wegener Institute PACES II program WP 3.1 Circumpolar climate variability and global teleconnections at seasonal to orbital time scales; the UK Natural Environment Research Council (NERC) - Grant NE/M013081 (JA Smith); and the National Science Foundation (NSF) - Grant ANT-0838735 (FO Nitsche).</t>
  </si>
  <si>
    <t>e0181593</t>
  </si>
  <si>
    <t>10.1371/journal.pone.0181593</t>
  </si>
  <si>
    <t>FB8DV</t>
  </si>
  <si>
    <t>gold, Green Published, Green Submitted, Green Accepted</t>
  </si>
  <si>
    <t>WOS:000406370000041</t>
  </si>
  <si>
    <t>Spinola, DN; Pi-Puig, T; Solleiro-Rebolledo, E; Egli, M; Sudo, M; Sedov, S; Kühn, P</t>
  </si>
  <si>
    <t>Spinola, Diogo Noses; Pi-Puig, Teresa; Solleiro-Rebolledo, Elizabeth; Egli, Markus; Sudo, Masafumi; Sedov, Sergey; Kuehn, Peter</t>
  </si>
  <si>
    <t>Origin of clay minerals in Early Eocene volcanic paleosols on King George Island, Maritime Antarctica</t>
  </si>
  <si>
    <t>SOILS; ROCKS; TRANSFORMATION; SMECTITE; PHYLLOSILICATES; GEOCHRONOLOGY; DEPOSITS; ILLITE</t>
  </si>
  <si>
    <t>The paleoclimate during the Early Eocene in Maritime Antarctica is characterized by cool conditions without a pronounced dry season. Soils formed on volcanic material under such climate conditions in modern analogue environments are usually Andosols rich in nanocrystalline minerals without pedogenic smectite. The paleosols formed on volcanic material on King Georges Island are covered by basalts, dated by 6 new 40Ar/39Ar datings to 51-48 Ma, and are rich in smectite. A pedogenic origin of the smectites would suggest a semi-arid rather than a wet non-seasonal humid paleoclimate. To investigate the origin of the smectites in these paleosols we used X-ray diffraction and microscopic techniques. Minor mineralogical changes between the volcanic parent material and the paleosols and a homogenous distribution of smectites throughout the paleosol horizons indicate that these smectites were mainly inherited from the pyroclastic parent material, which was altered prior to surficial weathering. Nevertheless, the mineralogical properties, such as degree of crystallinity and octahedral site occupancy, of these smectites were modified during the ancient soil formation. Our findings highlight that trioctahedral smectites were a product of deuteric alteration of pyroclastic rocks and were progressively transformed to dioctahedral smectites during weathering in a soil environment on King George Island.</t>
  </si>
  <si>
    <t>[Spinola, Diogo Noses; Kuehn, Peter] Univ Tubingen, Dept Geosci, Res Area Geog, Tubingen, Germany; [Pi-Puig, Teresa; Solleiro-Rebolledo, Elizabeth; Sedov, Sergey] Univ Nacl Autonoma Mexico, Inst Geol, Mexico City, DF, Mexico; [Egli, Markus] Univ Zurich, Dept Geog, Zurich, Switzerland; [Sudo, Masafumi] Univ Potsdam, Inst Earth &amp; Environm Sci, Potsdam, Germany</t>
  </si>
  <si>
    <t>Eberhard Karls University of Tubingen; Universidad Nacional Autonoma de Mexico; University of Zurich; University of Potsdam</t>
  </si>
  <si>
    <t>Spinola, DN (corresponding author), Univ Tubingen, Dept Geosci, Res Area Geog, Tubingen, Germany.</t>
  </si>
  <si>
    <t>diogo.noses-spinola@geographie.uni-tuebingen.de</t>
  </si>
  <si>
    <t>Egli, Markus/C-3893-2013; Kühn, Peter/A-9146-2009; Sedov, Sergey/U-9138-2019; Spinola, Diogo/V-8593-2018</t>
  </si>
  <si>
    <t>Kühn, Peter/0000-0002-4417-5633; Egli, Markus/0000-0002-1528-3440; Sedov, Sergey/0000-0002-7396-3735; Spinola, Diogo/0000-0003-3525-9461; Solleiro Rebolledo, Elizabeth/0000-0001-7395-8429</t>
  </si>
  <si>
    <t>National Counsel of Technological and Scientific Development (CNPq), Brazil; Deutsche Forschungsgemeinschaft and Open Access Publishing Fund of University of Tubingen</t>
  </si>
  <si>
    <t>National Counsel of Technological and Scientific Development (CNPq), Brazil(Conselho Nacional de Desenvolvimento Cientifico e Tecnologico (CNPQ)); Deutsche Forschungsgemeinschaft and Open Access Publishing Fund of University of Tubingen</t>
  </si>
  <si>
    <t>The present work was possible with financial support of the National Counsel of Technological and Scientific Development (CNPq), Brazil. We acknowledge support by Deutsche Forschungsgemeinschaft and Open Access Publishing Fund of University of Tubingen. We thank the Brazilian Navy and the colleagues (38. Polska Wyprawa Antarktyczna) from the Henry Arctowski Station for all logistics and much additional support to realize the successful field work during the Antarctic expedition in the summer of 2013/2014. We thank Dr. Michael Pltze (ETH Zurich) for providing X-ray diffraction data of rock samples. We also thank Stefan Kreial (University of Tubinger) for helping with the SEM-EDS.</t>
  </si>
  <si>
    <t>10.1038/s41598-017-06617-x</t>
  </si>
  <si>
    <t>FB6UK</t>
  </si>
  <si>
    <t>WOS:000406277700010</t>
  </si>
  <si>
    <t>Guillemette, M; Polymeropoulos, ET; Portugal, SJ; Pelletier, D</t>
  </si>
  <si>
    <t>Guillemette, Magella; Polymeropoulos, Elias T.; Portugal, Steven J.; Pelletier, David</t>
  </si>
  <si>
    <t>It Takes Time to Be Cool: On the Relationship between Hyperthermia and Body Cooling in a Migrating Seaduck</t>
  </si>
  <si>
    <t>FRONTIERS IN PHYSIOLOGY</t>
  </si>
  <si>
    <t>body cooling; common eiders; endothermy; hyperthermia; migration; thermoregulation</t>
  </si>
  <si>
    <t>SPRING MIGRATION; COMMON EIDERS; HEAT LOSS; FLIGHT; TEMPERATURE; THERMOREGULATION; WATER; FEET; FLIGHTLESSNESS; RESPONSES</t>
  </si>
  <si>
    <t>The large amount of energy expended during flapping flight is associated with heat generated through the increased work of the flight muscles. This increased muscle work rate can manifest itself in core body temperature (T-b) increase of 1-2 degrees C in birds during flight. Therefore, episodic body coolingmay bemandatory inmigratory birds. To elucidate the thermoregulatory strategy of a short-distance migrant, common eiders (Somateria mollissima), we implanted data loggers in the body cavity of wild birds for 1 year, and report information on Tb during their entire migration for 19 individuals. We show that the mean body temperature during flight (T-bMean) in the eiders was associated with rises in Tb ranging from 0.2 to 1.5 degrees C, largely depending on flight duration. To understand how eiders are dealing with hyperthermia during migration, we first compare, at a daily scale, how Tb differs during migration using a before-after approach. Only a slight difference was found (0.05 degrees C) between the after (40.30 degrees C), the before (40.41 degrees C) and the migration (40.36 degrees C) periods, indicating that hyperthermia during flight had minimal impact at this time scale. Analyses at the scale of a flight cycle (flight plus stops on the water), however, clearly shows that eiders were closely regulating Tb during migration, as the relationship between the storage of heat during flight was highly correlated (slope = 1) with the level of heat dumping during stops, at both inter-individual and intra-individual levels. Because Tb at the start of a flight (T-bStart) was significantly and positively related to T-b at the end of a flight (T-bEnd), and the maximal attained T-b during a flight (T-bMax), we conclude that in absence of sufficient body cooling during stopovers, eiders are likely to become increasingly hyperthermic during migration. Finally, we quantified the time spent cooling down during migration to be 36% of their daily (24 h) time budget, and conclude that behavioral body cooling in relation to hyperthermia represents an important time cost.</t>
  </si>
  <si>
    <t>[Guillemette, Magella] Univ Quebec Rimouski, Dept Biol, Rimouski, PQ, Canada; [Polymeropoulos, Elias T.] Univ Tasmania, Inst Marine &amp; Antarctic Studies, Hobart, Tas, Australia; [Portugal, Steven J.] Royal Holloway Univ London, Sch Biol Sci, Egham, Surrey, England; [Pelletier, David] Cegep Rimouski, Dept Biol, Rimouski, PQ, Canada</t>
  </si>
  <si>
    <t>University of Quebec; Universite du Quebec a Rimouski; University of Tasmania; University of London; Royal Holloway University London</t>
  </si>
  <si>
    <t>Guillemette, M (corresponding author), Univ Quebec Rimouski, Dept Biol, Rimouski, PQ, Canada.</t>
  </si>
  <si>
    <t>Magella_Guillemette@uqar.ca</t>
  </si>
  <si>
    <t>Polymeropoulos, Elias T/E-9883-2013</t>
  </si>
  <si>
    <t>Polymeropoulos, Elias Theodor/0000-0002-4816-6005; Portugal, Steven/0000-0002-2438-2352; Pelletier, David/0000-0002-7434-4354</t>
  </si>
  <si>
    <t>National Environmental Research Institute of Denmark through the Canadian Natural Sciences and Engineering Research Council (NSERC)</t>
  </si>
  <si>
    <t>This study was undertaken in collaboration with the National Environmental Research Institute of Denmark and was funded through the Canadian Natural Sciences and Engineering Research Council (NSERC) discovery and equipment grants to MG.</t>
  </si>
  <si>
    <t>1664-042X</t>
  </si>
  <si>
    <t>FRONT PHYSIOL</t>
  </si>
  <si>
    <t>Front. Physiol.</t>
  </si>
  <si>
    <t>10.3389/fphys.2017.00532</t>
  </si>
  <si>
    <t>Physiology</t>
  </si>
  <si>
    <t>FB6RV</t>
  </si>
  <si>
    <t>WOS:000406271000001</t>
  </si>
  <si>
    <t>Curbelo, J; Garcia-Garrido, VJ; Mechoso, CR; Mancho, AM; Wiggins, S; Niang, C</t>
  </si>
  <si>
    <t>Curbelo, Jezabel; Jose Garcia-Garrido, Vctor; Roberto Mechoso, Carlos; Maria Mancho, Ana; Wiggins, Stephen; Niang, Coumba</t>
  </si>
  <si>
    <t>Insights into the three-dimensional Lagrangian geometry of the Antarctic polar vortex</t>
  </si>
  <si>
    <t>COHERENT STRUCTURES; DYNAMICAL-SYSTEMS; SOUTHERN-HEMISPHERE; CHAOTIC ADVECTION; LYAPUNOV EXPONENTS; STRATOSPHERE; FLOWS; DESCRIPTORS; SETS</t>
  </si>
  <si>
    <t>In this paper we study the three-dimensional (3-D) Lagrangian structures in the stratospheric polar vortex (SPV) above Antarctica. We analyse and visualize these structures using Lagrangian descriptor function M. The procedure for calculation with reanalysis data is explained. Benchmarks are computed and analysed that allow us to compare 2-D and 3D aspects of Lagrangian transport. Dynamical systems concepts appropriate to 3-D, such as normally hyperbolic invariant curves, are discussed and applied. In order to illustrate our approach we select an interval of time in which the SPV is relatively undisturbed (August 1979) and an interval of rapid SPV changes (October 1979). Our results provide new insights into the Lagrangian structure of the vertical extension of the stratospheric polar vortex and its evolution. Our results also show complex Lagrangian patterns indicative of strong mixing processes in the upper troposphere and lower stratosphere. Finally, during the transition to summer in the late spring, we illustrate the vertical structure of two counterrotating vortices, one the polar and the other an emerging one, and the invariant separatrix that divides them.</t>
  </si>
  <si>
    <t>[Curbelo, Jezabel; Jose Garcia-Garrido, Vctor; Maria Mancho, Ana; Niang, Coumba] UCM, UC3M, UAM, CSIC,Inst Ciencias Matemat, C Nicolas Cabrera 15,Campus Cantoblanco UAM, Madrid 28049, Spain; [Curbelo, Jezabel] Univ Autonoma Madrid, Fac Ciencias, Dept Matemat, E-28049 Madrid, Spain; [Roberto Mechoso, Carlos] Univ Calif Los Angeles, Dept Atmospher &amp; Ocean Sci, Los Angeles, CA USA; [Wiggins, Stephen] Univ Bristol, Sch Math, Bristol BS8 1TW, Avon, England; [Niang, Coumba] Univ Cheikh Anta Diop, Ecole Super Polytech, Lab Phys Atmosphere &amp; Ocean Simeon Fongang, Dakar 5085, Senegal</t>
  </si>
  <si>
    <t>Consejo Superior de Investigaciones Cientificas (CSIC); CSIC - Instituto de Ciencia de Materiales de Madrid (ICMM); Complutense University of Madrid; CSIC - Instituto de Ciencias Matematicas (ICMAT); Universidad Carlos III de Madrid; Autonomous University of Madrid; Autonomous University of Madrid; University of California System; University of California Los Angeles; University of Bristol; University Cheikh Anta Diop Dakar</t>
  </si>
  <si>
    <t>Mancho, AM (corresponding author), UCM, UC3M, UAM, CSIC,Inst Ciencias Matemat, C Nicolas Cabrera 15,Campus Cantoblanco UAM, Madrid 28049, Spain.</t>
  </si>
  <si>
    <t>a.m.mancho@icmat.es</t>
  </si>
  <si>
    <t>Curbelo, Jezabel/F-8394-2019; Garrido, Víctor José García/K-9045-2014; Curbelo, Jezabel/AAA-8806-2021; Garrido, Víctor José García/S-1396-2019; Mancho, Ana Maria/K-5194-2014</t>
  </si>
  <si>
    <t>Garrido, Víctor José García/0000-0003-0557-3193; Curbelo, Jezabel/0000-0002-7276-0127; Garrido, Víctor José García/0000-0003-0557-3193; Mancho, Ana Maria/0000-0002-8385-7098; Wiggins, Stephen/0000-0002-0780-0911</t>
  </si>
  <si>
    <t>MINECO [MTM2014-56392-R]; Fundacion Mujeres por Africa; ICMAT Severo Ochoa project [SEV-2011-0087]; CSIC [COOPB20265]; ONR [N00014-01-1-0769, N00014-16-1-2492]; U.S. NSF [AGS-1245069]; Directorate For Geosciences [1245069] Funding Source: National Science Foundation; Div Atmospheric &amp; Geospace Sciences [1245069] Funding Source: National Science Foundation</t>
  </si>
  <si>
    <t>MINECO(Spanish Government); Fundacion Mujeres por Africa; ICMAT Severo Ochoa project(Spanish Government); CSIC; ONR(Office of Naval Research); U.S. NSF(National Science Foundation (NSF)); Directorate For Geosciences(National Science Foundation (NSF)NSF - Directorate for Geosciences (GEO)); Div Atmospheric &amp; Geospace Sciences(National Science Foundation (NSF)NSF - Directorate for Geosciences (GEO))</t>
  </si>
  <si>
    <t>Jezabel Curbelo, Victor Jose Garcia-Garrido and Ana Maria Mancho are supported by MINECO grant MTM2014-56392-R. Coumba Niang acknowledges Fundacion Mujeres por Africa and ICMAT Severo Ochoa project SEV-2011-0087 for financial support. Ana Maria Mancho and Coumba Niang are supported by CSIC grant COOPB20265. The research of Stephen Wiggins is supported by ONR grant no. N00014-01-1-0769. Carlos Roberto Mechoso was supported by U.S. NSF grant AGS-1245069. We also acknowledge support from ONR grant no. N00014-16-1-2492. Thanks are owed to CESGA and ICMAT for computing facilities.</t>
  </si>
  <si>
    <t>10.5194/npg-24-379-2017</t>
  </si>
  <si>
    <t>FB6OQ</t>
  </si>
  <si>
    <t>WOS:000406262700001</t>
  </si>
  <si>
    <t>Ahn, DH; Shin, SC; Kim, BM; Kang, S; Kim, JH; Ahn, I; Park, J; Park, H</t>
  </si>
  <si>
    <t>Ahn, Do-Hwan; Shin, Seung Chul; Kim, Bo-Mi; Kang, Seunghyun; Kim, Jin-Hyoung; Ahn, Inhye; Park, Joonho; Park, Hyun</t>
  </si>
  <si>
    <t>Draft genome of the Antarctic dragonfish, Parachaenichthys charcoti</t>
  </si>
  <si>
    <t>FISH; EVOLUTION; NOTOTHENIOIDEI; IDENTIFICATION; HEMOGLOBIN; ANNOTATION; FAMILIES; TOOL</t>
  </si>
  <si>
    <t>Background The Antarctic bathydraconid dragonfish, Parachaenichthys charcoti, is an Antarctic notothenioid teleost endemic to the Southern Ocean. The Southern Ocean has cooled to -1.8C over the past 30 million years, and the seawater had retained cold temperature and isolated oceanic environment by Antarctic Circumpolar Current (ACC). Notothenioids dominate Antarctic fish, making up 90% biomass and all notothenioids have undergone molecular and ecological diversification to survive in this cold environment. Therefore, they are considered an attractive Antarctic fish model for evolutionary and ancestral genomic studies. Bathydraconidae is a speciose family of the Notothenioidei, the dominant taxonomic component of Antarctic teleosts. To understand the process of evolution of Antarctic fish, we select a typical Antarctic bathydraconid dragonfish, P. charcoti. Here, we have sequenced, de novo assembled and annotated a comprehensive genome from P. charcoti. Findings The draft genome of P. charcoti is 709 Mb in size. The N50 contig length is 6,145 bp and its N50 scaffold length 178,362 kb. The genome of P. charcoti is predicted to contain 32,712 genes, 18,455 of which have been assigned preliminary functions. A total of 8,951 orthologous groups common to seven species fish were identified, while 333 genes were identified in P. charcoti only; 2,519 orthologous group were also identified in both P. charcoti and N. coriiceps, another Antarctic fish. Four gene ontology (GO) terms were statistically overrepresented among the 333 genes unique to P. charcoti, according to GO enrichment analysis. Conclusions The draft P. charcoti genome will broaden our understanding of the evolution of Antarctic fish in their extreme environment. It will provide a basis for further investigating the unusual characteristics of Antarctic fishes.</t>
  </si>
  <si>
    <t>[Ahn, Do-Hwan; Shin, Seung Chul; Kim, Bo-Mi; Kang, Seunghyun; Kim, Jin-Hyoung; Ahn, Inhye; Park, Hyun] Korea Polar Res Inst, Unit Polar Genom, Incheon 21990, South Korea; [Ahn, Inhye; Park, Hyun] Univ Sci Technol, Polar Sci, Daejeon 34113, South Korea; [Park, Joonho] Seoul Natl Univ Sci &amp; Technol, Dept Fine Chem, Seoul 01811, South Korea</t>
  </si>
  <si>
    <t>Korea Polar Research Institute (KOPRI); University of Science &amp; Technology (UST); Seoul National University of Science &amp; Technology</t>
  </si>
  <si>
    <t>Park, H (corresponding author), Korea Polar Res Inst, Unit Polar Genom, Incheon 21990, South Korea.;Park, J (corresponding author), Seoul Natl Univ Sci &amp; Technol, Dept Fine Chem, Seoul 01811, South Korea.</t>
  </si>
  <si>
    <t>jhpark21@seoultech.ac.kr; hpark@kopri.re.kr</t>
  </si>
  <si>
    <t>Kim, Jin-Hyoung/C-6037-2009</t>
  </si>
  <si>
    <t>Park, Hyun/0000-0002-8055-2010; Kim, Jin-Hyoung/0000-0001-6746-7447</t>
  </si>
  <si>
    <t>entitled 'Polar Genomics 101 Project' - Korea Polar Research Institute [PE17080]</t>
  </si>
  <si>
    <t>entitled 'Polar Genomics 101 Project' - Korea Polar Research Institute(Korea Polar Research Institute of Marine Research Placement (KOPRI))</t>
  </si>
  <si>
    <t>This work was supported by a grant, entitled 'Polar Genomics 101 Project (PE17080)' funded by the Korea Polar Research Institute.</t>
  </si>
  <si>
    <t>JUL 24</t>
  </si>
  <si>
    <t>FD3YZ</t>
  </si>
  <si>
    <t>WOS:000407469600001</t>
  </si>
  <si>
    <t>Hughes, TJ</t>
  </si>
  <si>
    <t>Hughes, Terence J.</t>
  </si>
  <si>
    <t>Reply to Basal buoyancy and fast-moving glaciers: in defense of analytic force balance by C. J. van der Veen (2016)</t>
  </si>
  <si>
    <t>ANTARCTIC ICE-SHEET; THERMAL ZONES BENEATH; STREAM</t>
  </si>
  <si>
    <t>Two approaches to ice-sheet modeling are available. Analytical modeling is the traditional approach (Van der Veen, 2016). It solves the force (momentum), mass, and energy balances to obtain three-dimensional solutions over time, beginning with the Navier-Stokes equations for the force balance. Geometrical modeling employs simple geometry to solve the force and mass balance in one dimension along ice flow (Hughes, 2012a). It is useful primarily to provide the first-order physical basis of ice-sheet modeling for students with little background in mathematics. The geometric approach uses changes in ice-bed coupling along flow to calculate changes in ice elevation and thickness, using a floating fraction phi along a flow line or flow band, where phi = 0 for sheet flow, 0 &lt; phi &lt; 1 for stream flow, and phi = 1 for shelf flow. An attempt is made to reconcile the two approaches.</t>
  </si>
  <si>
    <t>[Hughes, Terence J.] Univ Maine, Climate Change Inst, 404 North Sixth St, Ft Pierre, SD 57532 USA; [Hughes, Terence J.] Univ Maine, Sch Earth &amp; Climate Sci, 404 North Sixth St, Ft Pierre, SD 57532 USA</t>
  </si>
  <si>
    <t>Hughes, TJ (corresponding author), Univ Maine, Climate Change Inst, 404 North Sixth St, Ft Pierre, SD 57532 USA.;Hughes, TJ (corresponding author), Univ Maine, Sch Earth &amp; Climate Sci, 404 North Sixth St, Ft Pierre, SD 57532 USA.</t>
  </si>
  <si>
    <t>terry.hughes@maine.edu</t>
  </si>
  <si>
    <t>JUL 21</t>
  </si>
  <si>
    <t>10.5194/tc-11-1685-2017</t>
  </si>
  <si>
    <t>FB4YE</t>
  </si>
  <si>
    <t>WOS:000406147200001</t>
  </si>
  <si>
    <t>Piepenburg, D; Buschmann, A; Driemel, A; Grobe, H; Gutt, J; Schumacher, S; Segelken-Voigt, A; Sieger, R</t>
  </si>
  <si>
    <t>Piepenburg, Dieter; Buschmann, Alexander; Driemel, Amelie; Grobe, Hannes; Gutt, Julian; Schumacher, Stefanie; Segelken-Voigt, Alexandra; Sieger, Rainer</t>
  </si>
  <si>
    <t>Seabed images from Southern Ocean shelf regions off the northern Antarctic Peninsula and in the southeastern Weddell Sea</t>
  </si>
  <si>
    <t>EARTH SYSTEM SCIENCE DATA</t>
  </si>
  <si>
    <t>POLARSTERN EXPEDITION PS81; ANT-XXIX/3</t>
  </si>
  <si>
    <t>Recent advances in underwater imaging technology allow for the gathering of invaluable scientific information on seafloor ecosystems, such as direct in situ views of seabed habitats and quantitative data on the composition, diversity, abundance, and distribution of epibenthic fauna. The imaging approach has been extensively used within the research project DynAMo (Dynamics of Antarctic Marine Shelf Ecosystems) at the Alfred Wegener Institute, Helmholtz Centre for Polar and Marine Research Bremerhaven (AWI), which aimed to comparatively assess the pace and quality of the dynamics of Southern Ocean benthos. Within this framework, epibenthic spatial distribution patterns have been comparatively investigated in two regions in the Atlantic sector of the Southern Ocean: the shelf areas off the northern tip of the Antarctic Peninsula, representing a region with above-average warming of surface waters and sea-ice reduction, and the shelves of the eastern Weddell Sea as an example of a stable high-Antarctic marine environment that is not (yet) affected by climate change. The AWI Ocean Floor Observation System (OFOS) was used to collect seabed imagery during two cruises of the German research vessel Polarstern, ANT-XXIX/3 (PS81) to the Antarctic Peninsula from January to March 2013 and ANT-XXXI/2 (PS96) to the Weddell Sea from December 2015 to February 2016. Here, we report on the image and data collections gathered during these cruises. During PS81, OFOS was successfully deployed at a total of 31 stations at water depths between 29 and 784 m. At most stations, series of 500 to 530 pictures (&gt; 15 000 in total, each depicting a seabed area of approximately 3.45 m(2) or 2.3 x 1.5 m) were taken along transects approximately 3.7 km in length. During PS96, OFOS was used at a total of 13 stations at water depths between 200 and 754 m, yielding series of 110 to 293 photos (2670 in total) along transects 0.9 to 2.6 km in length. All seabed images taken during the two cruises, including metadata, are available from the data publisher PANGAEA via the two persistent identifiers at https://doi.org/10.1594/PANGAEA.872719 (for PS81) and https://doi.org/10.1594/PANGAEA.862097 (for PS96).</t>
  </si>
  <si>
    <t>[Piepenburg, Dieter; Buschmann, Alexander; Driemel, Amelie; Grobe, Hannes; Gutt, Julian; Schumacher, Stefanie; Segelken-Voigt, Alexandra; Sieger, Rainer] Helmholtz Ctr Polar &amp; Marine Res Bremerhaven, Alfred Wegener Inst, Handelshafen 12, D-26570 Bremerhaven, Germany; [Piepenburg, Dieter] Univ Oldenburg HIFMB, Helmholtz Inst Funct Marine Biodivers, Carl von Ossietzky Str 9-11, D-26129 Oldenburg, Germany; [Segelken-Voigt, Alexandra] Carl von Ossietzky Univ Oldenburg, Ammerlander Heerstr 114-118, D-26129 Oldenburg, Germany</t>
  </si>
  <si>
    <t>Helmholtz Association; Alfred Wegener Institute, Helmholtz Centre for Polar &amp; Marine Research; Carl von Ossietzky Universitat Oldenburg</t>
  </si>
  <si>
    <t>Piepenburg, D (corresponding author), Helmholtz Ctr Polar &amp; Marine Res Bremerhaven, Alfred Wegener Inst, Handelshafen 12, D-26570 Bremerhaven, Germany.;Piepenburg, D (corresponding author), Univ Oldenburg HIFMB, Helmholtz Inst Funct Marine Biodivers, Carl von Ossietzky Str 9-11, D-26129 Oldenburg, Germany.</t>
  </si>
  <si>
    <t>dieter.piepenburg@awi.de</t>
  </si>
  <si>
    <t>Piepenburg, Dieter/H-3251-2019; Schumacher, Stefanie/R-6427-2017; Piepenburg, Dieter/GQP-9916-2022</t>
  </si>
  <si>
    <t>Piepenburg, Dieter/0000-0003-3977-2860; Grobe, Hannes/0000-0002-4133-2218; Sieger, Rainer/0000-0002-9175-884X; Schumacher, Stefanie/0000-0002-8310-9743; Driemel, Amelie/0000-0001-8667-5217; Segelken-Voigt, Alexandra/0000-0002-0825-4975</t>
  </si>
  <si>
    <t>[AWI_PS81_03]; [AWI_PS96_02]</t>
  </si>
  <si>
    <t>We would like to thank the HGF-MPG Joint Research Group for Deep-Sea Ecology and Technology at the Alfred Wegener Institute, Helmholtz Centre for Polar and Marine Research Bremerhaven, for providing access to OFOS during Polarstern cruises PS81 and PS96. The sampling of seabed images during the two cruises was supported by grants AWI_PS81_03 and AWI_PS96_02.</t>
  </si>
  <si>
    <t>1866-3508</t>
  </si>
  <si>
    <t>1866-3516</t>
  </si>
  <si>
    <t>EARTH SYST SCI DATA</t>
  </si>
  <si>
    <t>Earth Syst. Sci. Data</t>
  </si>
  <si>
    <t>10.5194/essd-9-461-2017</t>
  </si>
  <si>
    <t>FB3PY</t>
  </si>
  <si>
    <t>WOS:000406056000001</t>
  </si>
  <si>
    <t>Fonseca, VG; Sinniger, F; Gaspar, JM; Quince, C; Creer, S; Power, DM; Peck, LS; Clark, MS</t>
  </si>
  <si>
    <t>Fonseca, V. G.; Sinniger, F.; Gaspar, J. M.; Quince, C.; Creer, S.; Power, Deborah M.; Peck, Lloyd S.; Clark, Melody S.</t>
  </si>
  <si>
    <t>Revealing higher than expected meiofaunal diversity in Antarctic sediments: a metabarcoding approach</t>
  </si>
  <si>
    <t>FEEDING ECOLOGY; COMMUNITY; PATTERNS; SHELF; DNA; VULNERABILITY; MEIOBENTHOS; ORGANISMS; PENINSULA; KNOWLEDGE</t>
  </si>
  <si>
    <t>An increasing number of studies are showing that Antarctic mega- and macrofauna are highly diverse, however, little is known about meiofaunal biodiversity in sediment communities, which are a vital part of a healthy and functional ecosystem. This is the first study to analyse community DNA (targeting meiofauna) using metabarcoding to investigate biodiversity levels in sediment communities of the Antarctic Peninsula. The results show that almost all of the meiofaunal biodiversity in the benthic habitat has yet to be characterised, levels of biodiversity were higher than expected and similar to temperate regions, albeit with the existence of potentially new and locally adapted species never described before at the molecular level. The Rothera meiofaunal sample sites showed four dominant eukaryotic groups, the nematodes, arthropods, platyhelminthes, and the annelids; some of which could comprise species complexes. Comparisons with deep-sea data from the same region suggest little exchange of Operational Taxonomic Units (OTUs) between depths with the nematodes prevalent at all depths, but sharing the shallow water benthos with the copepods. This study provides a preliminary analysis of benthic Antarctic Peninsula meiofauna using high throughput sequencing which substantiates how little is known on the biodiversity of one of the most diverse, yet underexplored communities of the Antarctic: the benthos.</t>
  </si>
  <si>
    <t>[Fonseca, V. G.] Ctr Mol Biodivers Res, Zool Res Museum Alexander Koenig ZFMK, Bonn, Germany; [Sinniger, F.] Univ Ryukyus, Trop Biosphere Res Ctr, Sesoko Stn, 3422 Sesoko, Motobu, Okinawa 9050227, Japan; [Gaspar, J. M.] George Washington Univ, Computat Biol Inst, Ashburn, VA USA; [Quince, C.] Univ Warwick, Warwick Med Sch, Dept Microbiol &amp; Infect, Coventry CV4 7AL, W Midlands, England; [Creer, S.] Bangor Univ, Sch Biol Sci, Mol Ecol &amp; Fisheries Genet Lab, Bangor LL57 2UW, Gwynedd, Wales; [Power, Deborah M.] Univ Algarve, Ctr Ciencias Mar, Campus Gambelas, P-8005139 Faro, Portugal; [Peck, Lloyd S.; Clark, Melody S.] British Antarctic Survey, NERC, Madingley Rd, Cambridge CB3 0ET, England</t>
  </si>
  <si>
    <t>Zoologisches Forschungsmuseum Alexander Koenig (ZFMK); University of the Ryukyus; George Washington University; University of Warwick; Bangor University; Universidade do Algarve; UK Research &amp; Innovation (UKRI); Natural Environment Research Council (NERC); NERC British Antarctic Survey</t>
  </si>
  <si>
    <t>Fonseca, VG (corresponding author), Ctr Mol Biodivers Res, Zool Res Museum Alexander Koenig ZFMK, Bonn, Germany.;Clark, MS (corresponding author), British Antarctic Survey, NERC, Madingley Rd, Cambridge CB3 0ET, England.</t>
  </si>
  <si>
    <t>vfonseca@uni-bonn.de; mscl@bas.ac.uk</t>
  </si>
  <si>
    <t>Power, Deborah M/D-3333-2011; Clark, Melody/D-7371-2014; Fonseca, Vera/F-5566-2010</t>
  </si>
  <si>
    <t>Power, Deborah M/0000-0003-1366-0246; Sinniger, Frederic/0000-0002-4175-5931; Clark, Melody/0000-0002-3442-3824; Creer, Simon/0000-0003-3124-3550; Quince, Christopher/0000-0003-1884-8440; Fonseca, Vera/0000-0003-1021-7003</t>
  </si>
  <si>
    <t>NERC within the Polar Sciences for Planet Earth Programme; NERC Antarctic Funding Initiative Collaborative Gearing Scheme [57]; CCMAR from the Portuguese Science Foundation [FCT.UID/Multi/04326/2013]; Portuguese Foundation for Science and Technology (FCT) [SFRH/BPD/80447/2014]; European Community Marie Curie International Incoming Fellowship project MARMEDIV [253251]; MRC [G0900753, MR/L015080/1, MR/K002279/1] Funding Source: UKRI; NERC [NBAF010002, NE/E001505/1, NE/F001266/1, dml011000, bas0100036] Funding Source: UKRI; Medical Research Council [MR/L015080/1, MR/K002279/1, G0900753] Funding Source: researchfish; Natural Environment Research Council [NBAF010002, bas0100036, NE/F001266/1, NE/E001505/1, dml011000] Funding Source: researchfish</t>
  </si>
  <si>
    <t>NERC within the Polar Sciences for Planet Earth Programme; NERC Antarctic Funding Initiative Collaborative Gearing Scheme; CCMAR from the Portuguese Science Foundation; Portuguese Foundation for Science and Technology (FCT)(Fundacao para a Ciencia e a Tecnologia (FCT)); European Community Marie Curie International Incoming Fellowship project MARMEDIV; MRC(UK Research &amp; Innovation (UKRI)Medical Research Council UK (MRC)); NERC(UK Research &amp; Innovation (UKRI)Natural Environment Research Council (NERC)); Medical Research Council(UK Research &amp; Innovation (UKRI)Medical Research Council UK (MRC)); Natural Environment Research Council(UK Research &amp; Innovation (UKRI)Natural Environment Research Council (NERC))</t>
  </si>
  <si>
    <t>The authors would like to thank both Holly Bik and Adrian Glover for allowing us to use the data from their deep-sea Peninsula sediment sample in our analyses. We would also like to thank the Rothera Dive Team for help in collecting core samples, Susannah Pereira for meiofaunal decantation and molecular technical assistance and Laura Gerrish for producing the maps. The NERC National Facility for Scientific Diving (Oban) provided overall diving support. This paper was financed by NERC core funding to BAS within the Polar Sciences for Planet Earth Programme (MSC and LSP) and a NERC Antarctic Funding Initiative Collaborative Gearing Scheme to SC (No 57). VGF and DMP were supported by CCMAR core funding from the Portuguese Science Foundation (FCT.UID/Multi/04326/2013). VGF would like to thank the Portuguese Foundation for Science and Technology (FCT) for a post-doctoral grant (SFRH/BPD/80447/2014). FS was supported by the European Community FP7 Marie Curie International Incoming Fellowship project MARMEDIV (no. 253251).</t>
  </si>
  <si>
    <t>10.1038/s41598-017-06687-x</t>
  </si>
  <si>
    <t>FB6XM</t>
  </si>
  <si>
    <t>Green Published, Green Accepted, Green Submitted, gold</t>
  </si>
  <si>
    <t>WOS:000406285700002</t>
  </si>
  <si>
    <t>Baggenstos, D; Bauska, TK; Severinghaus, JP; Lee, JE; Schaefer, H; Buizert, C; Brook, EJ; Shackleton, S; Petrenko, VV</t>
  </si>
  <si>
    <t>Baggenstos, Daniel; Bauska, Thomas K.; Severinghaus, Jeffrey P.; Lee, James E.; Schaefer, Hinrich; Buizert, Christo; Brook, Edward J.; Shackleton, Sarah; Petrenko, Vasilii V.</t>
  </si>
  <si>
    <t>Atmospheric gas records from Taylor Glacier, Antarctica, reveal ancient ice with ages spanning the entire last glacial cycle</t>
  </si>
  <si>
    <t>CORE WD2014 CHRONOLOGY; ABRUPT CLIMATE-CHANGE; BLUE-ICE; GREENLAND ICE; WEST GREENLAND; MOUNT-MOULTON; RAPID CHANGES; O-2 RECORDS; ALLAN HILLS; DOME</t>
  </si>
  <si>
    <t>Old ice for paleo-environmental studies, traditionally accessed through deep core drilling on domes and ridges on the large ice sheets, can also be retrieved at the surface from ice sheet margins and blue ice areas. The practically unlimited amount of ice available at these sites satisfies a need in the community for studies of trace components requiring large sample volumes. For margin sites to be useful as ancient ice archives, the ice stratigraphy needs to be understood and age models need to be established. We present measurements of trapped gases in ice from Taylor Glacier, Antarctica, to date the ice and assess the completeness of the stratigraphic section. Using delta O-18 of O-2 and methane concentrations, we unambiguously identify ice from the last glacial cycle, covering every climate interval from the early Holocene to the penultimate interglacial. A high-resolution transect reveals the last deglaciation and the Last Glacial Maximum (LGM) in detail. We observe large-scale deformation in the form of folding, but individual stratigraphic layers do not appear to have undergone irregular thinning. Rather, it appears that the entire LGM-deglaciation sequence has been transported from the interior of the ice sheet to the surface of Taylor Glacier relatively undisturbed. We present an age model that builds the foundation for gas studies on Taylor Glacier. A comparison with the Taylor Dome ice core confirms that the section we studied on Taylor Glacier is better suited for paleo-climate reconstructions of the LGM due to higher accumulation rates.</t>
  </si>
  <si>
    <t>[Baggenstos, Daniel; Severinghaus, Jeffrey P.; Shackleton, Sarah] Univ Calif San Diego, Scripps Inst Oceanog, La Jolla, CA 92093 USA; [Bauska, Thomas K.; Lee, James E.; Buizert, Christo; Brook, Edward J.] Oregon State Univ, Coll Earth Ocean &amp; Atmospher Sci, Corvallis, OR 97331 USA; [Schaefer, Hinrich] Natl Inst Water &amp; Atmospher Res Ltd, POB 14901,301 Evans Bay Parade, Wellington, New Zealand; [Petrenko, Vasilii V.] Univ Rochester, Dept Earth &amp; Environm Sci, Rochester, NY 14627 USA; [Baggenstos, Daniel] Univ Bern, Climate &amp; Environm Phys, Bern, Switzerland</t>
  </si>
  <si>
    <t>University of California System; University of California San Diego; Scripps Institution of Oceanography; Oregon State University; National Institute of Water &amp; Atmospheric Research (NIWA) - New Zealand; University of Rochester; University of Bern</t>
  </si>
  <si>
    <t>Baggenstos, D (corresponding author), Univ Calif San Diego, Scripps Inst Oceanog, La Jolla, CA 92093 USA.;Baggenstos, D (corresponding author), Oregon State Univ, Coll Earth Ocean &amp; Atmospher Sci, Corvallis, OR 97331 USA.;Baggenstos, D (corresponding author), Univ Bern, Climate &amp; Environm Phys, Bern, Switzerland.</t>
  </si>
  <si>
    <t>baggenstos@climate.unibe.ch</t>
  </si>
  <si>
    <t>Baggenstos, Daniel/AAK-5751-2021; Brook, Edward/AAB-7807-2021</t>
  </si>
  <si>
    <t>Baggenstos, Daniel/0000-0001-9756-6884; Schaefer, Hinrich/0000-0002-1163-2818; Lee, James/0000-0002-9137-1530; Severinghaus, Jeffrey/0000-0001-8883-3119; Shackleton, Sarah/0000-0001-5927-1954; Petrenko, Vasilii/0000-0002-0263-8759; Bauska, Thomas/0000-0003-1901-0367</t>
  </si>
  <si>
    <t>SF Polar Award [0839031, 1246148, 1245821, 1245659]; Marsden Fund Council from New Zealand Government; Royal Society of New Zealand and NIWA under Climate and Atmosphere Research Programme [CAAC1504]; Office of Polar Programs (OPP); Directorate For Geosciences [1245821, 1246148, 1245659] Funding Source: National Science Foundation</t>
  </si>
  <si>
    <t>SF Polar Award; Marsden Fund Council from New Zealand Government(Royal Society of New ZealandMarsden Fund (NZ)); Royal Society of New Zealand and NIWA under Climate and Atmosphere Research Programme(Royal Society of New Zealand); Office of Polar Programs (OPP); Directorate For Geosciences(National Science Foundation (NSF)NSF - Directorate for Geosciences (GEO))</t>
  </si>
  <si>
    <t>We thank Kurt Cuffey for helpful discussions on glaciology and the logistics of living on Taylor Glacier. The US Antarctic Program provided outstanding logistical support. IDDO (Ice Drilling Design and Operations) provided the drilling systems. The Polar Geospatial Center (PGC) provided satellite imagery. We thank Kate Koons, Chandra Llewellyn, Paul Rose, Bija Sass, and Martha Story for keeping everybody safe, fed, and happy. Michael Dyonisius, Xavier Fain, Ben Hmiel, Tanner Kuhl, Robb Kulin, Logan Mitchell, Avery Palardy, and Adrian Schilt all helped with sampling in the field. We thank Ross Beaudette for laboratory assistance. Todd Sowers and an anonymous referee reviewed the manuscript and provided helpful feedback. This work is supported through NSF Polar Awards 0839031, 1246148, 1245821 and 1245659. Further support came from the Marsden Fund Council from New Zealand Government funding, administered by the Royal Society of New Zealand and NIWA under Climate and Atmosphere Research Programme CAAC1504 (HS).</t>
  </si>
  <si>
    <t>JUL 20</t>
  </si>
  <si>
    <t>10.5194/cp-13-943-2017</t>
  </si>
  <si>
    <t>FB0WP</t>
  </si>
  <si>
    <t>WOS:000405866000001</t>
  </si>
  <si>
    <t>[Anonymous]</t>
  </si>
  <si>
    <t>Antarctic split</t>
  </si>
  <si>
    <t>10.1038/547257a</t>
  </si>
  <si>
    <t>FB0OR</t>
  </si>
  <si>
    <t>WOS:000405844900001</t>
  </si>
  <si>
    <t>Turner, J; Comiso, J</t>
  </si>
  <si>
    <t>Turner, John; Comiso, Josefino</t>
  </si>
  <si>
    <t>Solve Antarctica's sea-ice puzzle</t>
  </si>
  <si>
    <t>TRENDS</t>
  </si>
  <si>
    <t>[Turner, John] British Antarctic Survey, Polar Climate &amp; Predict Grp, Cambridge, England; [Turner, John] Int Assoc Meteorol &amp; Atmospher Sci, Reading, Berks, England; [Comiso, Josefino] NASAs Goddard Space Flight Ctr, Greenbelt, MD 20771 USA</t>
  </si>
  <si>
    <t>UK Research &amp; Innovation (UKRI); Natural Environment Research Council (NERC); NERC British Antarctic Survey; National Aeronautics &amp; Space Administration (NASA); NASA Goddard Space Flight Center</t>
  </si>
  <si>
    <t>Comiso, J (corresponding author), NASAs Goddard Space Flight Ctr, Greenbelt, MD 20771 USA.</t>
  </si>
  <si>
    <t>jtu@bas.ac.uk</t>
  </si>
  <si>
    <t>NERC [bas0100032] Funding Source: UKRI; Natural Environment Research Council [bas0100032] Funding Source: researchfish; Directorate For Geosciences; Office of Polar Programs (OPP) [1440435] Funding Source: National Science Foundation</t>
  </si>
  <si>
    <t>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t>
  </si>
  <si>
    <t>10.1038/547275a</t>
  </si>
  <si>
    <t>WOS:000405844900012</t>
  </si>
  <si>
    <t>Dall'Osto, M; Ovadnevaite, J; Paglione, M; Beddows, DCS; Ceburnis, D; Cree, C; Cortés, P; Zamanillo, M; Nunes, SO; Pérez, GL; Ortega-Retuerta, E; Emelianov, M; Vaqué, D; Marrasé, C; Estrada, M; Sala, MM; Vidal, M; Fitzsimons, MF; Beale, R; Airs, R; Rinaldi, M; Decesari, S; Facchini, MC; Harrison, RM; O'Dowd, C; Simó, R</t>
  </si>
  <si>
    <t>Dall'Osto, Manuel; Ovadnevaite, Jurgita; Paglione, Marco; Beddows, David C. S.; Ceburnis, Darius; Cree, Charlotte; Cortes, Pau; Zamanillo, Marina; Nunes, Sdena O.; Perez, Gonzalo L.; Ortega-Retuerta, Eva; Emelianov, Mikhail; Vaque, Dolors; Marrase, Celia; Estrada, Marta; Sala, M. Montserrat; Vidal, Montserrat; Fitzsimons, Mark F.; Beale, Rachael; Airs, Ruth; Rinaldi, Matteo; Decesari, Stefano; Facchini, Maria Cristina; Harrison, Roy M.; O'Dowd, Colin; Simo, Rafel</t>
  </si>
  <si>
    <t>Antarctic sea ice region as a source of biogenic organic nitrogen in aerosols</t>
  </si>
  <si>
    <t>EXOPOLYMER PARTICLES; SIZE DISTRIBUTION; PO VALLEY; WATER; DIMETHYLSULFIDE; PLANKTON; SULFUR; TRENDS; URBAN; OCEAN</t>
  </si>
  <si>
    <t>Climate warming affects the development and distribution of sea ice, but at present the evidence of polar ecosystem feedbacks on climate through changes in the atmosphere is sparse. By means of synergistic atmospheric and oceanic measurements in the Southern Ocean near Antarctica, we present evidence that the microbiota of sea ice and sea ice-influenced ocean are a previously unknown significant source of atmospheric organic nitrogen, including low molecular weight alkyl-amines. Given the keystone role of nitrogen compounds in aerosol formation, growth and neutralization, our findings call for greater chemical and source diversity in the modelling efforts linking the marine ecosystem to aerosol-mediated climate effects in the Southern Ocean.</t>
  </si>
  <si>
    <t>[Dall'Osto, Manuel; Cortes, Pau; Zamanillo, Marina; Nunes, Sdena O.; Ortega-Retuerta, Eva; Emelianov, Mikhail; Vaque, Dolors; Marrase, Celia; Estrada, Marta; Sala, M. Montserrat; Simo, Rafel] CSIC, Inst Ciencies Mar, Pg Maritim Barceloneta 37-49, E-08003 Barcelona, Catalonia, Spain; [Ovadnevaite, Jurgita; Ceburnis, Darius; O'Dowd, Colin] Natl Univ Ireland Galway, Sch Phys, Univ Rd, Galway, Ireland; [Ovadnevaite, Jurgita; Ceburnis, Darius; O'Dowd, Colin] Natl Univ Ireland Galway, Ryan Inst, Ctr Climate &amp; Air Pollut Studies, Univ Rd, Galway, Ireland; [Paglione, Marco; Rinaldi, Matteo; Decesari, Stefano; Facchini, Maria Cristina] CNR, Inst Atmospher Sci &amp; Climate, I-40129 Bologna, Italy; [Beddows, David C. S.; Harrison, Roy M.] Univ Birmingham, Sch Geog Earth &amp; Environm Sci, Natl Ctr Atmospher Sci, Birmingham B15 2TT, W Midlands, England; [Cree, Charlotte; Fitzsimons, Mark F.] Univ Plymouth, Biogeochem Res Ctr, Plymouth PL4 8AA, Devon, England; [Perez, Gonzalo L.] Consejo Nacl Invest Cient &amp; Tecn, CRUB Comahue, Inst INIBIOMA, Quintral 1250, RA-8400 San Carlos De Bariloche, Rio Negro, Argentina; [Vidal, Montserrat] Univ Barcelona, Dept Evolutionary Biol Ecol &amp; Environm Sci, Ave Diagonal 643, E-08028 Barcelona, Catalonia, Spain; [Beale, Rachael; Airs, Ruth] Plymouth Marine Lab, Prospect Pl, Plymouth PL1 3DH, Devon, England; [Harrison, Roy M.] King Abdulaziz Univ, Ctr Excellence Environm Studies, Dept Environm Sci, POB 80203, Jeddah 21589, Saudi Arabia</t>
  </si>
  <si>
    <t>Consejo Superior de Investigaciones Cientificas (CSIC); CSIC - Centro Mediterraneo de Investigaciones Marinas y Ambientales (CMIMA); CSIC - Instituto de Ciencias del Mar (ICM); Ollscoil na Gaillimhe-University of Galway; Ollscoil na Gaillimhe-University of Galway; Consiglio Nazionale delle Ricerche (CNR); Istituto di Scienze dell'Atmosfera e del Clima (ISAC-CNR); University of Birmingham; UK Research &amp; Innovation (UKRI); Natural Environment Research Council (NERC); NERC National Centre for Atmospheric Science; University of Plymouth; Consejo Nacional de Investigaciones Cientificas y Tecnicas (CONICET); University of Barcelona; Plymouth Marine Laboratory; King Abdulaziz University</t>
  </si>
  <si>
    <t>Dall'Osto, M (corresponding author), CSIC, Inst Ciencies Mar, Pg Maritim Barceloneta 37-49, E-08003 Barcelona, Catalonia, Spain.</t>
  </si>
  <si>
    <t>dallosto@icm.csic.es</t>
  </si>
  <si>
    <t>SALA, Maria Montserrat/O-4726-2014; FACCHINI, MARIA CRISTINA/O-1230-2015; Vidal, Montserrat/L-6051-2014; O'Dowd, Colin D/K-8904-2012; Beddows, David/ABA-7223-2021; Harrison, Roy Michael/A-2256-2008; , Maria Montserrat/AAW-7487-2021; Facchini, Maria Cristina/B-3369-2014; Airs, Ruth L/F-2183-2010; Facchini, Maria Cristina/AAA-1592-2019; Emelianov, Mikhail/M-1400-2014; Paglione, Marco/J-9760-2012; Ceburnis, Darius/C-1293-2012; dallosto, manuel/G-3584-2016; rinaldi, matteo/K-6083-2012; Fitzsimons, Mark/J-6854-2015; Ovadnevaite, Jurgita/B-6203-2018; Ortega-Retuerta, Eva/I-2432-2015; Marrase, Celia/I-1166-2015; Vaque, Dolors/H-6973-2018</t>
  </si>
  <si>
    <t>SALA, Maria Montserrat/0000-0002-3804-5680; O'Dowd, Colin D/0000-0002-3068-2212; Beddows, David/0000-0001-9277-2099; Facchini, Maria Cristina/0000-0003-4833-9305; Facchini, Maria Cristina/0000-0003-4833-9305; Emelianov, Mikhail/0000-0002-1459-2911; Paglione, Marco/0000-0002-4423-2570; Ceburnis, Darius/0000-0003-0231-5324; Simo, Rafel/0000-0003-3276-7663; Cree, Charlotte/0000-0003-0930-3959; Airs, Ruth/0000-0003-0861-742X; Harrison, Roy/0000-0002-2684-5226; dallosto, manuel/0000-0003-4203-894X; rinaldi, matteo/0000-0001-6543-4000; Fitzsimons, Mark/0000-0002-6443-6087; Ovadnevaite, Jurgita/0000-0001-7201-0118; Zamanillo, Marina/0000-0002-0753-4748; Ortega-Retuerta, Eva/0000-0003-0780-8347; Marrase, Celia/0000-0002-5097-4829; Vaque, Dolors/0000-0002-0420-5914</t>
  </si>
  <si>
    <t>Spanish Ministry of Economy through project PEGASO [CTM2012-37615]; Spanish Ministry of Economy through project Bio-Nuc [CGL2013-49020-R]; EU though the FP7-PEOPLE-IOF programme [624680]; European Union's Seventh Framework Programme (FP7) project BACCHUS [603445]; CNR (Italy) under AirSEaLab: Progetto Laboratori Congiunti; UK Natural Environment Research Council; Marine Institute, University of Plymouth; NERC [ncas10006, ncas10008, NE/P008526/1, NE/P012930/1, NE/M003361/1, ncas10005, NE/P021409/1] Funding Source: UKRI; Natural Environment Research Council [ncas10005, NE/P012930/1, NE/M003361/1, ncas10006, NE/P008526/1, ncas10009, ncas10008, NE/P021409/1] Funding Source: researchfish</t>
  </si>
  <si>
    <t>Spanish Ministry of Economy through project PEGASO; Spanish Ministry of Economy through project Bio-Nuc; EU though the FP7-PEOPLE-IOF programme; European Union's Seventh Framework Programme (FP7) project BACCHUS(European Union (EU)); CNR (Italy) under AirSEaLab: Progetto Laboratori Congiunti; UK Natural Environment Research Council(UK Research &amp; Innovation (UKRI)Natural Environment Research Council (NERC)); Marine Institute, University of Plymouth; NERC(UK Research &amp; Innovation (UKRI)Natural Environment Research Council (NERC)); Natural Environment Research Council(UK Research &amp; Innovation (UKRI)Natural Environment Research Council (NERC))</t>
  </si>
  <si>
    <t>The cruise was funded by the Spanish Ministry of Economy through projects PEGASO (CTM2012-37615) and Bio-Nuc (CGL2013-49020-R), and by the EU though the FP7-PEOPLE-2013-IOF programme (Project number 624680, MANU - Marine Aerosol NUcleations). We wish to thank the Spanish Armada, and particularly the captains and crew of the BIO A-33 Hesperides, for their invaluable collaboration. We are also indebted to the UTM, and especially Miki Ojeda, for logistic and technical support. The Spanish Antarctic Programme and Polar Committee provided context and advice. We thank Marti Gali for providing daily satellite imagery, Pablo Rodriguez-Ros and Sarah-Jeanne Royer for help with analyses, and Encarna Borrull and Carolina Antequera for sampling assistance. Marina Serrano Cueva and Maximino Delgado helped with viral and phytoplankton counts, respectively. We would like to thank Dr. K. Sellegri (LaMP/CNRS, France) for lending a small sea spray tank for lab studies. The NUI Galway and ISAC-CNR Bologna groups acknowledge funding from the European Union's Seventh Framework Programme (FP7/2007-2013) project BACCHUS under grant agreement no 603445. The work was further supported by the CNR (Italy) under AirSEaLab: Progetto Laboratori Congiunti. The National Centre for Atmospheric Science NCAS Birmingham group is funded by the UK Natural Environment Research Council. Thanks to the British Atmospheric Data Centre, which is part of the NERC National Centre for Atmospheric Science (NCAS), for the calculation of trajectories and access to ECMWF data. CC, MFF and RA acknowledge funding from the Marine Institute, University of Plymouth to enable participation in PEGASO.</t>
  </si>
  <si>
    <t>10.1038/s41598-017-06188-x</t>
  </si>
  <si>
    <t>FB1MN</t>
  </si>
  <si>
    <t>WOS:000405907800101</t>
  </si>
  <si>
    <t>Mastromonaco, MGN; Gårdfeldt, K; Assmann, KM; Langer, S; Delali, T; Shlyapnikov, YM; Zivkovic, I; Horvat, M</t>
  </si>
  <si>
    <t>Mastromonaco, Michelle G. Nerentorp; Gardfeldt, Katarina; Assmann, Karen M.; Langer, Sarka; Delali, Tulasi; Shlyapnikov, Yaroslav M.; Zivkovic, Igor; Horvat, Milena</t>
  </si>
  <si>
    <t>Speciation of mercury in the waters of the Weddell, Amundsen and Ross Seas (Southern Ocean)</t>
  </si>
  <si>
    <t>Dissolved gaseous mercury; Methylmercury; Total mercury; Antarctic water columns</t>
  </si>
  <si>
    <t>DISSOLVED GASEOUS MERCURY; ATMOSPHERIC MERCURY; ELEMENTAL MERCURY; DEPLETION; ICE; DIMETHYLMERCURY; DERIVATIZATION; METHYLMERCURY; METHYLATION; DEPOSITION</t>
  </si>
  <si>
    <t>Despite the distance from large anthropogenic emission sources, toxic mercury is transported via the atmosphere and oceans to the Southern Ocean. Seawater samples were collected at selected stations and were analysed for total mercury (HgT) (8 stations), dissolved gaseous mercury (DGM) (62 stations) and methylmercury (12 stations) during winter (Weddell Sea), spring (Weddell Sea) and summer (Amundsen and Ross Seas) in the Southern Ocean. The HgT distribution in water columns was found to not vary significantly with depth. In the Weddell Sea the average column concentration was higher in spring (2.6 +/- 1.3 pM, 2 stations) than in winter (2.0 +/- 1.0 pM, 6 stations). We hypothesize that the seasonal HgT increase is due to atmospheric deposition of particulate Hg(II) formed during atmospheric mercury depletion events (AMDEs), as well as the addition of inorganic mercury species from melting sea ice and snow. Furthermore, HgT concentrations found in this study were significantly higher than previously measured in the Southern Ocean (Cossa et al., 2011), which was hypothesized to be due to seasonal variations in atmospheric deposition. The average water column DGM concentration in the Weddell Sea was 454 +/- 254 fM in winter and 384 +/- 239 fM in spring. The lowest average DGM concentration was found in summer in the Amundsen and Ross Seas (299 +/- 137 fM). The highest observed concentration in winter was hypothesized to be caused by the larger sea ice coverage, which is known to reduce the evasion of Hg(0) from the sea surface. The average monomethylmercury (MMHg) concentration in the Weddell Sea was 60 +/- 30 fM in winter (6 stations) and 95 +/- 85 fM in spring (2 stations), showing no significant seasonal difference. In the Amundsen and Ross Seas the summer average concentration of MeHg (MMHg and dimethylmercury; DMHg) was 135 +/- 189 fM (4 stations). The highest MeHg concentration was found in modified circumpolar deep water, which is known to have high primary production. 2017 Elsevier B.V. All rights reserved.</t>
  </si>
  <si>
    <t>[Mastromonaco, Michelle G. Nerentorp; Gardfeldt, Katarina] Chalmers Univ Technol, Dept Chem &amp; Chem Engn, SE-41296 Gothenburg, Sweden; [Assmann, Karen M.] Univ Gothenburg, Dept Marine Sci, Gothenburg, Sweden; [Langer, Sarka] IVL Swedish Environm Res Inst, POB 53021, SE-40014 Gothenburg, Sweden; [Delali, Tulasi; Shlyapnikov, Yaroslav M.; Zivkovic, Igor; Horvat, Milena] Jozef Stefan Inst, Dept Environm Sci, Jamova 39, Ljubljana 1000, Slovenia</t>
  </si>
  <si>
    <t>Chalmers University of Technology; University of Gothenburg; IVL Swedish Environmental Research Institute; Slovenian Academy of Sciences &amp; Arts (SASA); Jozef Stefan Institute</t>
  </si>
  <si>
    <t>Mastromonaco, MGN (corresponding author), Chalmers Univ Technol, Dept Chem &amp; Chem Engn, SE-41296 Gothenburg, Sweden.</t>
  </si>
  <si>
    <t>michelle.nerentorp@chalmers.se; katarina.gardfeldt@chalmers.se</t>
  </si>
  <si>
    <t>Živković, Igor/L-3763-2016; Gårdfeldt, Katarina/AAF-9952-2019; Langer, Sarka/A-4076-2011</t>
  </si>
  <si>
    <t>Živković, Igor/0000-0003-1774-1203; Gardfeldt, Katarina/0000-0002-5161-9597; Langer, Sarka/0000-0002-6580-8911</t>
  </si>
  <si>
    <t>European Union's Seventh Programme for Research: GMOS (Global Mercury Observation System) Project; GMOS project [265113]; Swedish Polar Research Secretariat [2016-58]; CNRS-INSU through LEFE; CNRS-INSU through IPEV</t>
  </si>
  <si>
    <t>European Union's Seventh Programme for Research: GMOS (Global Mercury Observation System) Project; GMOS project; Swedish Polar Research Secretariat; CNRS-INSU through LEFE; CNRS-INSU through IPEV</t>
  </si>
  <si>
    <t>This study was performed within the European Union's Seventh Programme for Research: GMOS (Global Mercury Observation System) Project. Funding was provided by the GMOS project (grant number 265113), the Swedish Polar Research Secretariat (Grant number 2016-58) (Svenska Polarforskningssekritariatet) and CNRS-INSU through the program LEFE, and IPEV. We thank the Alfred Wegner Institute for Polar and Marine Research, the Swedish Polar Research Secretariat and the crews aboard R/V Polarstern and IB Oden who made our participation in the cruises possible.</t>
  </si>
  <si>
    <t>10.1016/j.marchem.2017.03.001</t>
  </si>
  <si>
    <t>EY3GM</t>
  </si>
  <si>
    <t>WOS:000403859600004</t>
  </si>
  <si>
    <t>Mastromonaco, MGN; Gårdfeldt, K; Langer, S</t>
  </si>
  <si>
    <t>Mastromonaco, Michelle G. Nerentorp; Gardfeldt, Katarina; Langer, Sarka</t>
  </si>
  <si>
    <t>Mercury flux over West Antarctic Seas during winter, spring and summer</t>
  </si>
  <si>
    <t>Dissolved gaseous mercury; Mercury flux; Degree of saturation; Seasonal variation</t>
  </si>
  <si>
    <t>DISSOLVED GASEOUS MERCURY; ELEMENTAL MERCURY; ATMOSPHERIC MERCURY; SURFACE WATERS; EXCHANGE; COASTAL; DEPLETION; OCEAN; SEAWATER; VARIABILITY</t>
  </si>
  <si>
    <t>For the first time elemental mercury in air and surface seawater was measured continuously in the remote seas of western Antarctica. A major contributor to atmospheric emissions of the toxic and globally dispersed pollutant mercury is the re-evasion from water surfaces, due to a supersaturation of dissolved gaseous mercury (DGM) in surface water. In this study the degree of saturation and mercury flux at the air-sea surface interface have been estimated from continuous measurements of gaseous elemental mercury (GEM) or total gaseous mercury (TGM) in air, DGM in surface water and meteorological parameters. The measurements were performed during winter and spring (2013) in the Weddell Sea and during summer (2010/2011) in the Bellingshausen, Amundsen and Ross Seas, and show spatial and seasonal variations. The average DGM concentration in surface water in open sea was highest during spring (12 +/- 7pg L-1) and lowest during summer (7 +/- 6.8 pg L-1), resulting in a net evasion of mercury during spring (1.1 +/- 1.6 ng m(-2)h(-1)) and a net deposition during summer (-0.2 +/- 1.3 ng m(-2)h(-1)). In open sea, higher average concentrations of GEM (or TGM) and DGM were found close to the Drake Passage compared to in the Bellingshausen and Weddell Seas. Emission sources from the South American continent, identified with back trajectories, were suggested to explain the observed variations. The yearly mercury evasion from open sea surfaces in the Southern Ocean was estimated to 30 ( -450-1700) tons, using the average (and min and max) flux rates obtained in this study. Higher DGM was measured under sea ice (19-62 pg L-1 compared to in open sea due to a capsuling effect, resulting in a theoretical prevented evasion of 520 (0-3400) tons per year. Diminishing sea ice and higher water temperatures in polar regions could result in increased mercury evasion to the atmosphere. However, the contribution of the Southern Ocean to the global modeled annual emissions of mercury from sea surfaces would probably only be a few percent. (C) 2016 Elsevier B.V. All rights reserved.</t>
  </si>
  <si>
    <t>[Mastromonaco, Michelle G. Nerentorp; Gardfeldt, Katarina] Chalmers Univ Technol, Dept Chem &amp; Chem Engn, SE-41296 Gothenburg, Sweden; [Langer, Sarka] IVL Swedish Environm Res Inst, POB 53021, SE-40014 Gothenburg, Sweden</t>
  </si>
  <si>
    <t>Chalmers University of Technology; IVL Swedish Environmental Research Institute</t>
  </si>
  <si>
    <t>Gårdfeldt, Katarina/AAF-9952-2019; Langer, Sarka/A-4076-2011</t>
  </si>
  <si>
    <t>Gardfeldt, Katarina/0000-0002-5161-9597; Langer, Sarka/0000-0002-6580-8911</t>
  </si>
  <si>
    <t>GMOS (Global Mercury Observation System, European Union's Seventh Programme for Research) [265113]; Swedish Polar Research Secretariat [2016-58]</t>
  </si>
  <si>
    <t>GMOS (Global Mercury Observation System, European Union's Seventh Programme for Research); Swedish Polar Research Secretariat</t>
  </si>
  <si>
    <t>We thank the Swedish Polar Research Secretariat and Alfred Wegner Institute for Polar and Marine Research and the crews aboard IB Oden and R/V Polarstern. We are grateful towards Aurelien Dommergue and Hans-Werner Jacobi at Laboratoire de Glaciologie et Geophysique (LGGE) for making the participation onboard RN Polarstern possible and for kindly providing the mercury analyzer used for the DGM measurements. We also thank Nicola Pirrone and Francesca Sprovieri at CNR for kindly providing the mercury speciation unit for GEM measurements. We gratefully acknowledge financial and logistical support by GMOS (265113) (Global Mercury Observation System, European Union's Seventh Programme for Research) and the Swedish Polar Research Secretariat (2016-58).</t>
  </si>
  <si>
    <t>10.1016/j.marchem.2016.08.005</t>
  </si>
  <si>
    <t>WOS:000403859600006</t>
  </si>
  <si>
    <t>Adriaenssens, EM; Kramer, R; Van Goethem, MW; Makhalanyane, TP; Hogg, I; Cowan, DA</t>
  </si>
  <si>
    <t>Adriaenssens, Evelien M.; Kramer, Rolf; Van Goethem, Marc W.; Makhalanyane, Thulani P.; Hogg, Ian; Cowan, Don A.</t>
  </si>
  <si>
    <t>Environmental drivers of viral community composition in Antarctic soils identified by viromics</t>
  </si>
  <si>
    <t>MICROBIOME</t>
  </si>
  <si>
    <t>Viromics; Soil; Antarctica; Viral diversity; Viral community structure</t>
  </si>
  <si>
    <t>DRY VALLEY; BACTERIAL DIVERSITY; ORGANIC RESOURCES; MARINE VIRUSES; WEB SERVER; AMPLIFICATION; ECOLOGY; PHAGES; BIODIVERSITY; LYSOGENY</t>
  </si>
  <si>
    <t>Background: The Antarctic continent is considered the coldest and driest place on earth with simple ecosystems, devoid of higher plants. Soils in the ice-free regions of Antarctica are known to harbor a wide range of microorganisms from primary producers to grazers, yet their ecology and particularly the role of viruses is poorly understood. In this study, we examined the virus community structures of 14 soil samples from the Mackay Glacier region. Methods: Viral communities were extracted from soil and the dsDNA was extracted, amplified using single-primer amplification, and sequenced using the Ion Torrent Proton platform. Metadata on soil physico-chemistry was collected from all sites. Both read and contig datasets were analyzed with reference-independent and reference-dependent methods to assess viral community structures and the influence of environmental parameters on their distribution. Results: We observed a high heterogeneity in virus signatures, independent of geographical proximity. Tailed bacteriophages were dominant in all samples, but the incidences of the affiliated families Siphoviridae and Myoviridae were inversely correlated, suggesting direct competition for hosts. Viruses of the families Phycodnaviridae and Mimiviridae were present at significant levels in high-diversity soil samples and were found to co-occur, implying little competition between them. Combinations of soil factors, including pH, calcium content, and site altitude, were found to be the main drivers of viral community structure. Conclusions: The pattern of viral community structure with higher levels of diversity at lower altitude and pH, and co-occurring viral families, suggests that these cold desert soil viruses interact with each other, the host, and the environment in an intricate manner, playing a potentially crucial role in maintaining host diversity and functioning of the microbial ecosystem in the extreme environments of Antarctic soil.</t>
  </si>
  <si>
    <t>[Adriaenssens, Evelien M.; Kramer, Rolf; Van Goethem, Marc W.; Makhalanyane, Thulani P.; Cowan, Don A.] Univ Pretoria, Ctr Microbial Ecol &amp; Genom, Nat Sci Bldg 2,Private Bag X20, ZA-0028 Hatfield, South Africa; [Hogg, Ian] Univ Waikato, Sch Sci, Hamilton, New Zealand; [Adriaenssens, Evelien M.] Univ Liverpool, Inst Integrat Biol, Crown St, Liverpool L69 7ZB, Merseyside, England; [Hogg, Ian] Polar Knowledge Canada, 170 Laurier Ave West, Ottawa, ON K1P 5V5, Canada</t>
  </si>
  <si>
    <t>University of Pretoria; University of Waikato; University of Liverpool</t>
  </si>
  <si>
    <t>Adriaenssens, EM; Cowan, DA (corresponding author), Univ Pretoria, Ctr Microbial Ecol &amp; Genom, Nat Sci Bldg 2,Private Bag X20, ZA-0028 Hatfield, South Africa.;Adriaenssens, EM (corresponding author), Univ Liverpool, Inst Integrat Biol, Crown St, Liverpool L69 7ZB, Merseyside, England.</t>
  </si>
  <si>
    <t>Evelien.adriaenssens@gmail.com; don.cowan@up.ac.za</t>
  </si>
  <si>
    <t>Adriaenssens, Evelien/E-8004-2013; Van Goethem, Marc Warwick/HNC-2411-2023; Hogg, Ian D./HNS-7393-2023; Cowan, Donald A/E-3991-2012; Van Goethem, Marc/AAV-3022-2020; Van Goethem, Marc/IZE-2222-2023; Makhalanyane, Thulani P./C-6815-2012</t>
  </si>
  <si>
    <t>Adriaenssens, Evelien/0000-0003-4826-5406; Van Goethem, Marc Warwick/0000-0001-8688-3323; Hogg, Ian D./0000-0002-6685-0089; Cowan, Donald A/0000-0001-8059-861X; Makhalanyane, Thulani P./0000-0002-8173-1678; Kramer, Rolf/0000-0002-6095-4338</t>
  </si>
  <si>
    <t>NRF SANAP program (South Africa); AntarcticaNZ program (New Zealand); NZARI program (New Zealand); Claude Leon Foundation</t>
  </si>
  <si>
    <t>This study was funded by the NRF SANAP program (South Africa) and the AntarcticaNZ and NZARI programs (New Zealand). EMA was funded by a Claude Leon Foundation Postdoctoral Fellowship. The funding bodies had no input in the design of the study, analysis and interpretation of the data.</t>
  </si>
  <si>
    <t>2049-2618</t>
  </si>
  <si>
    <t>Microbiome</t>
  </si>
  <si>
    <t>JUL 19</t>
  </si>
  <si>
    <t>10.1186/s40168-017-0301-7</t>
  </si>
  <si>
    <t>FB1IX</t>
  </si>
  <si>
    <t>WOS:000405898200002</t>
  </si>
  <si>
    <t>Marsal, S; Curto, JJ; Torta, JM; Gonsette, A; Favà, V; Rasson, J; Ibañez, M; Cid, O</t>
  </si>
  <si>
    <t>Marsal, Santiago; Jose Curto, Juan; Miquel Torta, Joan; Gonsette, Alexandre; Fava, Vicent; Rasson, Jean; Ibanez, Miquel; Cid, Oscar</t>
  </si>
  <si>
    <t>An automatic DI-flux at the Livingston Island geomagnetic observatory, Antarcteica: requirements and lessons learned</t>
  </si>
  <si>
    <t>GEOSCIENTIFIC INSTRUMENTATION METHODS AND DATA SYSTEMS</t>
  </si>
  <si>
    <t>The DI-flux, consisting of a fluxgate magnetometer coupled with a theodolite, is used for the absolute manual measurement of the magnetic field angles in most groundbased observatories worldwide. Commercial solutions for an automated DI-flux have recently been developed by the Royal Meteorological Institute of Belgium (RMI), and are practically restricted to the AutoDIF and its variant, the GyroDIF. In this article, we analyze the pros and cons of both instruments in terms of its suitability for installation at the partially manned geomagnetic observatory of Livingston Island (LIV), Antarctica. We conclude that the GyroDIF, even if it is less accurate and more power demanding, is more suitable than the AutoDIF for harsh conditions due to the simpler infrastructure that is necessary. Power constraints in the Spanish Antarctic Station Juan Carlos I (ASJI) during the unmanned season require an energy-efficient design of the thermally regulated box housing the instrument as well as thorough power management. Our experiences can benefit the geomagnetic community, which often faces similar challenges.</t>
  </si>
  <si>
    <t>[Marsal, Santiago; Jose Curto, Juan; Miquel Torta, Joan; Ibanez, Miquel; Cid, Oscar] Univ Ramon Llull, CSIC, OE, Roquetes 43520, Spain; [Gonsette, Alexandre; Rasson, Jean] Ctr Phys Globe, IRM, B-5670 Viroinval, Dourbes, Belgium; [Fava, Vicent] Inst Ebre, Tortosa 43500, Spain</t>
  </si>
  <si>
    <t>Universitat Ramon Llull; Consejo Superior de Investigaciones Cientificas (CSIC)</t>
  </si>
  <si>
    <t>Marsal, S (corresponding author), Univ Ramon Llull, CSIC, OE, Roquetes 43520, Spain.</t>
  </si>
  <si>
    <t>smarsal@obsebre.es</t>
  </si>
  <si>
    <t>Cid, Oscar/ABF-5568-2020; Rasson, Jean/AAV-2118-2020; Torta, Joan Miquel/C-7614-2014; Marsal, Santiago/K-4415-2014</t>
  </si>
  <si>
    <t>Cid, Oscar/0000-0002-5101-0626; Torta, Joan Miquel/0000-0002-4340-7308; Marsal, Santiago/0000-0001-8675-7781</t>
  </si>
  <si>
    <t>Spanish Ministerio de Economia y Competitividad [CTM2014-52182-C3-1-P]; Universitat Ramon Llull [2016-URL-Trac-001]; Universitat Ramon Llull - Obra Social la Caixa [2016-URL-IR2Q-029]</t>
  </si>
  <si>
    <t>Spanish Ministerio de Economia y Competitividad(Spanish Government); Universitat Ramon Llull; Universitat Ramon Llull - Obra Social la Caixa</t>
  </si>
  <si>
    <t>The presented results are part of the project CTM2014-52182-C3-1-P funded by the Spanish Ministerio de Economia y Competitividad. We are also grateful to the project 2016-URL-Trac-001 of the Universitat Ramon Llull. SM acknowledges the support of Universitat Ramon Llull through project 2016-URL-IR2Q-029 funded by Obra Social la Caixa.</t>
  </si>
  <si>
    <t>2193-0856</t>
  </si>
  <si>
    <t>2193-0864</t>
  </si>
  <si>
    <t>GEOSCI INSTRUM METH</t>
  </si>
  <si>
    <t>Geosci. Instrum. Methods Data Syst.</t>
  </si>
  <si>
    <t>JUL 18</t>
  </si>
  <si>
    <t>10.5194/gi-6-269-2017</t>
  </si>
  <si>
    <t>FA9PQ</t>
  </si>
  <si>
    <t>WOS:000405778500001</t>
  </si>
  <si>
    <t>Hansen, J; Sato, M; Kharecha, P; von Schuckmann, K; Beerling, DJ; Cao, JJ; Marcott, S; Masson-Delmotte, V; Prather, MJ; Rohling, EJ; Shakun, J; Smith, P; Lacis, A; Russell, G; Ruedy, R</t>
  </si>
  <si>
    <t>Hansen, James; Sato, Makiko; Kharecha, Pushker; von Schuckmann, Karina; Beerling, David J.; Cao, Junji; Marcott, Shaun; Masson-Delmotte, Valerie; Prather, Michael J.; Rohling, Eelco J.; Shakun, Jeremy; Smith, Pete; Lacis, Andrew; Russell, Gary; Ruedy, Reto</t>
  </si>
  <si>
    <t>Young people's burden: requirement of negative CO2 emissions</t>
  </si>
  <si>
    <t>EARTH SYSTEM DYNAMICS</t>
  </si>
  <si>
    <t>SEA-LEVEL VARIABILITY; ANTARCTIC ICE-SHEET; CLIMATE-CHANGE; METHANE EMISSIONS; SURFACE-TEMPERATURE; NITROUS-OXIDE; FOSSIL-FUEL; ISOTOPIC COMPOSITION; CARBON-DIOXIDE; OZONE-LAYER</t>
  </si>
  <si>
    <t>Global temperature is a fundamental climate metric highly correlated with sea level, which implies that keeping shorelines near their present location requires keeping global temperature within or close to its preindustrial Holocene range. However, global temperature excluding short-term variability now exceeds +1(circle)C relative to the 1880-1920 mean and annual 2016 global temperature was almost +1.3(circle)C. We show that global temperature has risen well out of the Holocene range and Earth is now as warm as it was during the prior (Eemian) interglacial period, when sea level reached 6-9m higher than today. Further, Earth is out of energy balance with present atmospheric composition, implying that more warming is in the pipeline, and we show that the growth rate of greenhouse gas climate forcing has accelerated markedly in the past decade. The rapidity of ice sheet and sea level response to global temperature is difficult to predict, but is dependent on the magnitude of warming. Targets for limiting global warming thus, at minimum, should aim to avoid leaving global temperature at Eemian or higher levels for centuries. Such targets now require negative emissions, i.e., extraction of CO2 from the air. If phasedown of fossil fuel emissions begins soon, improved agricultural and forestry practices, including reforestation and steps to improve soil fertility and increase its carbon content, may provide much of the necessary CO2 extraction. In that case, the magnitude and duration of global temperature excursion above the natural range of the current interglacial (Holocene) could be limited and irreversible climate impacts could be minimized. In contrast, continued high fossil fuel emissions today place a burden on young people to undertake massive technological CO2 extraction if they are to limit climate change and its consequences. Proposed methods of extraction such as bioenergy with carbon capture and storage (BECCS) or air capture of CO2 have minimal estimated costs of USD 89-535 trillion this century and also have large risks and uncertain feasibility. Continued high fossil fuel emissions unarguably sentences young people to either a massive, implausible cleanup or growing deleterious climate impacts or both.</t>
  </si>
  <si>
    <t>[Hansen, James; Sato, Makiko; Kharecha, Pushker] Columbia Univ, Earth Inst, Climate Sci Awareness &amp; Solut, New York, NY 10115 USA; [von Schuckmann, Karina] Mercator Ocean, 10 Rue Hermes, F-31520 Ramonville St Agne, France; [Beerling, David J.] Univ Sheffield, Leverhulme Ctr Climate Change Mitigat, Sheffield S10 2TN, S Yorkshire, England; [Cao, Junji] Inst Earth Environm, Key Lab Aerosol Chem &amp; Phys, SKLLQG, Xian 710061, Shaanxi, Peoples R China; [Marcott, Shaun] Univ Wisconsin, Dept Geosci, 1215 W Dayton St,Weeks Hall, Madison, WI 53706 USA; [Masson-Delmotte, Valerie] Univ Paris Saclay, CEA, CNRS, UVSQ,Inst Pierre Simon Laplace,Lab Sci Climat &amp; E, Gif Sur Yvette, France; [Prather, Michael J.] Univ Calif Irvine, Earth Syst Sci Dept, Irvine, CA 92717 USA; [Rohling, Eelco J.] Australian Natl Univ, Res Sch Earth Sci, Canberra, ACT 2601, Australia; [Rohling, Eelco J.] Univ Southampton, Natl Oceanog Ctr, Ocean &amp; Earth Sci, Southampton SO14 3ZH, Hants, England; [Shakun, Jeremy] Boston Coll, Dept Earth &amp; Environm Sci, Chestnut Hill, MA 02467 USA; [Smith, Pete] Univ Aberdeen, Inst Biol &amp; Environm Sci, 23 St Machar Dr, Aberdeen AB24 3UU, Scotland; [Lacis, Andrew; Russell, Gary; Ruedy, Reto] NASA, Goddard Inst Space Studies, New York, NY 10025 USA; [Ruedy, Reto] SciSpace LLC, 2880 Broadway, New York, NY 10025 USA</t>
  </si>
  <si>
    <t>Columbia University; University of Sheffield; Chinese Academy of Sciences; Institute of Earth Environment, CAS; University of Wisconsin System; University of Wisconsin Madison; Universite Paris Cite; CEA; Centre National de la Recherche Scientifique (CNRS); Universite Paris Saclay; University of California System; University of California Irvine; Australian National University; University of Southampton; NERC National Oceanography Centre; Boston College; University of Aberdeen; National Aeronautics &amp; Space Administration (NASA); NASA Goddard Space Flight Center; Goddard Institute for Space Studies</t>
  </si>
  <si>
    <t>Hansen, J (corresponding author), Columbia Univ, Earth Inst, Climate Sci Awareness &amp; Solut, New York, NY 10115 USA.</t>
  </si>
  <si>
    <t>jeh1@columbia.edu</t>
  </si>
  <si>
    <t>Marcott, Shaun A/L-7098-2015; Lacis, Andrew/GVT-2947-2022; Masson-Delmotte, Valerie L/G-1995-2011; von Schuckmann, Karina/AAZ-8897-2021; Smith, Pete/G-1041-2010; Lacis, Andrew A/D-4658-2012; Junji, Cao/D-3259-2014; Rohling, Eelco J/B-9736-2008; Beerling, David/C-2840-2009</t>
  </si>
  <si>
    <t>Marcott, Shaun A/0000-0003-3264-0523; Masson-Delmotte, Valerie L/0000-0001-8296-381X; von Schuckmann, Karina/0000-0002-9922-8528; Smith, Pete/0000-0002-3784-1124; Junji, Cao/0000-0003-1000-7241; Rohling, Eelco J/0000-0001-5349-2158; Ruedy, Reto/0000-0002-1270-1088; Prather, Michael/0000-0002-9442-8109; Beerling, David/0000-0003-1869-4314; Russell, Gary/0000-0001-7174-5825</t>
  </si>
  <si>
    <t>Leverhulme Trust Research Centre Award [RC-2015-029]; Australian Laureate Fellowship [FL12 0100050]; Durst family; Grantham Foundation for Protection of the Environment; Flora Family Foundation</t>
  </si>
  <si>
    <t>Leverhulme Trust Research Centre Award(Leverhulme Trust); Australian Laureate Fellowship; Durst family; Grantham Foundation for Protection of the Environment; Flora Family Foundation</t>
  </si>
  <si>
    <t>Support of the Climate Science, Awareness and Solutions program was provided by the Durst family, the Grantham Foundation for Protection of the Environment, Jim and Krisann Miller, Gary Russell, Gerry Lenfest, the Flora Family Foundation, Elisabeth Mannschott, Alexander Totic and Hugh Perrine, which is gratefully acknowledged. David J. Beerling acknowledges funding through a Leverhulme Trust Research Centre Award (RC-2015-029). Eelco J. Rohling acknowledges support from Australian Laureate Fellowship FL12 0100050.</t>
  </si>
  <si>
    <t>2190-4979</t>
  </si>
  <si>
    <t>2190-4987</t>
  </si>
  <si>
    <t>EARTH SYST DYNAM</t>
  </si>
  <si>
    <t>Earth Syst. Dynam.</t>
  </si>
  <si>
    <t>10.5194/esd-8-577-2017</t>
  </si>
  <si>
    <t>FA9PK</t>
  </si>
  <si>
    <t>WOS:000405777900001</t>
  </si>
  <si>
    <t>Chakraborty, S; Jana, B</t>
  </si>
  <si>
    <t>Chakraborty, Sandipan; Jana, Biman</t>
  </si>
  <si>
    <t>Molecular Insight into the Adsorption of Spruce Budworm Antifreeze Protein to an Ice Surface: A Clathrate-Mediated Recognition Mechanism</t>
  </si>
  <si>
    <t>LANGMUIR</t>
  </si>
  <si>
    <t>DYNAMICS SIMULATIONS; CRYSTAL-STRUCTURE; FREEZING RESISTANCE; GROWTH-INHIBITION; ANTARCTIC FISHES; STRUCTURAL BASIS; WINTER FLOUNDER; WATER DYNAMICS; BINDING; INTERFACE</t>
  </si>
  <si>
    <t>The principal mechanism of ice recognition by antifreeze protein (AFP) has been a topic of intense discussion in recent times. Despite many experimental and theoretical studies, the detailed understanding of the process remains elusive. The present work aims to explore the molecular mechanism of ice recognition by an insect AFP from the spruce budworm, sbwAFP. As evident from our simulation, the water dynamics becomes very sluggish around the ice binding surface (IBS) as a result of the combined effect of confinement and ordering induced by the perfectly aligned methyl side chains of threonine residues, the THR ladder. The hydroxyl groups of threonine form strong hydrogen bonds with few of those highly ordered water molecules that are close to the THR ladder, which is the origin of anchored clathrate water at the IBS of sbwAFP. We propose anchored clathrate-mediated basal plane recognition by sbwAFP. The AFP adsorbed on the basal plane through water clathrate framed around the IBS. The surface of the basal plane and anchored clathrate water completes the caging around the threonine residues, which is the origin of the binding plane specificity of sbwAFP. This adsorbed AFP-ice complex undergoes dynamic crossover to a hydrogen-bonded complex within the thermal hysteresis (TH) regime of this particular AFP. The anchored clathrate water becomes part of the newly grown basal front as a result of the geometrical matches between the basal plane and the anchored clathrate water repeat distance. This observation provides a structural rationale for the experimentally observed time-dependent increase in TH activity for insect AFP. Our study proposes clathrate-mediated ice recognition by AFP and elucidates the dynamic events involved during ice binding by the insect AFP.</t>
  </si>
  <si>
    <t>[Chakraborty, Sandipan; Jana, Biman] Indian Assoc Cultivat Sci, Dept Phys Chem, Kolkata 700032, India</t>
  </si>
  <si>
    <t>Department of Science &amp; Technology (India); Indian Association for the Cultivation of Science (IACS) - Jadavpur</t>
  </si>
  <si>
    <t>Jana, B (corresponding author), Indian Assoc Cultivat Sci, Dept Phys Chem, Kolkata 700032, India.</t>
  </si>
  <si>
    <t>pcbj@iacs.res.in</t>
  </si>
  <si>
    <t>Chakraborty, Sandipan/T-8968-2017</t>
  </si>
  <si>
    <t>Chakraborty, Sandipan/0000-0001-8759-1074</t>
  </si>
  <si>
    <t>Department of Science and Technology SERB [EMR/2016/001333]</t>
  </si>
  <si>
    <t>Department of Science and Technology SERB</t>
  </si>
  <si>
    <t>This research is funded by Department of Science and Technology SERB grant EMR/2016/001333. The authors also gratefully acknowledge the central supercomputing facility (CRAY) at the Indian Association for the Cultivation of Science, Kolkata. S.C. acknowledges all coworkers for stimulating discussions, particularly Mr. Sridip Parui for his help during the development of the order parameter code.</t>
  </si>
  <si>
    <t>0743-7463</t>
  </si>
  <si>
    <t>Langmuir</t>
  </si>
  <si>
    <t>10.1021/acs.langmuir.7b01733</t>
  </si>
  <si>
    <t>Chemistry, Multidisciplinary; Chemistry, Physical; Materials Science, Multidisciplinary</t>
  </si>
  <si>
    <t>Chemistry; Materials Science</t>
  </si>
  <si>
    <t>FB4BH</t>
  </si>
  <si>
    <t>WOS:000406086000028</t>
  </si>
  <si>
    <t>Bock, M; Schmitt, J; Beck, J; Seth, B; Chappellaz, J; Fischer, H</t>
  </si>
  <si>
    <t>Bock, Michael; Schmitt, Jochen; Beck, Jonas; Seth, Barbara; Chappellaz, Jerome; Fischer, Hubertus</t>
  </si>
  <si>
    <t>Glacial/interglacial wetland, biomass burning, and geologic methane emissions constrained by dual stable isotopic CH4 ice core records</t>
  </si>
  <si>
    <t>atmosphere; methane; megafauna; ice core; stable isotopes</t>
  </si>
  <si>
    <t>LAST GLACIAL MAXIMUM; ATMOSPHERIC METHANE; CLIMATE-CHANGE; FOSSIL-FUEL; VARIABILITY; TERMINATION; BUDGET; RECONSTRUCTION; ENVIRONMENTS; TEMPERATURE</t>
  </si>
  <si>
    <t>Atmospheric methane (CH4) records reconstructed from polar ice cores represent an integrated view on processes predominantly taking place in the terrestrial biogeosphere. Here, we present dual stable isotopic methane records [delta(CH4)-C-13 and delta D(CH4)] from four Antarctic ice cores, which provide improved constraints on past changes in natural methane sources. Our isotope data show that tropical wetlands and seasonally inundated floodplains are most likely the controlling sources of atmospheric methane variations for the current and two older interglacials and their preceding glacial maxima. The changes in these sources are steered by variations in temperature, precipitation, and the water table as modulated by insolation, (local) sea level, and monsoon intensity. Based on our delta D(CH4) constraint, it seems that geologic emissions of methane may play a steady but only minor role in atmospheric CH4 changes and that the glacial budget is not dominated by these sources. Superimposed on the glacial/interglacial variations is a marked difference in both isotope records, with systematically higher values during the last 25,000 y compared with older time periods. This shift cannot be explained by climatic changes. Rather, our isotopic methane budget points to a marked increase in fire activity, possibly caused by biome changes and accumulation of fuel related to the late Pleistocene megafauna extinction, which took place in the course of the last glacial.</t>
  </si>
  <si>
    <t>[Bock, Michael; Schmitt, Jochen; Beck, Jonas; Seth, Barbara; Fischer, Hubertus] Univ Bern, Phys Inst, Climate &amp; Environm Phys, CH-3012 Bern, Switzerland; [Bock, Michael; Schmitt, Jochen; Beck, Jonas; Seth, Barbara; Fischer, Hubertus] Univ Bern, Oeschger Ctr Climate Change Res, CH-3012 Bern, Switzerland; [Chappellaz, Jerome] CNRS, IGE, F-38000 Grenoble, France; [Chappellaz, Jerome] Univers Grenoble Alpes, IGE, F-38000 Grenoble, France; [Chappellaz, Jerome] IGE, IRD Inst Rech Dev, F-38000 Grenoble, France; [Chappellaz, Jerome] Grenoble INP Inst Natl Polytech, IGE, F-38000 Grenoble, France</t>
  </si>
  <si>
    <t>University of Bern; University of Bern; Centre National de la Recherche Scientifique (CNRS); Communaute Universite Grenoble Alpes; Universite Grenoble Alpes (UGA); Institut de Recherche pour le Developpement (IRD)</t>
  </si>
  <si>
    <t>Bock, M; Fischer, H (corresponding author), Univ Bern, Phys Inst, Climate &amp; Environm Phys, CH-3012 Bern, Switzerland.;Bock, M; Fischer, H (corresponding author), Univ Bern, Oeschger Ctr Climate Change Res, CH-3012 Bern, Switzerland.</t>
  </si>
  <si>
    <t>bock@climate.unibe.ch; hubertus.fischer@climate.unibe.ch</t>
  </si>
  <si>
    <t>Schmitt, Jochen/B-7893-2009; Chappellaz, Jérôme A./A-4872-2011; Fischer, Hubertus/A-1211-2014</t>
  </si>
  <si>
    <t>Schmitt, Jochen/0000-0003-4695-3029; Bock, Michael/0000-0001-5744-3169; Fischer, Hubertus/0000-0002-2787-4221</t>
  </si>
  <si>
    <t>European Research Council (ERC) under the European Union [226172]; Swiss National Science Foundation; European Union; European Research Council (ERC) [226172] Funding Source: European Research Council (ERC)</t>
  </si>
  <si>
    <t>European Research Council (ERC) under the European Union(European Research Council (ERC)); Swiss National Science Foundation(Swiss National Science Foundation (SNSF)); European Union(European Union (EU)); European Research Council (ERC)(European Research Council (ERC)Spanish Government)</t>
  </si>
  <si>
    <t>We thank Sepp Kipfstuhl and the Alfred Wegener Institute (AWI) for providing EDML samples from MIS 5.5. We also thank Gregory Teste (IGE) for help in sample cutting. Anne-Laure Daniau, Jennifer Marlon, and Cathy Whitlock are acknowledged for helpful inputs on fire histories. We thank two reviewers for their valuable comments. Primary logistical support was provided by Programma Nazionale di Ricerche in Antartide (PNRA) at Talos Dome. The collaborative research on the Vostok ice core was carried out in the frame of the Russian-French International Associated Laboratory Climate and Environments from Ice Archives. The research leading to these results has received funding from the European Research Council (ERC) under the European Union's Seventh Framework Programme FP7/2007-2013 ERC Grant 226172 [ERC Advanced Grant Modern Approaches to Temperature Reconstructions in Polar Ice Cores (MATRICs)] and the Swiss National Science Foundation. This work is a contribution to EPICA, a joint European Science Foundation/European Commission scientific program funded by the European Union and national contributions from Belgium, Denmark, France, Germany, Italy, The Netherlands, Norway, Sweden, Switzerland, and the United Kingdom. The main logistic support was provided by Institut Polaire Francais Paul-Emile Victor (IPEV) and PNRA (at Dome C) and AWI (at EDML). TALDICE, a joint European program, is funded by national contributions from Italy, France, Germany, Switzerland, and the United Kingdom. This work is EPICA publication no. 306 and TALDICE publication no. 45.</t>
  </si>
  <si>
    <t>E5778</t>
  </si>
  <si>
    <t>E5786</t>
  </si>
  <si>
    <t>10.1073/pnas.1613883114</t>
  </si>
  <si>
    <t>FA7YC</t>
  </si>
  <si>
    <t>WOS:000405662300006</t>
  </si>
  <si>
    <t>Sancho, LG; Pintado, A; Navarro, F; Ramos, M; De Pablo, MA; Blanquer, JM; Raggio, J; Valladares, F; Green, TGA</t>
  </si>
  <si>
    <t>Sancho, Leopoldo G.; Pintado, Ana; Navarro, Francisco; Ramos, Miguel; Angel De Pablo, Miguel; Manuel Blanquer, Jose; Raggio, Jose; Valladares, Fernando; Allan Green, Thomas George</t>
  </si>
  <si>
    <t>Recent Warming and Cooling in the Antarctic Peninsula Region has Rapid and Large Effects on Lichen Vegetation</t>
  </si>
  <si>
    <t>LIVINGSTON-ISLAND; GROWTH-RATES; COLONIZATION</t>
  </si>
  <si>
    <t>The Antarctic Peninsula has had a globally large increase in mean annual temperature from the 1951 to 1998 followed by a decline that still continues. The challenge is now to unveil whether these recent, complex and somewhat unexpected climatic changes are biologically relevant. We were able to do this by determining the growth of six lichen species on recently deglaciated surfaces over the last 24 years. Between 1991 and 2002, when mean summer temperature (MST) rose by 0.42 degrees C, five of the six species responded with increased growth. MST declined by 0.58 degrees C between 2002 and 2015 with most species showing a fall in growth rate and two of which showed a collapse with the loss of large individuals due to a combination of increased snow fall and longer snow cover duration. Increased precipitation can, counter-intuitively, have major negative effects when it falls as snow at cooler temperatures. The recent Antarctic cooling is having easily detectable and deleterious impacts on slow growing and highly stress-tolerant crustose lichens, which are comparable in extent and dynamics, and reverses the gains observed over the previous decades of exceptional warming.</t>
  </si>
  <si>
    <t>[Sancho, Leopoldo G.; Pintado, Ana; Manuel Blanquer, Jose; Raggio, Jose; Allan Green, Thomas George] Univ Complutense, Dept Biol Vegetal 2, Fac Farm, E-28040 Madrid, Spain; [Navarro, Francisco] Univ Politecn Madrid, ETSI Telecomunicac, Dept Matemat Aplicada TIC, E-28040 Madrid, Spain; [Ramos, Miguel; Angel De Pablo, Miguel] Univ Alcala, Dept Geol Geog &amp; Medio Ambiente, Fac Biol Ciencias Ambientales &amp; Quim, Alcala De Henares 28871, Spain; [Valladares, Fernando] CSIC, Museo Nacl Ciencias Nat, E-28006 Madrid, Spain</t>
  </si>
  <si>
    <t>Complutense University of Madrid; Universidad Politecnica de Madrid; Universidad de Alcala; Consejo Superior de Investigaciones Cientificas (CSIC); CSIC - Museo Nacional de Ciencias Naturales (MNCN)</t>
  </si>
  <si>
    <t>Sancho, LG (corresponding author), Univ Complutense, Dept Biol Vegetal 2, Fac Farm, E-28040 Madrid, Spain.</t>
  </si>
  <si>
    <t>sancholg@ucm.es</t>
  </si>
  <si>
    <t>Ramos, Miguel/K-2230-2014; Navarro, Francisco/L-2941-2014; De Pablo, Miguel Ángel/J-6442-2014; Pintado, Ana/G-9881-2015; Valladares, Fernando/K-9406-2014; Raggio, Jose/H-4167-2015; SANCHO, LEOPOLDO/G-9120-2015</t>
  </si>
  <si>
    <t>Ramos, Miguel/0000-0003-3648-6818; Navarro, Francisco/0000-0002-5147-0067; De Pablo, Miguel Ángel/0000-0002-4496-2741; Raggio, Jose/0000-0002-5344-1112; SANCHO, LEOPOLDO/0000-0002-4751-7475; PINTADO, ANA/0000-0003-3007-1486</t>
  </si>
  <si>
    <t>Spanish Ministerio de Economia y Competitividad [CTM2015-64728-C2-1-R, CTM2014-56473-R, CTM2014-50521-R]</t>
  </si>
  <si>
    <t>Spanish Ministerio de Economia y Competitividad(Spanish Government)</t>
  </si>
  <si>
    <t>This research was supported by grants from the Spanish Ministerio de Economia y Competitividad (CTM2015-64728-C2-1-R, CTM2014-56473-R and CTM2014-50521-R). We are grateful to the head of the Spanish Antarctic Station, Dr. Jordi Felipe, and its entire staff for logistic support in the field. Dr. Jose Pizarro is acknowledged for his kind contribution to the figures design.</t>
  </si>
  <si>
    <t>10.1038/s41598-017-05989-4</t>
  </si>
  <si>
    <t>FB6NZ</t>
  </si>
  <si>
    <t>WOS:000406261000001</t>
  </si>
  <si>
    <t>Rosenfeld, S; Aldea, C; Ojeda, J; Marambio, J; Hüne, M; Troncoso, JS; Mansilla, A</t>
  </si>
  <si>
    <t>Rosenfeld, Sebastian; Aldea, Cristian; Ojeda, Jaime; Marambio, Johanna; Hune, Mathias; Troncoso, Jesus S.; Mansilla, Andres</t>
  </si>
  <si>
    <t>Molluscan assemblages associated with Gigartina beds in the Strait of Magellan and the South Shetland Islands (Antarctica): a comparison of composition and abundance</t>
  </si>
  <si>
    <t>POLAR RESEARCH</t>
  </si>
  <si>
    <t>Bivalvia; Gastropoda; Polyplacophora; algae beds; sub-Antarctic; diversity</t>
  </si>
  <si>
    <t>MACROCYSTIS-PYRIFERA; BENTHIC ASSEMBLAGES; BIODIVERSITY; SKOTTSBERGII; BAY; BIOGEOGRAPHY; DIVERSITY; COASTAL; CHILE; SEA</t>
  </si>
  <si>
    <t>In this paper we evaluated the composition and abundance of molluscs associated with beds of the red algae Gigartina, located in the South Shetland Islands (Antarctic Peninsula) and the Strait of Magellan (southern Chile). During the summer season of 2013, samples were obtained by scuba diving using a 0.25 m(2) quadrat, arranged randomly within the bed. We extracted a total of 15 quadrats per sampling site. For Antarctic Peninsula beds the most abundant species were the bivalve Lissarca miliaris (233 individuals) and the gastropod Laevilacunaria antarctica (94 individuals), while for Strait of Magellan beds the most abundant species was the polyplacophoran Callochiton puniceus (36 individuals). Comparative analysis between the two molluscan assemblages showed significant differences in the faunal composition between the Antarctic Peninsula and Strait of Magellan (f = 64.474; p = 0.0001). Therefore, molluscs reported in both areas are characteristic of their respective biogeographic area. Finally, Gigartina species play an important role in the formation of patterns of abundance and diversity of the communities associated with them.</t>
  </si>
  <si>
    <t>[Rosenfeld, Sebastian; Ojeda, Jaime; Marambio, Johanna; Mansilla, Andres] Univ Magallanes, Lab Macroalgas Antarticas &amp; Subantarticas, Casilla 113-D, Punta Arenas, Chile; [Rosenfeld, Sebastian; Marambio, Johanna; Mansilla, Andres] Inst Ecol &amp; Biodiversidad IEB, Santiago, Chile; [Aldea, Cristian] Univ Magallanes, Dept Ciencias &amp; Recursos Nat, Punta Arenas, Chile; [Aldea, Cristian] Univ Magallanes, Programa GAIA Antartica, Punta Arenas, Chile; [Hune, Mathias] Fdn Ictiol, Santiago, Chile; [Troncoso, Jesus S.] Univ Vigo, Fac Ciencias Mar, Dept Ecol &amp; Biol Anim, Vigo, Spain</t>
  </si>
  <si>
    <t>Universidad de Magallanes; Universidad de Magallanes; Universidad de Magallanes; Universidade de Vigo</t>
  </si>
  <si>
    <t>Rosenfeld, S (corresponding author), Univ Magallanes, Lab Macroalgas Antarticas &amp; Subantarticas, Casilla 113-D, Punta Arenas, Chile.</t>
  </si>
  <si>
    <t>rosenfeld.sebastian@yahoo.com</t>
  </si>
  <si>
    <t>Ojeda, Jaime/HHN-1455-2022; Hüne, Mathias/ABE-6000-2020; Aldea, Cristian/J-5391-2013; Troncoso, Jesus/L-1823-2017</t>
  </si>
  <si>
    <t>Aldea, Cristian/0000-0002-4473-6509; marambio, johanna/0000-0003-1958-0351; Rosenfeld, Sebastian/0000-0002-4363-8018; Mansilla, Andres/0000-0003-3505-7018; ojeda, jaime/0000-0003-3863-9750; Troncoso, Jesus/0000-0002-7305-6879</t>
  </si>
  <si>
    <t>Chile's National Council for Research in Science and Technology (CONICYT) FONDECYT Program [1140940]; Millennium Scientific Initiative (Chile) [P05-002 ICM]; Basal Financing Program (Chile) [PFB-23]; Program of Direction of Research and Graduate Studies of the University of Magallanes [027520, PR-01VRAC-14]</t>
  </si>
  <si>
    <t>Chile's National Council for Research in Science and Technology (CONICYT) FONDECYT Program; Millennium Scientific Initiative (Chile); Basal Financing Program (Chile); Program of Direction of Research and Graduate Studies of the University of Magallanes</t>
  </si>
  <si>
    <t>This research was funded by Chile's National Council for Research in Science and Technology (CONICYT) FONDECYT Program grant 1140940 to AM, the Millennium Scientific Initiative (grant P05-002 ICM, Chile) and the Basal Financing Program (grant PFB-23, Chile). CA would like to thank the Program of Direction of Research and Graduate Studies of the University of Magallanes (code 027520, PR-01VRAC-14).</t>
  </si>
  <si>
    <t>OPEN ACADEMIA AB</t>
  </si>
  <si>
    <t>SPANGA</t>
  </si>
  <si>
    <t>STORMBYVAGEN 6, SPANGA, SE-163 55, SWEDEN</t>
  </si>
  <si>
    <t>0800-0395</t>
  </si>
  <si>
    <t>1751-8369</t>
  </si>
  <si>
    <t>POLAR RES</t>
  </si>
  <si>
    <t>Polar Res.</t>
  </si>
  <si>
    <t>JUL 17</t>
  </si>
  <si>
    <t>10.1080/17518369.2017.1297915</t>
  </si>
  <si>
    <t>Ecology; Geosciences, Multidisciplinary; Oceanography</t>
  </si>
  <si>
    <t>Environmental Sciences &amp; Ecology; Geology; Oceanography</t>
  </si>
  <si>
    <t>FC0IQ</t>
  </si>
  <si>
    <t>WOS:000406522300001</t>
  </si>
  <si>
    <t>Vignon, E; Hourdin, F; Genthon, C; Gallée, H; Bazile, E; Lefebvre, MP; Madeleine, JB; Van de Wiel, BJH</t>
  </si>
  <si>
    <t>Vignon, Etienne; Hourdin, Frederic; Genthon, Christophe; Gallee, Hubert; Bazile, Eric; Lefebvre, Marie-Pierre; Madeleine, Jean-Baptiste; Van de Wiel, Bas J. H.</t>
  </si>
  <si>
    <t>Antarctic boundary layer parametrization in a general circulation model: 1-D simulations facing summer observations at Dome C</t>
  </si>
  <si>
    <t>TURBULENCE CLOSURE-MODEL; LOW-LEVEL JETS; STRATIFIED GEOPHYSICAL FLOWS; SURFACE-ENERGY BALANCE; SEA-ICE; TEMPERATURE INVERSION; SCALAR ROUGHNESS; CLIMATE-CHANGE; SNOW-SURFACE; LOW WINDS</t>
  </si>
  <si>
    <t>The parametrization of the atmospheric boundary layer (ABL) is critical over the Antarctic Plateau for climate modelling since it affects the climatological temperature inversion and the negatively buoyant near-surface flow over the ice-sheet. This study challenges state-of-the-art parametrizations used in general circulation models to represent the clear-sky summertime diurnal cycle of the ABL at Dome C, Antarctic Plateau. The Laboratoire de Meteorologie Dynamique-Zoom model is run in a 1-D configuration on the fourth Global Energy and Water Cycle Exchanges Project Atmospheric Boundary Layers Study case. Simulations are analyzed and compared to observations, giving insights into the sensitivity of one model that participates to the intercomparison exercise. Snow albedo and thermal inertia are calibrated leading to better surface temperatures. Using the so-called thermal plume model improves the momentum mixing in the diurnal ABL. In stable conditions, four turbulence schemes are tested. Best simulations are those in which the turbulence cuts off above 35 m in the middle of the night, highlighting the contribution of the longwave radiation in the ABL heat budget. However, the nocturnal surface layer is not stable enough to distinguish between surface fluxes computed with different stability functions. The absence of subsidence in the forcings and an underestimation of downward longwave radiation are identified to be likely responsible for a cold bias in the nocturnal ABL. Apart from model-specific improvements, the paper clarifies on which are the critical aspects to improve in general circulation models to correctly represent the summertime ABL over the Antarctic Plateau.</t>
  </si>
  <si>
    <t>[Vignon, Etienne; Genthon, Christophe; Gallee, Hubert] Univ Grenoble Alpes, CNRS, IRD, IGE, Grenoble, France; [Hourdin, Frederic; Lefebvre, Marie-Pierre; Madeleine, Jean-Baptiste] CNRS, UMR 8539, Lab Meteorol Dynam IPSL, Paris, France; [Bazile, Eric] CNRM, GAME, Toulouse, France; [Madeleine, Jean-Baptiste] UPMC Univ Paris 06, Sorbonne Univ, Lab Meteorol Dynam IPSL, UMR 8539, Paris, France; [Van de Wiel, Bas J. H.] Delft Univ Technol, Fac Civil Engn &amp; Geosci, Dept Geosci &amp; Remote Sensing, Delft, Netherlands</t>
  </si>
  <si>
    <t>Communaute Universite Grenoble Alpes; Universite Grenoble Alpes (UGA); Centre National de la Recherche Scientifique (CNRS); Institut de Recherche pour le Developpement (IRD); Centre National de la Recherche Scientifique (CNRS); CNRS - National Institute for Earth Sciences &amp; Astronomy (INSU); Sorbonne Universite; Sorbonne Universite; Centre National de la Recherche Scientifique (CNRS); CNRS - National Institute for Earth Sciences &amp; Astronomy (INSU); Delft University of Technology</t>
  </si>
  <si>
    <t>Vignon, E (corresponding author), Univ Grenoble Alpes, CNRS, IRD, IGE, Grenoble, France.</t>
  </si>
  <si>
    <t>etienne.vignon@univ-grenoble-alpes.fr</t>
  </si>
  <si>
    <t>VIGNON, Etienne/0000-0003-3801-9367; bazile, eric/0000-0001-8120-9970</t>
  </si>
  <si>
    <t>French National Program LEFE; INSU (CLAPA); INSU (DEPHY); INSU (GABLS4); OSUG (GLACIOCLIM); CALVA [1013]</t>
  </si>
  <si>
    <t>French National Program LEFE; INSU (CLAPA); INSU (DEPHY); INSU (GABLS4); OSUG (GLACIOCLIM); CALVA</t>
  </si>
  <si>
    <t>We are grateful to Fleur Couvreux, Helene Barral, Gerhard Krinner, Frederic Cheruy, and Peter Baas for fruitful discussions. This work was supported by the French National Program LEFE, INSU (programs CLAPA, DEPHY, and GABLS4), and OSUG (GLACIOCLIM observatory). Logistical support for field observations by the French (IPEV) and Italian (PNRA) polar agencies through programme CALVA (1013) and the CoMPASs project is gratefully acknowledged. Meteorological data obtained in the framework of CALVA are made available on the website http://lgge.osug.fr/similar to genthon/calva/home.shtml or on request to the authors. We thank the WRCP-BSRN network and Christian Lanconelli for dissemination of the radiation data and Stefania Argentini and Giampietro Casasanta for providing sonic anemometer data. We also thank three anonymous reviewers for their careful evaluation of the manuscript and thoughtful comments.</t>
  </si>
  <si>
    <t>JUL 16</t>
  </si>
  <si>
    <t>10.1002/2017JD026802</t>
  </si>
  <si>
    <t>FE0HB</t>
  </si>
  <si>
    <t>WOS:000407900300008</t>
  </si>
  <si>
    <t>Turner, J; Phillips, T; Marshall, GJ; Hosking, JS; Pope, JO; Bracegirdle, TJ; Deb, P</t>
  </si>
  <si>
    <t>Turner, John; Phillips, Tony; Marshall, Gareth J.; Hosking, J. Scott; Pope, James O.; Bracegirdle, Thomas J.; Deb, Pranab</t>
  </si>
  <si>
    <t>Unprecedented springtime retreat of Antarctic sea ice in 2016</t>
  </si>
  <si>
    <t>MODEL SIMULATIONS; ANNULAR MODE; EXTENT; OCEAN; VARIABILITY; TRENDS; MAXIMUM; CYCLE</t>
  </si>
  <si>
    <t>During austral spring 2016 Antarctic sea ice extent (SIE) decreased at a record rate of 75 x 10(3) km(2) d(-1), which was 46% faster than the mean rate and 18% faster than in any previous spring season during the satellite era. The decrease of sea ice area was also exceptional and 28% greater than the mean. Anomalous negative retreat occurred in all sectors of the Antarctic but was greatest in the Weddell and Ross Seas. Record negative SIE anomalies for the day of year were recorded from 3 November 2016 to 9 April 2017. Rapid ice retreat in the Weddell Sea took place in strong northerly flow after an early maximum ice extent in late August. Rapid ice retreat occurred in November in the Ross Sea when surface pressure was at a record high level, with the Southern Annular Mode at its most negative for that month since 1968.</t>
  </si>
  <si>
    <t>[Turner, John; Phillips, Tony; Marshall, Gareth J.; Hosking, J. Scott; Pope, James O.; Bracegirdle, Thomas J.; Deb, Pranab] NERC, British Antarctic Survey, Cambridge, England</t>
  </si>
  <si>
    <t>Turner, J (corresponding author), NERC, British Antarctic Survey, Cambridge, England.</t>
  </si>
  <si>
    <t>Bracegirdle, Tom/AAD-6060-2020; Pope, James/E-9473-2017; Hosking, Scott/D-3437-2013</t>
  </si>
  <si>
    <t>Marshall, Gareth/0000-0001-8887-7314; Pope, James/0000-0001-8945-4209; Hosking, Scott/0000-0002-3646-3504; Turner, John/0000-0002-6111-5122; Phillips, Tony/0000-0002-3058-9157</t>
  </si>
  <si>
    <t>UK Natural Environment Research Council [NE/K00445X/1]; NERC [NE/K012150/1, NE/K00445X/1, bas0100032] Funding Source: UKRI; Natural Environment Research Council [bas0100032, NE/K012150/1, NE/K00445X/1] Funding Source: researchfish</t>
  </si>
  <si>
    <t>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</si>
  <si>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work forms part of the Polar Science for Planet Earth program of the British Antarctic Survey and was supported financially by the UK Natural Environment Research Council under grant NE/K00445X/1. We are grateful to ECMWF for the provision of the ERA-Interim meteorological fields (available here: http://apps.ecmwf.int/datasets/data/interim-mdfa/) and to the U.S. National Snow and Ice Data Center for providing sea ice data (available here: http://nsidc.org/data/docs/daac/nsidc0079_bootstrap_seaice.gd.html). The usage of these data has been cited in the text and included within the reference list. We are grateful to Jeff Ridley of the UK Met Office for valuable comments on an early draft of this paper.</t>
  </si>
  <si>
    <t>10.1002/2017GL073656</t>
  </si>
  <si>
    <t>FB6MP</t>
  </si>
  <si>
    <t>WOS:000406257400047</t>
  </si>
  <si>
    <t>Reintges, A; Martin, T; Latif, M; Park, W</t>
  </si>
  <si>
    <t>Reintges, A.; Martin, T.; Latif, M.; Park, W.</t>
  </si>
  <si>
    <t>Physical controls of Southern Ocean deep-convection variability in CMIP5 models and the Kiel Climate Model</t>
  </si>
  <si>
    <t>FORCING RESPONSE; HISTORICAL BIAS; BOTTOM WATER; TREE-RINGS; OCEANOGRAPHY; CIRCULATION; POLYNYAS; DRIVER; CARBON</t>
  </si>
  <si>
    <t>Global climate models exhibit large biases in the Southern Ocean. For example, in models Antarctic bottom water is formed mostly through open-ocean deep convection rather than through shelf convection. Still, the timescale, region, and intensity of deep-convection variability vary widely among models. We investigate the physical controls of this variability in the Atlantic sector of the Southern Ocean, where most of the models simulate recurring deep-convection events. We analyzed output from 11 exemplary CMIP5 models and four versions of the Kiel Climate Model. Of the several potential physical control parameters that we tested, the ones shared by all these models are as follows: Stratification in the convection region influences the timescale of the deep-convection variability; i.e., models with a strong (weak) stratification vary on long (short) timescales. Also, sea ice volume affects the modeled mean state in the Southern Ocean: Large (small) sea ice volume is associated with a nonconvective (convective) predominant regime.</t>
  </si>
  <si>
    <t>[Reintges, A.; Martin, T.; Latif, M.; Park, W.] GEOMAR Helmholtz Ctr Ocean Res Kiel, Kiel, Germany; [Latif, M.] Univ Kiel, Kiel, Germany</t>
  </si>
  <si>
    <t>Helmholtz Association; GEOMAR Helmholtz Center for Ocean Research Kiel; University of Kiel</t>
  </si>
  <si>
    <t>Reintges, A (corresponding author), GEOMAR Helmholtz Ctr Ocean Res Kiel, Kiel, Germany.</t>
  </si>
  <si>
    <t>areintges@geomar.de</t>
  </si>
  <si>
    <t>Latif, Mojib/C-2428-2016; Park, Wonsun/J-8097-2012; Martin, Torge/H-2613-2017</t>
  </si>
  <si>
    <t>North Atlantic Climate Collaborative Project (NACLIM) - European Union [308299]; InterDec project - German Federal Ministry for Education and Research (BMBF) [01LP1609B]; National Paleo Climate Modeling Initiative PalMod - BMBF [01LP1503D]; Cluster of Excellence 80 The Future Ocean; Deutsche Forschungsgemeinschaft (DFG) on behalf of the German federal and state governments</t>
  </si>
  <si>
    <t>North Atlantic Climate Collaborative Project (NACLIM) - European Union; InterDec project - German Federal Ministry for Education and Research (BMBF)(Federal Ministry of Education &amp; Research (BMBF)); National Paleo Climate Modeling Initiative PalMod - BMBF(Federal Ministry of Education &amp; Research (BMBF)); Cluster of Excellence 80 The Future Ocean; Deutsche Forschungsgemeinschaft (DFG) on behalf of the German federal and state governments(German Research Foundation (DFG))</t>
  </si>
  <si>
    <t>We acknowledge the World Climate Research Programme's Working Group on Coupled Modeling, which is responsible for CMIP, and we thank the climate modeling groups for producing and making available their model output. For CMIP the U.S. Department of Energy's Program for Climate Model Diagnosis and Intercomparison (PCMDI) provides coordinating support and led development of software infrastructure in partnership with the Global Organization for Earth System Science Portals. This study was supported by the North Atlantic Climate FP7 Collaborative Project (NACLIM) funded by the European Union, grant agreement 308299, by the InterDec project funded by the German Federal Ministry for Education and Research (BMBF), grant 01LP1609B, and by the National Paleo Climate Modeling Initiative PalMod also funded by the BMBF, grant 01LP1503D. This work was further funded by the Cluster of Excellence 80 The Future Ocean. The Future Ocean is funded within the framework of the Excellence Initiative by the Deutsche Forschungsgemeinschaft (DFG) on behalf of the German federal and state governments. The KCM integrations were performed at the DKRZ Hamburg and the Computing Centre of Kiel University. The KCM data used for this paper can be made available from the authors upon request from W.P. (wpark@geomar.de).</t>
  </si>
  <si>
    <t>10.1002/2017GL074087</t>
  </si>
  <si>
    <t>WOS:000406257400056</t>
  </si>
  <si>
    <t>Arienzo, MM; McConnell, JR; Murphy, LN; Chellman, N; Das, S; Kipfstuhl, S; Mulvaney, R</t>
  </si>
  <si>
    <t>Arienzo, M. M.; McConnell, J. R.; Murphy, L. N.; Chellman, N.; Das, S.; Kipfstuhl, S.; Mulvaney, R.</t>
  </si>
  <si>
    <t>Holocene black carbon in Antarctica paralleled Southern Hemisphere climate</t>
  </si>
  <si>
    <t>INTERTROPICAL CONVERGENCE ZONE; CORE WD2014 CHRONOLOGY; ICE-CORE; CHARCOAL RECORDS; FIRE REGIMES; LONG-TERM; FOREST; VARIABILITY; EMISSIONS; AGE</t>
  </si>
  <si>
    <t>Black carbon (BC) and other biomass-burning (BB) aerosols are critical components of climate forcing, but quantification, predictive climate modeling, and policy decisions have been hampered by limited understanding of the climate drivers of BB and by the lack of long-term records. Prior modeling studies suggested that increased Northern Hemisphere anthropogenic BC emissions increased recent temperatures and regional precipitation, including a northward shift in the Intertropical Convergence Zone (ITCZ). Two Antarctic ice cores were analyzed for BC, and the longest record shows that the highest BC deposition during the Holocene occurred similar to 8-6 k years before present in a period of relatively high austral burning season and low growing season insolation. Atmospheric transport modeling suggests South America (SA) as the dominant source of modern Antarctic BC and, consistent with the ice core record, climate model experiments using mid-Holocene and preindustrial insolation simulate comparable increases in carbon loss due to fires in SA during the mid-Holocene. SA climate proxies document a northward shifted ITCZ and weakened SA Summer Monsoon (SASM) during this period, with associated impacts on hydroclimate and burning. A second Antarctic ice core spanning the last 2.5 k years documents similar linkages between hydroclimate and BC, with the lowest deposition during the Little Ice Age characterized by a southerly shifted ITCZ and strengthened SASM. These new results indicate that insolation-driven changes in SA hydroclimate and BB, likely linked to the position of the ITCZ, modulated Antarctic BC deposition during most of the Holocene and suggests connections and feedbacks between future BC emissions and hydroclimate. Plain Language Summary Future anthropogenic-driven climate change may impact wildfires, yet predictions are hampered by few long-term records of natural wildfires, particularly for the Southern Hemisphere. We document large variations in black carbon deposition during the past 14,000 years from an Antarctic ice core. Black carbon is a tracer for wildfires and is a significant climate forcing agent. We show that black carbon in Antarctica closely followed Southern Hemisphere hydroclimate and strength of the South American Summer Monsoon. With future predictions showing significant low-latitude changes in precipitation under increased emissions, the climate-fire linkages presented here suggest future changes to South American biomass burning.</t>
  </si>
  <si>
    <t>[Arienzo, M. M.; McConnell, J. R.; Chellman, N.] Desert Res Inst, Div Hydrol Sci, Reno, NV 89506 USA; [Murphy, L. N.] Univ Miami, Rosenstiel Sch Marine &amp; Atmospher Sci, Dept Atmospher Sci, 4600 Rickenbacker Causeway, Miami, FL 33149 USA; [Das, S.] Woods Hole Oceanog Inst, Woods Hole, MA 02543 USA; [Kipfstuhl, S.] Helmholtz Zentrum Polar &amp; Meeresforsch, Alfred Wegener Inst, Bremerhaven, Germany; [Mulvaney, R.] British Antarctic Survey, Cambridge, England</t>
  </si>
  <si>
    <t>Nevada System of Higher Education (NSHE); Desert Research Institute NSHE; University of Miami; Woods Hole Oceanographic Institution; Helmholtz Association; Alfred Wegener Institute, Helmholtz Centre for Polar &amp; Marine Research; UK Research &amp; Innovation (UKRI); Natural Environment Research Council (NERC); NERC British Antarctic Survey</t>
  </si>
  <si>
    <t>Arienzo, MM (corresponding author), Desert Res Inst, Div Hydrol Sci, Reno, NV 89506 USA.</t>
  </si>
  <si>
    <t>monica.arienzo@dri.edu</t>
  </si>
  <si>
    <t>; Murphy, Lisa/B-8547-2013; Mulvaney, Robert/K-3929-2012</t>
  </si>
  <si>
    <t>McConnell, Joseph/0000-0001-9051-5240; Murphy, Lisa/0000-0003-4343-8005; Mulvaney, Robert/0000-0002-5372-8148</t>
  </si>
  <si>
    <t>U.S. National Science Foundation (NSF) [0839093, 1142166, 0968391, 1304540]; NSF [OPP ANT-0632031]; NASA [NNX10AP09G]; WAIS Divide Science Coordination Office; NERC [bas0100034] Funding Source: UKRI; Natural Environment Research Council [bas0100034] Funding Source: researchfish; Div Atmospheric &amp; Geospace Sciences; Directorate For Geosciences [1304540] Funding Source: National Science Foundation; Office Of The Director; Office Of Internatl Science &amp;Engineering [0968391] Funding Source: National Science Foundation; NASA [NNX10AP09G, 126835] Funding Source: Federal RePORTER</t>
  </si>
  <si>
    <t>U.S. National Science Foundation (NSF)(National Science Foundation (NSF)); NSF(National Science Foundation (NSF)); NASA(National Aeronautics &amp; Space Administration (NASA)); WAIS Divide Science Coordination Office; NERC(UK Research &amp; Innovation (UKRI)Natural Environment Research Council (NERC)); Natural Environment Research Council(UK Research &amp; Innovation (UKRI)Natural Environment Research Council (NERC)); Div Atmospheric &amp; Geospace Sciences; Directorate For Geosciences(National Science Foundation (NSF)NSF - Directorate for Geosciences (GEO)); Office Of The Director; Office Of Internatl Science &amp;Engineering(National Science Foundation (NSF)NSF - Office of the Director (OD)); NASA(National Aeronautics &amp; Space Administration (NASA))</t>
  </si>
  <si>
    <t>This work primarily was supported by U.S. National Science Foundation (NSF) grants 0839093, 1142166, 0968391, and 1304540. The acquisition and analyses of the PIG, DIV, and THW cores was supported by NSF OPP ANT-0632031 and NASA NNX10AP09G. B40 ice core samples were supplied by the Alfred-Wegener-Institut. The authors appreciate support of the WAIS Divide Science Coordination Office for the collection and distribution of the WAIS Divide ice core; Ice Drilling and Design and Operations for drilling; the National Ice Core Laboratory for curating the core; Raytheon Polar Services for logistics support in Antarctica; and the 109th New York Air National Guard for airlift in Antarctica. The authors thank L. Layman, O. Maselli, D. Pasteris, and M. Sigl for assistance with BC and other measurements. We also thank R. Kreidberg for his editorial advice and A. Clement for insightful discussions. We would like to thank M. Legrand and two additional anonymous reviewers for their comments which greatly strengthened the manuscript. Charcoal data were obtained from the global charcoal database, and we acknowledge contributions by the paleofire community. BC data for WD and BC and NH4 data for B40 are accessible at http://www.usap-dc.org/.</t>
  </si>
  <si>
    <t>10.1002/2017JD026599</t>
  </si>
  <si>
    <t>WOS:000407900300002</t>
  </si>
  <si>
    <t>Qu, CF; Liu, FM; Zheng, Z; Wang, YB; Li, XG; Yuan, HM; Li, N; An, ML; Wang, XX; He, YY; Li, LL; Miao, JL</t>
  </si>
  <si>
    <t>Qu, Chang-Feng; Liu, Fang-Ming; Zheng, Zhou; Wang, Yi-Bin; Li, Xue-Gang; Yuan, Hua-Mao; Li, Ning; An, Mei-Ling; Wang, Xi-Xi; He, Ying-Ying; Li, Lu-Lu; Miao, Jin-Lai</t>
  </si>
  <si>
    <t>Effects of ocean acidification on the physiological performance and carbon production of the Antarctic sea ice diatom Nitzschia sp ICE-H</t>
  </si>
  <si>
    <t>Ocean acidification; Antarctic sea ice microalgae; Nitzschia; Photosynthesis; Particulate organic carbon; Carbonic anhydrase</t>
  </si>
  <si>
    <t>CO2 CONCENTRATING MECHANISMS; 2 MARINE DIATOMS; ELEVATED CO2; ANHYDRASE ACTIVITY; NITRATE REDUCTASE; GROWTH; ACQUISITION; TEMPERATURE; PCO(2); ALGAE</t>
  </si>
  <si>
    <t>Ocean acidification (OA) resulting from increasing atmospheric CO2 strongly influences marine ecosystems, particularly in the polar ocean due to greater CO2 solubility. Here, we grew the Antarctic sea ice diatom Nitzschia sp. ICE-H in a semicontinuous culture under low (similar to 400 ppm) and high (1000 ppm) CO2 levels. Elevated CO2 resulted in a stimulated physiological response including increased growth rates, chlorophyll a contents, and nitrogen and phosphorus uptake rates. Furthermore, high CO2 enhanced cellular particulate organic carbon production rates, indicating a greater shift from inorganic to organic carbon. However, the cultures grown in high CO2 conditions exhibited a decrease in both extracellular and intracellular carbonic anhydrase activity, suggesting that the carbon concentrating mechanisms of Nitzschia sp. ICE-H may be suppressed by elevated CO2. Our results revealed that OA would be beneficial to the survival of this sea ice diatom strain, with broad implications for global carbon cycles in the future ocean.</t>
  </si>
  <si>
    <t>[Qu, Chang-Feng; Liu, Fang-Ming; Zheng, Zhou; Wang, Yi-Bin; An, Mei-Ling; Wang, Xi-Xi; He, Ying-Ying; Li, Lu-Lu; Miao, Jin-Lai] State Ocean Adm, Inst Oceanog 1, Qingdao 266071, Shandong, Peoples R China; [Li, Xue-Gang; Yuan, Hua-Mao; Li, Ning] Chinese Acad Sci, Inst Oceanol, Key Lab Marine Ecol &amp; Environm Sci, Qingdao 266071, Shandong, Peoples R China; [An, Mei-Ling] Qing Dao Univ, Qingdao 266071, Shandong, Peoples R China</t>
  </si>
  <si>
    <t>First Institute of Oceanography, Ministry of Natural Resources; Chinese Academy of Sciences; Institute of Oceanology, CAS; Qingdao University</t>
  </si>
  <si>
    <t>Miao, JL (corresponding author), State Ocean Adm, Inst Oceanog 1, Qingdao 266071, Shandong, Peoples R China.</t>
  </si>
  <si>
    <t>DAI, Jinjia/KCL-5110-2024; Li, Ning/I-3417-2012; Zheng, Zhou/JJD-0602-2023; He, Ying Ying/HZL-0137-2023; Wang, Yibin/J-6584-2017</t>
  </si>
  <si>
    <t>Li, Ning/0000-0003-1684-4454; He, Ying Ying/0000-0002-8759-3157; Wang, Yibin/0000-0001-5278-7245; Yuan, Huamao/0000-0003-2014-619X</t>
  </si>
  <si>
    <t>Natural Science Foundation of China [41576187]; Basic Scientific Fund for National Public Research Institutes of China [2016Q10]; Postdoctoral Applied Research Projects of Qingdao [QDBSH2015015]; Natural Science Foundation of China-Shandong Joint Fund [U1606403]; Key Research and Development Program of Shandong Province [2016ZDJS06A03]; Public Science and Technology Research Funds Projects of Ocean [201405015]; Qingdao Entrepreneurship &amp; Innovation Pioneers Program [15-10-3-15-(44)-zch]</t>
  </si>
  <si>
    <t>Natural Science Foundation of China(National Natural Science Foundation of China (NSFC)); Basic Scientific Fund for National Public Research Institutes of China; Postdoctoral Applied Research Projects of Qingdao; Natural Science Foundation of China-Shandong Joint Fund; Key Research and Development Program of Shandong Province; Public Science and Technology Research Funds Projects of Ocean; Qingdao Entrepreneurship &amp; Innovation Pioneers Program</t>
  </si>
  <si>
    <t>This work was funded by Natural Science Foundation of China (No. 41576187), Basic Scientific Fund for National Public Research Institutes of China (No. 2016Q10), Postdoctoral Applied Research Projects of Qingdao (No. QDBSH2015015), Natural Science Foundation of China-Shandong Joint Fund (No. U1606403), Key Research and Development Program of Shandong Province (No. 2016ZDJS06A03), Public Science and Technology Research Funds Projects of Ocean (No. 201405015), and Qingdao Entrepreneurship &amp; Innovation Pioneers Program (No. 15-10-3-15-(44)-zch).</t>
  </si>
  <si>
    <t>JUL 15</t>
  </si>
  <si>
    <t>10.1016/j.marpolbul.2017.05.018</t>
  </si>
  <si>
    <t>FD4YY</t>
  </si>
  <si>
    <t>WOS:000407539300032</t>
  </si>
  <si>
    <t>White, CA; Nichols, PD; Ross, DJ; Dempster, T</t>
  </si>
  <si>
    <t>White, C. A.; Nichols, P. D.; Ross, D. J.; Dempster, T.</t>
  </si>
  <si>
    <t>Dispersal and assimilation of an aquaculture waste subsidy in a low productivity coastal environment</t>
  </si>
  <si>
    <t>Aquaculture; Bacterial productivity; Biomarker; Salmon; Fatty acid; Macquarie Harbour</t>
  </si>
  <si>
    <t>FATTY-ACID-COMPOSITION; ORGANIC-MATTER; FOOD-WEB; ATLANTIC SALMON; FISH FARMS; TROPHIC INTERACTIONS; FINFISH AQUACULTURE; TEMPORAL DYNAMICS; BENTHIC IMPACTS; MARINE</t>
  </si>
  <si>
    <t>To understand dispersal and assimilation of aquaculture waste subsidies in a naturally low-productivity environment, we applied a novel, rapid transmethylation technique to analyse sediment and biota fatty acid composition. This technique was initially validated at Atlantic salmon farms in Macquarie Harbour, Australia, where sediments were collected at farm and control locations. Subsequently, sediment, benthic polychaete and zooplankton were sampled at sites 0, 50, 250, 500 and 1000 m distant from multiple cages. Results demonstrated an acute deposition zone up to 50 m from cages and a diffuse zone extending 500 m from cages. Changes in sediment concentration of linoleic acid, oleic acid and total fatty acids were effective tracers of farm deposition. Bacterial biomarkers indicated that aquaculture waste stimulates bacterial productivity in sediments, with elevated biomarker concentrations also detected in benthic polychaetes. Overall, fatty acid analysis was a sensitive technique to characterize the benthic footprint of aquaculture influence.</t>
  </si>
  <si>
    <t>[White, C. A.; Dempster, T.] Univ Melbourne, Sch BioSci, Sustainable Aquaculture Lab Temperate &amp; Trop, Melbourne, Vic 3010, Australia; [White, C. A.; Nichols, P. D.] CSIRO, Oceans &amp; Atmosphere, Hobart, Tas 7000, Australia; [Ross, D. J.] Univ Tasmania, Inst Marine &amp; Antarctic Studies, Private Bag 49, Hobart, Tas 7000, Australia</t>
  </si>
  <si>
    <t>Melbourne Genomics Health Alliance; University of Melbourne; Commonwealth Scientific &amp; Industrial Research Organisation (CSIRO); University of Tasmania</t>
  </si>
  <si>
    <t>White, CA (corresponding author), Univ Tasmania, Inst Marine &amp; Antarctic Studies, Taroona, Tas 7053, Australia.</t>
  </si>
  <si>
    <t>camille.white@utas.edu.au</t>
  </si>
  <si>
    <t>Nichols, Peter D/C-5128-2011; Dempster, Tim/E-9630-2011</t>
  </si>
  <si>
    <t>Dempster, Tim/0000-0001-8041-426X</t>
  </si>
  <si>
    <t>Sustainable Aquaculture Laboratory, University of Melbourne; Holsworth Wildlife Research Endowment; CSIRO</t>
  </si>
  <si>
    <t>Sustainable Aquaculture Laboratory, University of Melbourne; Holsworth Wildlife Research Endowment; CSIRO(Commonwealth Scientific &amp; Industrial Research Organisation (CSIRO))</t>
  </si>
  <si>
    <t>This study was supported by the Sustainable Aquaculture Laboratory, University of Melbourne. Additional financial support was provided by a Holsworth Wildlife Research Endowment and a CSIRO Wealth from Oceans Flagship scholarship. Field support was provided by the Institute for Marine and Antarctic Studies (IMAS), University of Tasmania. We thank A. Pender, M. Sievers and J. Valentine for assistance in collecting samples, and Peter Mansour for management of the GC facility.</t>
  </si>
  <si>
    <t>10.1016/j.marpolbul.2017.05.042</t>
  </si>
  <si>
    <t>WOS:000407539300046</t>
  </si>
  <si>
    <t>Delmonte, B; Paleari, CI; Andò, S; Garzanti, E; Andersson, PS; Petit, JR; Crosta, X; Narcisi, B; Baroni, C; Salvatore, MC; Baccolo, G; Maggi, V</t>
  </si>
  <si>
    <t>Delmonte, Barbara; Paleari, Chiara Ileana; Ando, Sergio; Garzanti, Eduardo; Andersson, Per Sune; Petit, Jean Robert; Crosta, Xavier; Narcisi, Biancamaria; Baroni, Carlo; Salvatore, Maria Cristina; Baccolo, Giovanni; Maggi, Valter</t>
  </si>
  <si>
    <t>Causes of dust size variability in central East Antarctica (Dome B): Atmospheric transport from expanded South American sources during Marine Isotope Stage 2</t>
  </si>
  <si>
    <t>Quaternary; Paleoclimatology; Antarctica; Ice cores; Dust; Provenance; Marine isotope stage 2; Micron-size particle Raman mineralogy</t>
  </si>
  <si>
    <t>LAST GLACIAL MAXIMUM; ICE CORE; INSOLUBLE PARTICLES; HISTORY; CLIMATE; VOSTOK; EPICA; DIATOMS; BACILLARIOPHYCEAE; CIRCULATION</t>
  </si>
  <si>
    <t>We here investigate the spatial and temporal variability of eolian dust particle sorting recorded in the Dome B (77 degrees 05' S, 94 55' E) ice core, central East Antarctica, during Marine Isotope Stage (MIS) 2. We address the question whether such changes reflect variable transport pathways from a unique source area or rather a variable apportionment from diverse Southern Hemisphere sources transported at different elevation in the troposphere. The Sr-Nd radiogenic isotope composition of glacial dust samples as well as single-particle Raman mineralogy support the hypothesis of a single dust provenance both for coarse and fine mode dust events at Dome B. The southern South American provenance of glacial dust in Antarctica deduced from these results indicate a dust composition coherent with a mixture of volcanic material and minerals derived from metamorphic and plutonic rocks. Additionally, Dome B glacial samples contain aragonite particles along with diatom valves of marine benthic/epiphytic species and freshwater species living today in the northern Antarctic Peninsula and southern South America. These data suggest contribution from the exposed Patagonian continental shelf and glacial outwash plains of southern Patagonia at the time when sea level reached its minimum. Our results confirm that dust sorting is controlled by the relative intensity of the two main patterns of tropospheric dust transport onto the inner Plateau, i.e. fast low-level advection and long-range high-altitude transport including air subsidence over Antarctica. (C) 2017 Elsevier Ltd. All rights reserved.</t>
  </si>
  <si>
    <t>[Delmonte, Barbara; Paleari, Chiara Ileana; Ando, Sergio; Garzanti, Eduardo; Baccolo, Giovanni; Maggi, Valter] Univ Milano Bicocca, Dept Earth &amp; Environm Sci DISAT, Piazza Sci, I-20126 Milan, Italy; [Andersson, Per Sune] Swedish Museum Nat Hist, Dept Geosci, Box 50 007, SE-10405 Stockholm, Sweden; [Petit, Jean Robert] Univ Grenoble Alpes, CNRS, IRD, IGE, F-38000 Grenoble, France; [Crosta, Xavier] Univ Bordeaux, Environm &amp; Paleoenvironm Ocean &amp; Continentaux UMR, Allee Geoffroy St Hilaire, F-33615 Pessac, France; [Narcisi, Biancamaria] ENEA, CR Casaccia, I-00123 Rome, Italy; [Baroni, Carlo; Salvatore, Maria Cristina] Univ Pisa, Dipartimento Sci Terra, Via S Maria 53, I-56126 Pisa, Italy</t>
  </si>
  <si>
    <t>University of Milano-Bicocca; Swedish Museum of Natural History; Institut de Recherche pour le Developpement (IRD); Communaute Universite Grenoble Alpes; Universite Grenoble Alpes (UGA); Centre National de la Recherche Scientifique (CNRS); Universite de Bordeaux; Italian National Agency New Technical Energy &amp; Sustainable Economics Development; University of Pisa</t>
  </si>
  <si>
    <t>Delmonte, B (corresponding author), Univ Milano Bicocca, Dept Earth &amp; Environm Sci DISAT, Piazza Sci, I-20126 Milan, Italy.</t>
  </si>
  <si>
    <t>barbara.delmonte@unimib.it</t>
  </si>
  <si>
    <t>Delmonte, Barbara/L-2555-2015; Baroni, Carlo/D-8184-2012; Salvatore, Maria Cristina/AAS-4000-2020; Baccolo, Giovanni/J-9543-2019; Maggi, Valter/E-1878-2014; Maggi, Valter/AAX-5728-2020</t>
  </si>
  <si>
    <t>Delmonte, Barbara/0000-0002-9074-2061; Baroni, Carlo/0000-0001-5905-4650; Salvatore, Maria Cristina/0000-0002-1590-7284; Baccolo, Giovanni/0000-0002-1246-8968; Maggi, Valter/0000-0001-6287-1213</t>
  </si>
  <si>
    <t>SYNTHESYS via the EC Research Infrastructure Activity, Programme [SE-TAF-5636]; PNRA-MIUR</t>
  </si>
  <si>
    <t>SYNTHESYS via the EC Research Infrastructure Activity, Programme; PNRA-MIUR</t>
  </si>
  <si>
    <t>This work was supported by SYNTHESYS (Project SE-TAF-5636), a project supporting an integrated European infrastructure for natural history collections funded via the EC Research Infrastructure Activity, FP7 Programme. PNRA-MIUR provided financial support. We thank: Prof. Bart Van de Vjiver, Prof. Jan Risberg and Prof. Nora Maidana for helpful advices on diatom species, Frederic Parrenin for help with sample dating with AICC2012 timescale, Karin Wallner and Hans Schoberg for help during laboratory work at the Swedish Museum of Natural History. Scanning Electron Microscope (SEM) observations have been carried out at the Department of Earth and Environmental Sciences, Milano Bicocca University and at the Centro Interdipartimentale Grandi Strumenti (CIGS) University of Modena and Reggio Emilia.</t>
  </si>
  <si>
    <t>10.1016/j.quascirev.2017.05.009</t>
  </si>
  <si>
    <t>EY9IE</t>
  </si>
  <si>
    <t>WOS:000404311500005</t>
  </si>
  <si>
    <t>Capron, E; Govin, A; Feng, R; Otto-Bliesner, BL; Wolff, EW</t>
  </si>
  <si>
    <t>Capron, E.; Govin, A.; Feng, R.; Otto-Bliesner, B. L.; Wolff, E. W.</t>
  </si>
  <si>
    <t>Critical evaluation of climate syntheses to benchmark CMIP6/PMIP4 127 ka Last Interglacial simulations in the high-latitude regions</t>
  </si>
  <si>
    <t>Last interglacial; 127 ka surface temperature time slice; CMIP6/PMIP4 Tier 1 and Tier 2 simulations; Quantitative uncertainty estimates attached to relative dating and temperature reconstruction methods</t>
  </si>
  <si>
    <t>ANTARCTIC ICE; POLAR AMPLIFICATION; CHRONOLOGY AICC2012; BIPOLAR SEESAW; TEMPERATURES; EVOLUTION; MODEL; VARIABILITY; MELTWATER; RECORDS</t>
  </si>
  <si>
    <t>The Last Interglacial (LIG, similar to 129-116 thousand years ago, ka) represents an excellent case study to investigate the response of sensitive components of the Earth System and mechanisms of high-latitude amplification to a climate warmer than present-day. The Paleoclimate Model Intercomparison Project (Phase 4, hereafter referred as PMIP4) and the Coupled Model Intercomparison Project (Phase 6, hereafter referred as CMIP6) are coordinating the design of (1) a LIG Tier 1 equilibrium simulation to simulate the climate response at 127 ka, a time interval associated with a strong orbital forcing and greenhouse gas concentrations close to preindustrial levels and (2) associated Tier 2 sensitivity experiments to examine the role of the ocean, vegetation and dust feedbacks in modulating the response to this orbital forcing. Evaluating the capability of the CMIP6/PMIP4 models to reproduce the 127 ka polar and sub-polar climate will require appropriate data-based benchmarks which are currently missing. Based on a recent data synthesis that offers the first spatio-temporal representation of high-latitude (i.e. poleward of 40 degrees N and 40 degrees S) surface temperature evolution during the LIG, we produce a new 126-128 ka time slab, hereafter named 127 ka time slice. This 127 ka time slice represents surface temperature anomalies relative to preindustrial and is associated with quantitative estimates of the uncertainties related to relative dating and surface temperature reconstruction methods. It illustrates warmer-than-preindustrial conditions in the high-latitude regions of both hemispheres. In particular, summer sea surface temperatures (SST) in the North Atlantic region were on average 1.1 degrees C (with a standard error of the mean of 0.7 degrees C) warmer relative to preindustrial and 1.8 degrees C (with a standard error of the mean of 0.8 degrees C) in the Southern Ocean. In Antarctica, average 127 ka annual surface air temperature was 2.2 degrees C (with a standard error of the mean of 1.4 degrees C) warmer compared to preindustrial. We provide a critical evaluation of the latest LIG surface climate compilations that are available for evaluating LIG climate model experiments. We discuss in particular our new 127 ka time-slice in the context of existing LIG surface temperature time-slices. We also compare the 127 ka time slice with the ones published for the 125 and 130 ka time intervals and we discuss the potential and limits of a data based time slice at 127 ka in the context of the upcoming coordinated modeling exercise. Finally we provide guidance on the use of the available LIG climate compilations for future model-data comparison exercises in the framework of the upcoming CMIP6/PMIP4 127 ka experiments. We do not recommend the use of LIG peak warmth-centered syntheses. Instead we promote the use of the most recent syntheses that are based on coherent chronologies between paleoclimatic records and provide spatiotemporal reconstruction of the LIG climate. In particular, we recommend using our new 127 ka data based time slice in model-data comparison studies with a focus on the high-latitude climate. (C) 2017 Elsevier Ltd. All rights reserved.</t>
  </si>
  <si>
    <t>[Capron, E.] Univ Copenhagen, Ctr Ice &amp; Climate, Niels Bohr Inst, Juliane Maries Vej 30, DK-2900 Copenhagen, Denmark; [Capron, E.] British Antarctic Survey, Madingley Rd, Cambridge CB3 0ET, England; [Govin, A.] Univ Paris Saclay, LSCE IPSL, Lab Sci Climat &amp; Environm, CEA,CNRS,UVSQ, F-91190 Gif Sur Yvette, France; [Feng, R.; Otto-Bliesner, B. L.] NCAR, Climate &amp; Global Dynam Lab, Boulder, CO 80305 USA; [Wolff, E. W.] Univ Cambridge, Dept Earth Sci, Cambridge CB2 3EQ, England</t>
  </si>
  <si>
    <t>University of Copenhagen; Niels Bohr Institute; UK Research &amp; Innovation (UKRI); Natural Environment Research Council (NERC); NERC British Antarctic Survey; Universite Paris Saclay; Universite Paris Cite; CEA; Centre National de la Recherche Scientifique (CNRS); National Center Atmospheric Research (NCAR) - USA; University of Cambridge</t>
  </si>
  <si>
    <t>Capron, E (corresponding author), Univ Copenhagen, Ctr Ice &amp; Climate, Niels Bohr Inst, Juliane Maries Vej 30, DK-2900 Copenhagen, Denmark.</t>
  </si>
  <si>
    <t>capron@nbi.ku.dk</t>
  </si>
  <si>
    <t>Otto-Bliesner, Bette/AAY-7691-2020; Capron, Emilie/ITU-2672-2023; Wolff, Eric W/D-7925-2014; IPO, PAGES/JXY-7546-2024; Govin, Aline/E-6354-2013</t>
  </si>
  <si>
    <t>Wolff, Eric W/0000-0002-5914-8531; Govin, Alexandre/0000-0001-7180-5867; Capron, Emilie/0000-0003-0784-1884; Govin, Aline/0000-0001-8512-5571</t>
  </si>
  <si>
    <t>European Union's Seventh Framework Programme for research and innovation under the Marie Sklodowska-Curie grant [600207]; U.S. National Science Foundation (NSF) sponsorship of NCAR; NSF Arctic System Science; Royal Society; NERC [bas0100034, NE/I009639/1] Funding Source: UKRI; Natural Environment Research Council [bas0100034, NE/I009639/1] Funding Source: researchfish</t>
  </si>
  <si>
    <t>European Union's Seventh Framework Programme for research and innovation under the Marie Sklodowska-Curie grant(Marie Curie Actions); U.S. National Science Foundation (NSF) sponsorship of NCAR(National Science Foundation (NSF)); NSF Arctic System Science(National Science Foundation (NSF)); Royal Society(Royal Society); NERC(UK Research &amp; Innovation (UKRI)Natural Environment Research Council (NERC)); Natural Environment Research Council(UK Research &amp; Innovation (UKRI)Natural Environment Research Council (NERC))</t>
  </si>
  <si>
    <t>We are grateful to members of the PAGES/PMIP Working Group on Quaternary Interglacials (QUIGS) and we thank in particular all participants of the Warm Extremes Workshop (November, 9-12th 2015, Cambridge, UK) for stimulating discussions. We also thank Anais Orsi for useful discussions regarding ice core temperature reconstructions. This work is a contribution to the PAGES/PMIP Working Group on Quaternary Interglacials (QUIGS). E. C. is funded by the European Union's Seventh Framework Programme for research and innovation under the Marie Sklodowska-Curie grant agreement no 600207. B. L O-B is supported by the U.S. National Science Foundation (NSF) sponsorship of NCAR. R. F. acknowledges the funding of the NSF Arctic System Science. E.W.W. is supported by the Royal Society. This is LSCE contribution no 6117.</t>
  </si>
  <si>
    <t>10.1016/j.quascirev.2017.04.019</t>
  </si>
  <si>
    <t>Green Submitted, Green Published, hybrid, Green Accepted</t>
  </si>
  <si>
    <t>WOS:000404311500010</t>
  </si>
  <si>
    <t>Zekollari, H; Lecavalier, BS; Huybrechts, P</t>
  </si>
  <si>
    <t>Zekollari, Harry; Lecavalier, Benoit S.; Huybrechts, Philippe</t>
  </si>
  <si>
    <t>Holocene evolution of Hans Tausen Iskappe (Greenland) and implications for the palaeoclimatic evolution of the high Arctic</t>
  </si>
  <si>
    <t>Holocene; Glaciology; Greenland; Ice core; Ice cap; Numerical modelling; 3-D Ice Flow model; High Arctic; Palaeoclimate; Hans Tausen Iskappe</t>
  </si>
  <si>
    <t>ANTARCTIC ICE-SHEET; SEA-LEVEL; CLIMATE VARIABILITY; FJORD GLACIATIONS; IRD-DEPOSITION; FLOW MODEL; FLUCTUATIONS; GLACIERS; APPROXIMATION; MORTERATSCH</t>
  </si>
  <si>
    <t>In this study the Holocene evolution of Hans Tausen lskappe (Peary Land, North Greenland) is investigated. Constraints on the ice cap evolution are combined with climatic records in a numerical ice flow surface mass balance (SMB) model to better understand the palaeoenvironmental and climatic evolution of this region. Our simulations suggest that after disconnecting from the Greenland Ice Sheet (GrIS) the ice cap had roughly its present-day size and geometry around 9-8.5 ka BR During the Holocene Thermal Maximum (HTM) the southern part of the ice cap is modelled to collapse, while the northern part of the ice cap survived this warmer period. The late Holocene regrowth of the ice cap to its maximum Neoglacial extent at the end of the Little Ice Age (LIA) can be reproduced from the temperature reconstruction. The simulations suggest that over the last millennia the local precipitation may have been up to 70-80% higher than at present. By coupling the pre-industrial temperature forcing to a post-LIA warming trend, it is suggested that the warming between the end of the LIA and the period 1961-1990 was between 1 and 2 degrees C. In all experiments the ice flow model complexity and horizontal resolution have only a minor effect on the long-term evolution of the ice cap. We further conclude that the glacial isostatic adjustment has a significant effect on the modelled Holocene ice cap evolution. This suggests that modelling studies of millennial-scale ice cap evolution should focus on SMB and boundary conditions, rather than on complex ice dynamics. (C) 2017 Elsevier Ltd. All rights reserved.</t>
  </si>
  <si>
    <t>[Zekollari, Harry; Huybrechts, Philippe] Vrije Univ Brussel, Earth Syst Sci, Brussels, Belgium; [Zekollari, Harry; Huybrechts, Philippe] Vrije Univ Brussel, Dept Geog, Brussels, Belgium; [Zekollari, Harry] ETH, Lab Hydraul Hydrol &amp; Glaciol VAW, Zurich, Switzerland; [Lecavalier, Benoit S.] Mem Univ Newfoundland, Dept Phys &amp; Phys Oceanog, St John, NF, Canada</t>
  </si>
  <si>
    <t>Vrije Universiteit Brussel; Vrije Universiteit Brussel; Swiss Federal Institutes of Technology Domain; ETH Zurich; Memorial University Newfoundland</t>
  </si>
  <si>
    <t>Zekollari, H (corresponding author), Vrije Univ Brussel, Earth Syst Sci, Brussels, Belgium.;Zekollari, H (corresponding author), Vrije Univ Brussel, Dept Geog, Brussels, Belgium.</t>
  </si>
  <si>
    <t>harry.zekollari@vub.be</t>
  </si>
  <si>
    <t>; Huybrechts, Philippe/J-5278-2013</t>
  </si>
  <si>
    <t>Zekollari, Harry/0000-0002-7443-4034; Huybrechts, Philippe/0000-0003-1406-0525</t>
  </si>
  <si>
    <t>Research Foundation Flanders (FWO-Vlaanderen)</t>
  </si>
  <si>
    <t>Research Foundation Flanders (FWO-Vlaanderen)(FWO)</t>
  </si>
  <si>
    <t>We thank A.P. Ahlstrom, C. Hvidberg, H. Machguth and A.M. Solgaard for their help in retrieving documentation from the Hans Tausen expeditions in the 1990s. The manuscript greatly benefited from comments by Nicolaj K. Larsen and an anonymous reviewer. H. Zekollari holds a PhD fellowship of the Research Foundation Flanders (FWO-Vlaanderen).</t>
  </si>
  <si>
    <t>10.1016/j.quascirev.2017.05.010</t>
  </si>
  <si>
    <t>WOS:000404311500012</t>
  </si>
  <si>
    <t>Doughty, AM; Mackintosh, AN; Anderson, BM; Dadic, R; Putnam, AE; Barrell, DJA; Denton, GH; Chinn, TJH; Schaefer, JM</t>
  </si>
  <si>
    <t>Doughty, Alice M.; Mackintosh, Andrew N.; Anderson, Brian M.; Dadic, Ruzica; Putnam, Aaron E.; Barrell, David J. A.; Denton, George H.; Chinn, Trevor J. H.; Schaefer, Joerg M.</t>
  </si>
  <si>
    <t>An exercise in glacier length modeling: Interannual climatic variability alone cannot explain Holocene glacier fluctuations in New Zealand</t>
  </si>
  <si>
    <t>Moraine; interannual variability; glacier model; glacier sensitivity; mass balance variability; paleoclimate</t>
  </si>
  <si>
    <t>SOUTHERN ALPS; TEMPERATURE; SENSITIVITY</t>
  </si>
  <si>
    <t>Recent model studies suggest that interannual climatic variability could be confounding the interpretation of glacier fluctuations as climate signals. Paleoclimate interpretations of moraine positions and associated cosmogenic exposure ages may have large uncertainties if the glacier in question was sensitive to interannual variability. Here we address the potential for interannual temperature and precipitation variability to cause large shifts in glacier length during the Holocene. Using a coupled ice-flow and mass balance model, we simulate the response of Cameron Glacier, a small mountain glacier in New Zealand's Southern Alps, to two types of climate forcing: equilibrium climate and variable climate. Our equilibrium results suggest a net warming trend from the Early Holocene (10.69 +/- 0.41 ka; 2.7 degrees C cooler than present) to the Late Holocene (CE 1864; 1.3 degrees C cooler than present). Interannual climatic variability cannot account for the Holocene glacier fluctuations in this valley. Future studies should consider local environmental characteristics, such as a glacier's climatic setting and topography, to determine the magnitude of glacier length changes caused by interannual variability. (C) 2017 Elsevier B.V. All rights reserved.</t>
  </si>
  <si>
    <t>[Doughty, Alice M.; Mackintosh, Andrew N.; Anderson, Brian M.; Dadic, Ruzica] Victoria Univ Wellington, Antarctic Res Ctr, POB 600, Wellington 6140, New Zealand; [Putnam, Aaron E.; Denton, George H.] Univ Maine, Dept Earth Sci, Orono, ME 04469 USA; [Putnam, Aaron E.; Denton, George H.] Univ Maine, Climate Change Inst, Orono, ME 04469 USA; [Barrell, David J. A.] GNS Sci, 764 Cumberland St, Dunedin 9054, New Zealand; [Chinn, Trevor J. H.] Lake Hawea RD2, 20 Muir Rd, Wanaka 9192, New Zealand; [Schaefer, Joerg M.] Lamont Doherty Earth Observ, Geochem, Palisades, NY 10964 USA; [Schaefer, Joerg M.] Columbia Univ, Dept Earth Sci, New York, NY 10027 USA</t>
  </si>
  <si>
    <t>Victoria University Wellington; University of Maine System; University of Maine Orono; University of Maine System; University of Maine Orono; GNS Science - New Zealand; Columbia University; Columbia University</t>
  </si>
  <si>
    <t>Doughty, AM (corresponding author), Dept Earth Sci, HB6105 Fairchild Hall, Hanover, NH 03755 USA.</t>
  </si>
  <si>
    <t>alice.m.doughty@dartmouth.edu</t>
  </si>
  <si>
    <t>Dadic, Ruzica/O-4458-2019</t>
  </si>
  <si>
    <t>Putnam, Aaron/0000-0002-5358-1473; Dadic, Ruzica/0000-0003-1303-1896; Mackintosh, Andrew/0000-0002-6430-4711</t>
  </si>
  <si>
    <t>New Zealand Government under a New Zealand International Research Doctoral Scholarship; GNS Science 'Global Change through Time' program, Victoria University of Wellington; Comer Science and Education Foundation; National Oceanographic and Atmospheric Administration; National Science Foundation; NSF [EAR-0823521, EAR-0345835, EAR-1102782]</t>
  </si>
  <si>
    <t>New Zealand Government under a New Zealand International Research Doctoral Scholarship; GNS Science 'Global Change through Time' program, Victoria University of Wellington; Comer Science and Education Foundation; National Oceanographic and Atmospheric Administration(National Oceanic Atmospheric Admin (NOAA) - USA); National Science Foundation(National Science Foundation (NSF)); NSF(National Science Foundation (NSF))</t>
  </si>
  <si>
    <t>Funding was provided by the New Zealand Government under a New Zealand International Research Doctoral Scholarship and through the GNS Science 'Global Change through Time' program, Victoria University of Wellington, the Comer Science and Education Foundation, the National Oceanographic and Atmospheric Administration, and the National Science Foundation. J.M.S. acknowledges NSF support for this study (grants EAR-0823521 and EAR-0345835) and G.H.D. acknowledges NSF support (NSF award EAR-1102782). We thank S. Stuart for providing his Southern Alps precipitation surface, S. Gruber for providing his code for the avalanche model. We thank A. Malone, G. Roe, and two anonymous reviewers for their valuable comments. This publication is LDEO contribution number 8110.</t>
  </si>
  <si>
    <t>10.1016/j.epsl.2017.04.032</t>
  </si>
  <si>
    <t>EX0XR</t>
  </si>
  <si>
    <t>WOS:000402944600005</t>
  </si>
  <si>
    <t>Li, HJ; Fu, JJ; Pan, WX; Wang, P; Li, YM; Zhang, QH; Wang, YW; Zhang, AQ; Liang, Y; Jiang, GB</t>
  </si>
  <si>
    <t>Li, Huijuan; Fu, Jianjie; Pan, Wenxiao; Wang, Pu; Li, Yingming; Zhang, Qinghua; Wang, Yawei; Zhang, Aiqian; Liang, Yong; Jiang, Guibin</t>
  </si>
  <si>
    <t>Environmental behaviour of short-chain chlorinated paraffins in aquatic and terrestrial ecosystems of Ny-Alesund and London Island, Svalbard, in the Arctic</t>
  </si>
  <si>
    <t>Short-chain chlorinated paraffins (SCCPs); Arctic; Long-range transport; Biomagnification; Bioaccumulation</t>
  </si>
  <si>
    <t>DIETARY ACCUMULATION; TROPHIC TRANSFER; POLYCHLORINATED-BIPHENYLS; FILDES PENINSULA; FLAME RETARDANTS; CHINESE BOHAI; FOOD-WEB; BIOACCUMULATION; ALKANES; FATE</t>
  </si>
  <si>
    <t>The environmental behaviour of short-chain chlorinated paraffins (SCCPs) was investigated in both aquatic and terrestrial ecosystems in the Arctic. The mean concentrations of SCCPs in the aquatic and terrestrial samples were 178.9 ng/g dry weight (dw) and 1572 ng/g dw, respectively. Short carbon chain (C-10) and less-chlorinated (CI6) congener groups were predominant in the Arctic samples, accounting for 48.6% and 34.8% of the total SCCPs, respectively. The enrichment of lighter SCCP congener groups (i.e., fewer chlorine atoms with shorter carbon chain lengths) indicated that the fractionation process occurred during long-range transport The biomagnification factor (BMF) was 0.46 from gammarid to cod, which indicated that the SCCPs did not biomagnify between these two species. The soil-vegetation bioaccumulation factor (BAF) of SCCPs was 29.9, and C-13 and C-17,(8) congener groups tended to accumulate in the terrestrial vegetation. Regression analysis (BAFs = 10.9 x #C + 5.6 x #CI - 125.2, R = 0.53, P &lt; 0.01) showed that the number of carbon and chlorine atoms influenced the bioaccumulative behaviour of SCCPs and suggested that the number of carbon atoms had a greater influence on the BAFs of SCCPs in the terrestrial ecosystem than did the number of chlorine atoms. (C) 2017 Elsevier B.V. All rights reserved.</t>
  </si>
  <si>
    <t>[Li, Huijuan; Fu, Jianjie; Pan, Wenxiao; Wang, Pu; Li, Yingming; Zhang, Qinghua; Wang, Yawei; Zhang, Aiqian; Jiang, Guibin] Chinese Acad Sci, Res Ctr Ecoenvironm Sci, State Key Lab Environm Chem &amp; Ecotoxicol, Beijing 100085, Peoples R China; [Li, Huijuan; Liang, Yong] Univ Chinese Acad Sci, Coll Resources &amp; Environm, Beijing 100049, Peoples R China; [Zhang, Aiqian; Liang, Yong] Jianghan Univ, Inst Environm &amp; Hlth, Wuhan 430056, Peoples R China</t>
  </si>
  <si>
    <t>Chinese Academy of Sciences; Research Center for Eco-Environmental Sciences (RCEES); Chinese Academy of Sciences; University of Chinese Academy of Sciences, CAS; Jianghan University</t>
  </si>
  <si>
    <t>Fu, JJ; Zhang, AQ (corresponding author), Chinese Acad Sci, Res Ctr Ecoenvironm Sci, Beijing 100085, Peoples R China.</t>
  </si>
  <si>
    <t>jjfu@rcees.ac.cn; aqzhang@rcees.ac.cn</t>
  </si>
  <si>
    <t>liu, jiajia/IUN-0901-2023; zhang, qinghua/HMP-3611-2023; li, jiawei/HOA-5023-2023; liu, jia/HKE-9796-2023; liu, yuchen/GYQ-6286-2022; Wang, Yawei/C-5628-2015; ZHANG, XUCHEN/KBB-7989-2024; Liang, Yong/AAB-3942-2021; liu, jiayu/JCP-0511-2023; Liu, Jiayu/JCO-5073-2023; Li, JW/HNC-1743-2023; Wang, Ling/AGR-4917-2022; Yu, Chongxiu/KDM-7354-2024; Li, Chun/KBC-9591-2024; Fu, Jianjie/ABI-2640-2020; liu, jiajia/ISS-0316-2023; liu, jia/JAC-7852-2023; Yu, Kun/IAP-9807-2023</t>
  </si>
  <si>
    <t>zhang, qinghua/0000-0002-9707-4051; Wang, Yawei/0000-0002-5300-7121; Wang, Ling/0000-0003-0272-2974; Yu, Chongxiu/0000-0002-8221-6221;</t>
  </si>
  <si>
    <t>Chinese Academy of Sciences [XDB14030500]; National Natural Science Foundation of China [21677168, 21625702, 21277164, 41276195, 21477154]; Chinese Arctic and Antarctic Ministration, the State Oceanic Administration, P.R. China</t>
  </si>
  <si>
    <t>Chinese Academy of Sciences(Chinese Academy of Sciences); National Natural Science Foundation of China(National Natural Science Foundation of China (NSFC)); Chinese Arctic and Antarctic Ministration, the State Oceanic Administration, P.R. China</t>
  </si>
  <si>
    <t>This study was jointly supported by the Chinese Academy of Sciences, Grant No. XDB14030500, and the National Natural Science Foundation of China (21677168, 21625702, 21277164, 41276195, 21477154), and Chinese Arctic and Antarctic Ministration, the State Oceanic Administration, P.R. China.</t>
  </si>
  <si>
    <t>10.1016/j.scitotenv.2017.02.192</t>
  </si>
  <si>
    <t>ES4NK</t>
  </si>
  <si>
    <t>WOS:000399511800016</t>
  </si>
  <si>
    <t>Alvarez, LMM; Ruberto, LAM; Lo Balbo, A; Mac Cormack, WP</t>
  </si>
  <si>
    <t>Martinez Alvarez, L. M.; Ruberto, L. A. M.; Lo Balbo, A.; Mac Cormack, W. P.</t>
  </si>
  <si>
    <t>Bioremediation of hydrocarbon-contaminated soils in cold regions: Development of a pre-optimized biostimulation biopile-scale field assay in Antarctica</t>
  </si>
  <si>
    <t>Potter cove; Geomembrane; Antarctic soils; Response-surface methodology; Soil pollution, diesel contamination</t>
  </si>
  <si>
    <t>ARCTIC TUNDRA SOILS; FUEL SPILLS; BIODEGRADATION; TEMPERATURE; DEGRADATION; BIOAUGMENTATION; EVAPORATION; NUTRIENTS; SEDIMENTS; SLUDGE</t>
  </si>
  <si>
    <t>Bioremediation proved to be an effective approach to deal with soil contamination, especially in isolated, cold environments such as Antarctica. Biostimulation, involving the addition of macronutrients -mainly nitrogen and phosphorous-is considered the simplest and cheapest bioremediation process. Optimizing the levels of these nutrients is a key step prior to the application of a biostimulation strategy. In this work, N and P levels, optimized by Response Surface Methodology (RSM) at lab-scale, were applied to an Antarctic hydrocarbon contaminated soil. The process was performed on-site, using high density polyethylene geomembranes (800 mu m) to isolate treated soil from the surroundings and under environmental conditions at Carlini station (Antarctica) during 50 days. Two 0.5 ton biopiles were used as experimental units; a control biopile (CC), and a biostimulated system (BS), amended with N and P. At the end of the assay, hydrocarbon removal was significantly higher in BS system compared to CC ( 75.79% and 49.54% respectively), showing that the applied strategy was effective enough to perform a field-assay in Antarctica that significantly reduce soil contamination levels; and proving that RSM represents a fundamental tool for the optimization of nutrient levels to apply during bioremediation of fuel contaminated cold soils. (C) 2017 Elsevier B.V. All rights reserved.</t>
  </si>
  <si>
    <t>[Martinez Alvarez, L. M.; Ruberto, L. A. M.; Mac Cormack, W. P.] Inst Antartico Argentina, Ave 25 Mayo 1143,C1064AAF, San Martin, Argentina; [Martinez Alvarez, L. M.; Ruberto, L. A. M.; Lo Balbo, A.; Mac Cormack, W. P.] Univ Buenos Aires, Inst Nanobiotecnol, CONICET, Junin 956 6to Piso,C1113AAD, Caba, Argentina; [Ruberto, L. A. M.] Consejo Nacl Invest Cient &amp; Tecn, Ave Rivadavia 1917,C1033AAJ, Caba, Argentina</t>
  </si>
  <si>
    <t>Instituto Antartico Argentino; University of Buenos Aires; Consejo Nacional de Investigaciones Cientificas y Tecnicas (CONICET); Consejo Nacional de Investigaciones Cientificas y Tecnicas (CONICET)</t>
  </si>
  <si>
    <t>Alvarez, LMM (corresponding author), Inst Antartico Argentina, Ave 25 Mayo 1143,C1064AAF, San Martin, Argentina.</t>
  </si>
  <si>
    <t>lmartinez@ffyb.uba.ar</t>
  </si>
  <si>
    <t>Martinez Alvarez, Lucas/0000-0002-9418-7501; Mac Cormack, Walter/0000-0002-5280-5463; Ruberto, Lucas Adolfo Mauro/0000-0001-5604-772X</t>
  </si>
  <si>
    <t>Agencia Nacional de Promocion Cientifica y Tecnologica (ANPCyT) [PICTO 2010-0124]; Universidad de Buenos Aires [UBA 20020100100378]; European Commission [318718]</t>
  </si>
  <si>
    <t>Agencia Nacional de Promocion Cientifica y Tecnologica (ANPCyT)(ANPCyTSpanish Government); Universidad de Buenos Aires(University of Buenos Aires); European Commission(European Union (EU)European Commission Joint Research Centre)</t>
  </si>
  <si>
    <t>We thank Cecilia Ferreiro for improving the English. This research was carried out under an agreement between the Institute Antartico Argentino and the Facultad de Farmacia y Bioquimica of the Universidad de Buenos Aires, Argentina. We gratefully acknowledge grants PICTO 2010-0124 from the Agencia Nacional de Promocion Cientifica y Tecnologica (ANPCyT) and UBA 20020100100378 from Universidad de Buenos Aires. We also received financial support from the European Commission through the Marie Curie Action IRSES, project no 318718, IMCONet (Interdisciplinary Modeling of Climate Change in Coastal Western Antarctica -Network for Staff Exchange and Training).</t>
  </si>
  <si>
    <t>10.1016/j.scitotenv.2017.02.204</t>
  </si>
  <si>
    <t>WOS:000399511800020</t>
  </si>
  <si>
    <t>Henríquez, WI; Villa-Martínez, R; Vilanova, I; De Pol-Holz, R; Moreno, PI</t>
  </si>
  <si>
    <t>Henriquez, William I.; Villa-Martinez, Rodrigo; Vilanova, Isabel; De Pol-Holz, Ricardo; Moreno, Patricio I.</t>
  </si>
  <si>
    <t>The last glacial termination on the eastern flank of the central Patagonian Andes (47° S)</t>
  </si>
  <si>
    <t>ANTARCTIC COLD REVERSAL; PUERTO-BANDERA MORAINES; LAURENTIDE ICE-SHEET; RADIOCARBON CHRONOLOGY; SOUTHERN CHILE; POSTGLACIAL VEGETATION; NORTHWESTERN PATAGONIA; SOUTHWESTERN PATAGONIA; LAGO-ARGENTINO; CLIMATE-CHANGE</t>
  </si>
  <si>
    <t>Few studies have examined in detail the sequence of events during the last glacial termination (T1) in the core sector of the Patagonian Ice Sheet (PIS), the largest ice mass in the Southern Hemisphere outside of Antarctica. Here we report results from Lago Edita (47 degrees 8' S, 72 degrees 25' W, 570ma.s.l.), a small closed-basin lake located in a valley overridden by eastward-flowing Andean glaciers during the Last Glacial Maximum (LGM). The Lago Edita record shows glaciolacustrine sedimentation until 19 400 yr BP, followed by organic sedimentation in a closed-basin lake and a mosaic of cold-resistant hygrophilous conifers and rainforest trees, along with alpine herbs between 19 400 and 11 000 yr BP. Our data suggest that the PIS retreated at least similar to 90 km from its LGM limit between similar to 21 000 and 19 400 yr BP and that scattered, low-density populations of cold-resistant hygrophilous conifers, rainforest trees, high-Andean and steppe herbs thrived east of the Andes during the LGM and T1, implying high precipitation levels and southern westerly wind (SWW) influence at 47 degrees S. The conifer Podocarpus nubigena increased between 14 500 and 13 000 yr BP, suggesting even stronger SWW influence during the Antarctic Cold Reversal, after which it declined and persisted until 11 000 yr BP. Large increases in arboreal pollen at similar to 13 000 and similar to 11 000 yr BP led to the establishment of forests near Lago Edita between 10 000 and 9000 yr BP, suggesting a rise in the regional tree line along the eastern Andean slopes driven by warming pulses at similar to 13 000 and similar to 11 000 yr BP and a subsequent decline in SWW influence at similar to 11 000 yr BP. We propose that the PIS imposed a regional cooling signal along its eastern, downwind margin through T1 that lasted until the separation of the northern and southern Patagonian ice fields along the Andes during the Younger Dryas period. We posit that the withdrawal of glacial and associated glaciolacustrine environments through T1 provided a route for the dispersal of hygrophilous trees and herbs from the eastern flank of the central Patagonian Andes, contributing to the afforestation of the western Andean slopes and pacific coasts of central Patagonia during T1.</t>
  </si>
  <si>
    <t>[Henriquez, William I.] Victoria Univ Wellington, Wellington, New Zealand; [Henriquez, William I.; Moreno, Patricio I.] Univ Chile, Dept Ciencias Ecol, Inst Ecol &amp; Biodiversidad, Casilla 653, Santiago, Chile; [Villa-Martinez, Rodrigo; De Pol-Holz, Ricardo] Univ Magallanes, GAIA Antartica, Avda Bulnes 01855, Punta Arenas, Chile; [Vilanova, Isabel] Museo Argentino Ciencias Nat Bernardino Rivadavia, Avda Angel Gallardo 470, Buenos Aires, DF, Argentina</t>
  </si>
  <si>
    <t>Victoria University Wellington; Universidad de Chile; Universidad de Magallanes; Museo Argentino de Ciencias Naturales Bernardino Rivadavia (MACN)</t>
  </si>
  <si>
    <t>Moreno, PI (corresponding author), Univ Chile, Dept Ciencias Ecol, Inst Ecol &amp; Biodiversidad, Casilla 653, Santiago, Chile.</t>
  </si>
  <si>
    <t>pimoreno@uchile.cl</t>
  </si>
  <si>
    <t>Villa, Rodrigo/F-5737-2014; De Pol-Holz, Ricardo/E-3740-2013; Moreno, Patricio/D-2317-2012</t>
  </si>
  <si>
    <t>Villa, Rodrigo/0000-0001-6041-4393; De Pol-Holz, Ricardo/0000-0002-3281-8232; Moreno, Patricio/0000-0002-1333-6238</t>
  </si>
  <si>
    <t>Fondecyt [1080485, 1121141, 1151469]; ICM [P05-002, NC120066]; CONICYT</t>
  </si>
  <si>
    <t>Fondecyt(Comision Nacional de Investigacion Cientifica y Tecnologica (CONICYT)CONICYT FONDECYT); ICM; CONICYT(Comision Nacional de Investigacion Cientifica y Tecnologica (CONICYT))</t>
  </si>
  <si>
    <t>This study was funded by Fondecyt nos. 1080485, 1121141 and 1151469; ICM grants P05-002 and NC120066; and a CONICYT MSc Scholarship to William I. Henriquez. We thank Esteban A. Sagredo, Oscar H. Pesce, Enzo Simi, and Ignacio Jara for assistance during field work and Keith D. Bennett and Simon Haberle for sharing published palynological data. We thank Cristian Saucedo from Agencia de Conservacion Patagonica for permission to work and collect samples in Hacienda Valle Chacabuco (Parque Patagonia). We thank the editor and the three anonymous reviewers for their constructive comments on early versions of this paper.</t>
  </si>
  <si>
    <t>JUL 14</t>
  </si>
  <si>
    <t>10.5194/cp-13-879-2017</t>
  </si>
  <si>
    <t>FA7JX</t>
  </si>
  <si>
    <t>WOS:000405624100001</t>
  </si>
  <si>
    <t>Cantero, ALP</t>
  </si>
  <si>
    <t>PenaCantero, Alvaro L.</t>
  </si>
  <si>
    <t>Benthic hydroids (Cnidaria, Hydrozoa) from the Ross Sea (Antarctica) collected by the New Zealand Antarctic expedition BioRoss 2004 with RV Tangaroa</t>
  </si>
  <si>
    <t>Southern Ocean; Biodiversity; Continental shelf; New species; New records; Checklist</t>
  </si>
  <si>
    <t>GENUS SCHIZOTRICHA ALLMAN; ISLAND SOUTHERN-OCEAN; TERRA-NOVA BAY; OSWALDELLA STECHOW; HYDRACTINIA-ANGUSTA; STAUROTHECA ALLMAN; R.V. POLARSTERN; SERTULARIIDAE; KIRCHENPAUERIIDAE; REDESCRIPTION</t>
  </si>
  <si>
    <t>During the New Zealand BioRoss 2004 survey, with RV Tangaroa, sampling of marine communities on the Ross Sea shelf was undertaken. Samples were obtained employing several sampling gears (Van Veen grab, epibenthic sled, rough bottom trawl, and beam trawl). Among the numerous benthic samples obtained, a large and important collection of hydroids was present. Sixty-one species, four of them new to science (Monocoryne antarctica sp. nov., Halecium tangaroa sp. nov., Staurotheca gracilis sp. nov. and Symplectoscyphus densus sp. nov.) have been recorded. Oswaldella blanconae sp. nov. is also described. Anthoathecata are represented by ten species belonging to the families Bougainvilliidae, Candelabridae, Clathrozoellidae, Hydractiniidae, Eudendriidae and Tubulariidae. Leptothecata are dominant, with 51 species belonging to the families Campanulariidae, Campanulinidae, Lafoeidae, Haleciidae, Hebellidae, Kirchenpaueriidae, Schizotrichidae, Staurothecidae, Symplectoscyphidae and Zygophylacidae. Symplectoscyphidae is the richest family with 19 species (31%), followed by Staurothecidae with eight (13%) and Haleciidae with seven species (11%). At the generic level, Symplectoscyphus with 14 species (two of them identified only at the genus level), Staurotheca with eight species (one identified to genus level) and Halecium with seven species are the most speciose genera. Twenty-two species (including the four new species) constitute new records for the Ross Sea, thus raising the number of valid, known species of the area to 77.</t>
  </si>
  <si>
    <t>[PenaCantero, Alvaro L.] Univ Valencia, Dept Zool, Inst Cavanilles Biodiversidad &amp; Biol Evolut, Valencia, Spain</t>
  </si>
  <si>
    <t>Cantero, ALP (corresponding author), Univ Valencia, Dept Zool, Inst Cavanilles Biodiversidad &amp; Biol Evolut, Valencia, Spain.</t>
  </si>
  <si>
    <t>alvaro.l.pena@uv.es</t>
  </si>
  <si>
    <t>Pena Cantero, Alvaro/0000-0003-3056-6673</t>
  </si>
  <si>
    <t>former New Zealand Ministry of Fisheries</t>
  </si>
  <si>
    <t>I thank Dr. Anne-Nina Loorz and Dr. Ashley Rowden, National Institute of Water &amp; Atmospheric Research (NIWA), for giving me the opportunity to study the BioRoss material. I also thank Sadie Mills and Dr. Kareen Schnabel, from the same institution, for their help with different aspects related to the collection. Samples were provided by the NIWA Invertebrate Collection from a biodiversity survey of the western Ross Sea and Balleny Islands in 2004 undertaken by the National Institute of Water &amp; Atmospheric Research and financed by the former New Zealand Ministry of Fisheries.</t>
  </si>
  <si>
    <t>10.11646/zootaxa.4293.1.1</t>
  </si>
  <si>
    <t>FA3VA</t>
  </si>
  <si>
    <t>WOS:000405371300001</t>
  </si>
  <si>
    <t>Hara, K; Matoba, S; Hirabayashi, M; Yamasaki, T</t>
  </si>
  <si>
    <t>Hara, Keiichiro; Matoba, Sumito; Hirabayashi, Motohiro; Yamasaki, Tetsuhide</t>
  </si>
  <si>
    <t>Frost flowers and sea-salt aerosols over seasonal sea-ice areas in northwestern Greenland during winter-spring</t>
  </si>
  <si>
    <t>TRANSIENT ISOTACHOPHORETIC PRECONCENTRATION; ION CHROMATOGRAPHY; CAPILLARY-ELECTROPHORESIS; VERTICAL VARIATIONS; ANTARCTIC REGIONS; OZONE DESTRUCTION; BOUNDARY-LAYER; POLAR SUNRISE; SYOWA STATION; SEAWATER</t>
  </si>
  <si>
    <t>Sea salts and halogens in aerosols, frost flowers, and brine play an important role in atmospheric chemistry in polar regions. Simultaneous sampling and observations of frost flowers, brine, and aerosol particles were conducted around Siorapaluk in northwestern Greenland during December 2013 to March 2014. Results show that water-soluble frost flower and brine components are sea-salt components (e.g., Na+, Cl-, Mg2+, K+, Ca2+, Br-, and iodine). Concentration factors of sea-salt components of frost flowers and brine relative to seawater were 1.14-3.67. Sea-salt enrichment of Mg2+, K+, Ca2+, and halogens (Cl-, Br-, and iodine) in frost flowers is associated with sea-salt fractionation by precipitation of mirabilite and hydrohalite. High aerosol number concentrations correspond to the occurrence of higher abundance of sea-salt particles in both coarse and fine modes, and blowing snow and strong winds. Aerosol number concentrations, particularly in coarse mode, are increased considerably by release from the sea-ice surface under strong wind conditions. Sulfate depletion by sea-salt fractionation was found to be limited in sea-salt aerosols because of the presence of non-sea-salt (NSS) SO42-. However, coarse and fine sea-salt particles were found to be rich in Mg. Strong Mg enrichment might be more likely to proceed in fine sea-salt particles. Magnesium-rich sea-salt particles might be released from the surface of snow and slush layer (brine) on sea ice and frost flowers. Mirabilite-like and ikaite-like particles were identified only in aerosol samples collected near new sea-ice areas. From the field evidence and results from earlier studies, we propose and describe sea-salt cycles in seasonal sea-ice areas.</t>
  </si>
  <si>
    <t>[Hara, Keiichiro] Fukuoka Univ, Dept Earth Syst Sci, Fac Sci, Fukuoka, Japan; [Matoba, Sumito] Hokkaido Univ, Inst Low Temp Sci, Sapporo, Hokkaido, Japan; [Hirabayashi, Motohiro] Natl Inst Polar Res, Tokyo, Japan; [Yamasaki, Tetsuhide] Avangnaq, Osaka, Japan</t>
  </si>
  <si>
    <t>Fukuoka University; Hokkaido University; Research Organization of Information &amp; Systems (ROIS); National Institute of Polar Research (NIPR) - Japan</t>
  </si>
  <si>
    <t>Hara, K (corresponding author), Fukuoka Univ, Dept Earth Syst Sci, Fac Sci, Fukuoka, Japan.</t>
  </si>
  <si>
    <t>harakei@fukuoka-u.ac.jp</t>
  </si>
  <si>
    <t>Matoba, Sumito/A-4073-2012; Hara, Keiichiro/N-8264-2018</t>
  </si>
  <si>
    <t>Matoba, Sumito/0000-0003-2214-4649; Hara, Keiichiro/0000-0001-7440-7776</t>
  </si>
  <si>
    <t>[25550018]; Grants-in-Aid for Scientific Research [16H01772] Funding Source: KAKEN</t>
  </si>
  <si>
    <t>; Grants-in-Aid for Scientific Research(Ministry of Education, Culture, Sports, Science and Technology, Japan (MEXT)Japan Society for the Promotion of ScienceGrants-in-Aid for Scientific Research (KAKENHI))</t>
  </si>
  <si>
    <t>We thank Ikuo Oshima and Siorapaluk residents for extremely useful comments and help related to operations on sea ice, sea-ice conditions, and the appearance of frost flowers. This study was supported by a Grant-in-Aid for Challenging Exploratory Research (PI: Keiichiro Hara, No. 25550018).</t>
  </si>
  <si>
    <t>10.5194/acp-17-8577-2017</t>
  </si>
  <si>
    <t>FA5FA</t>
  </si>
  <si>
    <t>WOS:000405466900001</t>
  </si>
  <si>
    <t>Pulschen, AA; Bendia, AG; Frícker, AD; Pellizari, VH; Galante, D; Rodrigues, F</t>
  </si>
  <si>
    <t>Pulschen, Andre A.; Bendia, Amanda G.; Fricker, Ashwana D.; Pellizari, Vivian H.; Galante, Douglas; Rodrigues, Fabio</t>
  </si>
  <si>
    <t>Isolation of Uncultured Bacteria from Antarctica Using Long Incubation Periods and Low Nutritional Media</t>
  </si>
  <si>
    <t>uncultured; Antarctica; Solirubrobacterales; Thermoleophilia; slow-growing bacteria</t>
  </si>
  <si>
    <t>GEN. NOV.; BACTERIOCHLOROPHYLL-A; MICROBIAL COMMUNITY; SOIL BACTERIA; PURE CULTURE; DRY VALLEYS; CULTIVATION; GROWTH; LIFE; MICROORGANISMS</t>
  </si>
  <si>
    <t>Uncultured microorganisms comprise most of the microbial diversity existing on our planet. Despite advances in environmental sequencing and single-cell genomics, indepth studies about bacterial metabolism and screening of novel bioproducts can only be assessed by culturing microbes in the laboratory. Here we report uncultured, or recalcitrant, microorganisms from an Antarctic soil sample, using relatively simple methods: oligotrophic media, extended incubation periods, observation under stereo microscopy, and selection of slow-growing bacteria. We managed to isolate several rare microorganisms belonging to infrequently isolated or recently described genera, for example Lapillicoccus, Flavitalea, Quadrisphaera, Motilibacter, and Polymorphobacter. Additionally, we obtained isolates presenting 16S rRNA sequence similarity ranging from 92.08 to 94.46% with any other known cultured species, including two distinct isolates from the class Thermoleophilia, that although common in Antarctic soils (as identified by metagenomics), was never reported to be isolated from such samples. Our data indicates that simple methods are still useful for cultivating recalcitrant microorganisms, even when dealing with samples from extreme environments.</t>
  </si>
  <si>
    <t>[Pulschen, Andre A.; Fricker, Ashwana D.] Univ Sao Paulo, Inst Quim, Butanta, Brazil; [Bendia, Amanda G.; Pellizari, Vivian H.] Univ Sao Paulo, Dept Oceanog Biol, Inst Oceanog, Butanta, Brazil; [Galante, Douglas] Ctr Nacl Pesquisa Energia &amp; Mat, Lab Nacl Luz Sincrotron, Campinas, SP, Brazil; [Rodrigues, Fabio] Univ Sao Paulo, Inst Quim, Dept Quim Fundamental, Butanta, Brazil</t>
  </si>
  <si>
    <t>Universidade de Sao Paulo; Universidade de Sao Paulo; Laboratorio Nacional de Luz Sincrotron (LNLS); Universidade de Sao Paulo</t>
  </si>
  <si>
    <t>Rodrigues, F (corresponding author), Univ Sao Paulo, Inst Quim, Dept Quim Fundamental, Butanta, Brazil.</t>
  </si>
  <si>
    <t>farod@iq.usp.br</t>
  </si>
  <si>
    <t>Galante, Douglas/G-8752-2011; Bendia, Amanda/AAD-2360-2021; Rodrigues, Fabio/D-2249-2017; Pellizari, Vivian/J-9153-2012</t>
  </si>
  <si>
    <t>Galante, Douglas/0000-0002-3265-2527; Bendia, Amanda/0000-0003-0042-8990; Rodrigues, Fabio/0000-0002-1422-5660; Arashiro Pulschen, Andre/0000-0002-0139-3737; Pellizari, Vivian/0000-0003-2757-6352</t>
  </si>
  <si>
    <t>Brazilian Astrobiology Research Unit (NAPAstrobio -PRP/ USP); CNPq -Proantar (Project Microsfera) [407816/2013-5]; CNPq - INCT - Criosfera projects; Sao Paulo Research Foundation - FAPESP [2012/23241-0]</t>
  </si>
  <si>
    <t>Brazilian Astrobiology Research Unit (NAPAstrobio -PRP/ USP); CNPq -Proantar (Project Microsfera)(Conselho Nacional de Desenvolvimento Cientifico e Tecnologico (CNPQ)Fundacao de Apoio a Pesquisa do Distrito Federal (FAPDF)); CNPq - INCT - Criosfera projects; Sao Paulo Research Foundation - FAPESP(Fundacao de Amparo a Pesquisa do Estado de Sao Paulo (FAPESP))</t>
  </si>
  <si>
    <t>We thank the Brazilian Astrobiology Research Unit (NAPAstrobio -PRP/ USP) for the infrastructure and financial support, the CNPq -Proantar (Project Microsfera - 407816/2013-5) and CNPq - INCT - Criosfera projects for financial and logistic support. AB received a Doctoral Fellowship from The Sao Paulo Research Foundation - FAPESP (Process number 2012/23241-0).</t>
  </si>
  <si>
    <t>10.3389/fmicb.2017.01346</t>
  </si>
  <si>
    <t>FB5CK</t>
  </si>
  <si>
    <t>WOS:000406158900001</t>
  </si>
  <si>
    <t>Oliver, ECJ; Benthuysen, JA; Bindoff, NL; Hobday, AJ; Holbrook, NJ; Mundy, CN; Perkins-Kirkpatrick, SE</t>
  </si>
  <si>
    <t>Oliver, Eric C. J.; Benthuysen, Jessica A.; Bindoff, Nathaniel L.; Hobday, Alistair J.; Holbrook, Neil J.; Mundy, Craig N.; Perkins-Kirkpatrick, Sarah E.</t>
  </si>
  <si>
    <t>The unprecedented 2015/16 Tasman Sea marine heatwave</t>
  </si>
  <si>
    <t>EAST AUSTRALIAN CURRENT; INTERANNUAL VARIABILITY; TEMPERATURE VARIABILITY; SOUTHERN OSCILLATION; WESTERN-AUSTRALIA; OCEAN; CLIMATE; SUMMER; SCALES; SHELF</t>
  </si>
  <si>
    <t>The Tasman Sea off southeast Australia exhibited its longest and most intense marine heatwave ever recorded in 2015/16. Here we report on several inter-related aspects of this event: observed characteristics, physical drivers, ecological impacts and the role of climate change. This marine heatwave lasted for 251 days reaching a maximum intensity of 2.9 degrees C above climatology. The anomalous warming is dominated by anomalous convergence of heat linked to the southward flowing East Australian Current. Ecosystem impacts range from new disease outbreaks in farmed shellfish, mortality of wild molluscs and out-of-range species observations. Global climate models indicate it is very likely to be that the occurrence of an extreme warming event of this duration or intensity in this region is respectively &gt;= 330 times and &gt;= 6.8 times as likely to be due to the influence of anthropogenic climate change. Climate projections indicate that event likelihoods will increase in the future, due to increasing anthropogenic influences.</t>
  </si>
  <si>
    <t>[Oliver, Eric C. J.; Bindoff, Nathaniel L.; Holbrook, Neil J.; Mundy, Craig N.] Univ Tasmania, Inst Marine &amp; Antarctic Studies, 20 Castray Esplanade,Battery Point, Hobart, Tas 7001, Australia; [Oliver, Eric C. J.; Bindoff, Nathaniel L.; Holbrook, Neil J.] Univ Tasmania, Australian Res Council, Ctr Excellence Climate Syst Sci, Private Bag 129, Hobart, Tas 7001, Australia; [Benthuysen, Jessica A.] Australian Inst Marine Sci, PMB 3,Townsville MC, Townsville, Qld 4810, Australia; [Bindoff, Nathaniel L.] Univ Tasmania, Antarctic &amp; Climate Ecosyst Cooperat Res Ctr, Private Bag 80, Hobart, Tas 7001, Australia; [Hobday, Alistair J.] CSIRO Oceans &amp; Atmosphere, Hobart, Tas 7000, Australia; [Perkins-Kirkpatrick, Sarah E.] Univ New South Wales, Climate Change Res Ctr, Gate 11 Bot St,Lib Walk,Level 4,Mathews Bldg, Sydney, NSW 2052, Australia; [Perkins-Kirkpatrick, Sarah E.] Univ New South Wales, Australian Res Council, Ctr Excellence Climate Syst Sci, Gate 11 Bot St,Lib Walk,Level 4,Mathews Bldg, Sydney, NSW 2052, Australia</t>
  </si>
  <si>
    <t>University of Tasmania; University of Tasmania; Australian Institute of Marine Science; University of Tasmania; Antarctic Climate &amp; Ecosystems Cooperative Research Centre (ACE CRC); Commonwealth Scientific &amp; Industrial Research Organisation (CSIRO); University of New South Wales Sydney; University of New South Wales Sydney</t>
  </si>
  <si>
    <t>Oliver, ECJ (corresponding author), Univ Tasmania, Inst Marine &amp; Antarctic Studies, 20 Castray Esplanade,Battery Point, Hobart, Tas 7001, Australia.;Oliver, ECJ (corresponding author), Univ Tasmania, Australian Res Council, Ctr Excellence Climate Syst Sci, Private Bag 129, Hobart, Tas 7001, Australia.</t>
  </si>
  <si>
    <t>eric.oliver@utas.edu.au</t>
  </si>
  <si>
    <t>Bindoff, Nathaniel Lee/IVV-0333-2023; Mundy, Craig/G-3390-2014; Perkins-Kirkpatrick, Sarah E/O-5042-2015; Bindoff, Nathaniel Lee/C-8050-2011; Hobday, Alistair/A-1460-2012; Holbrook, Neil/M-7544-2013; Oliver, Eric/G-5118-2014</t>
  </si>
  <si>
    <t>Bindoff, Nathaniel Lee/0000-0001-5662-9519; Mundy, Craig/0000-0002-1945-3750; Bindoff, Nathaniel Lee/0000-0001-5662-9519; Benthuysen, Jessica/0000-0001-7615-6587; Holbrook, Neil/0000-0002-3523-6254; Perkins-Kirkpatrick, Sarah/0000-0001-9443-4915; Oliver, Eric/0000-0002-4006-2826</t>
  </si>
  <si>
    <t>Australian Research Council (ARC) [CE110001028]; ARC [DE140100952]; ARC Centre of Excellence for Climate System Science (ARCCCS) [CE110001028]; National Environmental Science Programme (NESP) Earth Systems and Climate Change (ESCC) Hub Project [2.3, B0024391]; International Commission on Climate of IAMAS/ IUGG</t>
  </si>
  <si>
    <t>Australian Research Council (ARC)(Australian Research Council); ARC(Australian Research Council); ARC Centre of Excellence for Climate System Science (ARCCCS); National Environmental Science Programme (NESP) Earth Systems and Climate Change (ESCC) Hub Project; International Commission on Climate of IAMAS/ IUGG</t>
  </si>
  <si>
    <t>E.C.J.O. was supported by Australian Research Council (ARC) grant number CE110001028. S.E.P.-K. was supported by ARC grant number DE140100952. This study makes a contribution to the ARC Centre of Excellence for Climate System Science (ARCCCS; Grant number CE110001028), the National Environmental Science Programme (NESP) Earth Systems and Climate Change (ESCC) Hub Project 2.3 (Grant number B0024391) and the International Commission on Climate of IAMAS/ IUGG. Finally, we acknowledge and thank the reviewers (Fernando Lima, Daithi Stone and one anonymous): your comments led to significant improvements to this manuscript.</t>
  </si>
  <si>
    <t>10.1038/ncomms16101</t>
  </si>
  <si>
    <t>FA5ER</t>
  </si>
  <si>
    <t>WOS:000405466000001</t>
  </si>
  <si>
    <t>Bréant, C; Martinerie, P; Orsi, A; Arnaud, L; Landais, A</t>
  </si>
  <si>
    <t>Breant, Camille; Martinerie, Patricia; Orsi, Anais; Arnaud, Laurent; Landais, Amaelle</t>
  </si>
  <si>
    <t>Modelling firn thickness evolution during the last deglaciation: constraints on sensitivity to temperature and impurities</t>
  </si>
  <si>
    <t>VOSTOK ICE CORE; EPICA DOME-C; ANTARCTIC ICE; CHRONOLOGY AICC2012; ATMOSPHERIC CO2; AIRBORNE RADAR; AIR CONTENT; ACCUMULATION; DENSIFICATION; GREENLAND</t>
  </si>
  <si>
    <t>The transformation of snow into ice is a complex phenomenon that is difficult to model. Depending on surface temperature and accumulation rate, it may take several decades to millennia for air to be entrapped in ice. The air is thus always younger than the surrounding ice. The resulting gas-ice age difference is essential to documenting the phasing between CO2 and temperature changes, especially during deglaciations. The air trapping depth can be inferred in the past using a firn densification model, or using delta N-15 of air measured in ice cores. All firn densification models applied to deglaciations show a large disagreement with delta N-15 measurements at several sites in East Antarctica, predicting larger firn thickness during the Last Glacial Maximum, whereas delta N-15 suggests a reduced firn thickness compared to the Holocene. Here we present modifications of the LGGE firn densification model, which significantly reduce the model-data mismatch for the gas trapping depth evolution over the last deglaciation at the coldest sites in East Antarctica (Vostok, Dome C), while preserving the good agreement between measured and modelled modern firn density profiles. In particular, we introduce a dependency of the creep factor on temperature and impurities in the firn densification rate calculation. The temperature influence intends to reflect the dominance of different mechanisms for firn compaction at different temperatures. We show that both the new temperature parameterization and the influence of impurities contribute to the increased agreement between modelled and measured delta N-15 evolution during the last deglaciation at sites with low temperature and low accumulation rate, such as Dome C or Vostok. We find that a very low sensitivity of the densification rate to temperature has to be used in the coldest conditions. The inclusion of im-purity effects improves the agreement between modelled and measured delta N-15 at cold East Antarctic sites during the last deglaciation, but deteriorates the agreement between modelled and measured delta N-15 evolution at Greenland and Antarctic sites with high accumulation unless threshold effects are taken into account. We thus do not provide a definite solution to the firnification at very cold Antarctic sites but propose potential pathways for future studies.</t>
  </si>
  <si>
    <t>[Breant, Camille; Orsi, Anais; Landais, Amaelle] CEA CNRS UPS IPSL, Lab Sci Climat &amp; Environm, UMR8212, Gif Sur Yvette, France; [Breant, Camille; Martinerie, Patricia; Arnaud, Laurent] Univ Grenoble Alpes, CNRS, IRD, IGE,UMR 5001, F-38000 Grenoble, France</t>
  </si>
  <si>
    <t>CEA; Centre National de la Recherche Scientifique (CNRS); Universite Paris Saclay; CNRS - National Institute for Earth Sciences &amp; Astronomy (INSU); Centre National de la Recherche Scientifique (CNRS); CNRS - National Institute for Earth Sciences &amp; Astronomy (INSU); Institut de Recherche pour le Developpement (IRD); Communaute Universite Grenoble Alpes; Universite Grenoble Alpes (UGA)</t>
  </si>
  <si>
    <t>Bréant, C (corresponding author), CEA CNRS UPS IPSL, Lab Sci Climat &amp; Environm, UMR8212, Gif Sur Yvette, France.</t>
  </si>
  <si>
    <t>camille.breant@univ-grenoble-alpes.fr</t>
  </si>
  <si>
    <t>Martinerie, Patricia/N-5731-2017</t>
  </si>
  <si>
    <t>Martinerie, Patricia/0000-0002-6820-2296; Orsi, Anais/0000-0001-5511-3940; arnaud, laurent/0000-0002-4432-4205; LANDAIS, Amaelle/0000-0002-5620-5465</t>
  </si>
  <si>
    <t>INSU/CNRS LEFE project NEVE-CLIMAT; ERC COMBINISO [306045]; European Research Council (ERC) [306045] Funding Source: European Research Council (ERC)</t>
  </si>
  <si>
    <t>INSU/CNRS LEFE project NEVE-CLIMAT; ERC COMBINISO(European Research Council (ERC)); European Research Council (ERC)(European Research Council (ERC)Spanish Government)</t>
  </si>
  <si>
    <t>We thank Anders Svensson, Rob Arthern, Hans Christian Steen-Larsen, and Xiao Cunde for data sharing and Sarah Guilbaud for her work during her final internship study. Thanks to Pierre Badel, Maurine Montagnat, and Christophe Martin for insightful discussions about densification mechanisms. Thanks to Myriam Guillevic for her work on the densification model and helpful discussions. This work is supported by INSU/CNRS LEFE project NEVE-CLIMAT and the ERC COMBINISO 306045.</t>
  </si>
  <si>
    <t>JUL 13</t>
  </si>
  <si>
    <t>10.5194/cp-13-833-2017</t>
  </si>
  <si>
    <t>FA6AF</t>
  </si>
  <si>
    <t>WOS:000405525000001</t>
  </si>
  <si>
    <t>Romero, MA; Grandi, MF; Koen-Alonso, M; Svendsen, G; Reinaldo, MO; García, NA; Dans, SL; González, R; Crespo, EA</t>
  </si>
  <si>
    <t>Romero, M. A.; Grandi, M. F.; Koen-Alonso, M.; Svendsen, G.; Ocampo Reinaldo, M.; Garcia, N. A.; Dans, S. L.; Gonzalez, R.; Crespo, E. A.</t>
  </si>
  <si>
    <t>Analysing the natural population growth of a large marine mammal after a depletive harvest</t>
  </si>
  <si>
    <t>AMERICAN SEA LION; ANTARCTIC FUR-SEAL; OTARIA-FLAVESCENS; DENSITY-DEPENDENCE; BIODIVERSITY LOSS; PROCESS NOISE; MODELS; PATAGONIA; DYNAMICS; SIZE</t>
  </si>
  <si>
    <t>An understanding of the underlying processes and comprehensive history of population growth after a harvest-driven depletion is necessary when assessing the long-term effectiveness of management and conservation strategies. The South American sea lion (SASL), Otaria flavescens, is the most conspicuous marine mammal along the South American coasts, where it has been heavily exploited. As a consequence of this exploitation, many of its populations were decimated during the early 20th century but currently show a clear recovery. The aim of this study was to assess SASL population recovery by applying a Bayesian state-space modelling framework. We were particularly interested in understanding how the population responds at low densities, how human-induced mortality interplays with natural mechanisms, and how density-dependence may regulate population growth. The observed population trajectory of SASL shows a non-linear relationship with density, recovering with a maximum increase rate of 0.055. However, 50 years after hunting cessation, the population still represents only 40% of its pre-exploitation abundance. Considering that the SASL population in this region represents approximately 72% of the species abundance within the Atlantic Ocean, the present analysis provides insights into the potential mechanisms regulating the dynamics of SASL populations across the global distributional range of the species.</t>
  </si>
  <si>
    <t>[Romero, M. A.; Grandi, M. F.; Svendsen, G.; Ocampo Reinaldo, M.; Gonzalez, R.] Univ Nacl Comahue, Escuela Super Ciencias Marinas, Inst Biol Marina &amp; Pesquera Almirante Storni, San Martin 247, RA-8520 Oeste, RN, Argentina; [Romero, M. A.; Svendsen, G.; Ocampo Reinaldo, M.; Gonzalez, R.] Consejo Nacl Invest Cient &amp; Tecn CONICET, Buenos Aires, DF, Argentina; [Grandi, M. F.; Garcia, N. A.; Dans, S. L.; Crespo, E. A.] Ctr Estudio Sistemas Marinos CESIMAR CCT CENPAT C, Lab Mamiferos Marinos, Bvd Brown 2915, RA-9120 Puerto Madryn, Chubut, Argentina; [Koen-Alonso, M.] Fisheries &amp; Oceans Canada, Northwest Atlantic Fisheries Ctr, 80 East White Hills Rd, St John, NF A1C 5X1, Canada; [Dans, S. L.; Crespo, E. A.] Univ Nacl Patagonia San Juan Bosco, Bvd Brown 3051, RA-9120 Puerto Madryn, Chubut, Argentina</t>
  </si>
  <si>
    <t>Universidad Nacional del Comahue; Consejo Nacional de Investigaciones Cientificas y Tecnicas (CONICET); Fisheries &amp; Oceans Canada; Universidad Nacional de la Patagonia San Juan Bosco</t>
  </si>
  <si>
    <t>Romero, MA (corresponding author), Univ Nacl Comahue, Escuela Super Ciencias Marinas, Inst Biol Marina &amp; Pesquera Almirante Storni, San Martin 247, RA-8520 Oeste, RN, Argentina.;Romero, MA (corresponding author), Consejo Nacl Invest Cient &amp; Tecn CONICET, Buenos Aires, DF, Argentina.</t>
  </si>
  <si>
    <t>romero.ale@gmail.com</t>
  </si>
  <si>
    <t>Reinaldo, Matías Ocampo Ocampo/O-3355-2014; Romero, Maria Alejandra/X-3361-2019</t>
  </si>
  <si>
    <t>Reinaldo, Matías Ocampo Ocampo/0000-0002-2383-7896; Romero, Maria Alejandra/0000-0003-3690-8179; Grandi, Maria Florencia/0000-0002-1418-4205</t>
  </si>
  <si>
    <t>ANPCYT [PICT 04025, 4030, 11679, 33934, 2110, PICT-2014-1671, PID 371]; Wildlife Conservation Society; Committee for Research and Exploration of the National Geographic Society [4249/90, 5548/95]; Marineland Cote D'Azur; Plan de Manejo Integrado de la Zona Costera Patagonica; Project United Nation Development Program [ARG-02/018 (B-B27)]; Estudio de las amenazas para la conservacion de mamiferos marinos de Patagonia (BBVA) [BIOCON 04]; Efectos de la explotacion humana sobre depredadores apicales y la estructura de la red trofica del Mar Argentino durante los ultimos 6.000 anos (BBVA) [BIOCON 08]; South American Sea Lion Conservation Program of the Amneville Zoo, France; YaquPacha; Heidelberg Zoo; Dutch Zoo Conservation Fund</t>
  </si>
  <si>
    <t>ANPCYT(ANPCyT); Wildlife Conservation Society; Committee for Research and Exploration of the National Geographic Society(National Geographic Society); Marineland Cote D'Azur; Plan de Manejo Integrado de la Zona Costera Patagonica; Project United Nation Development Program(National High Technology Research and Development Program of China); Estudio de las amenazas para la conservacion de mamiferos marinos de Patagonia (BBVA)(BBVA Foundation); Efectos de la explotacion humana sobre depredadores apicales y la estructura de la red trofica del Mar Argentino durante los ultimos 6.000 anos (BBVA)(BBVA Foundation); South American Sea Lion Conservation Program of the Amneville Zoo, France; YaquPacha; Heidelberg Zoo; Dutch Zoo Conservation Fund</t>
  </si>
  <si>
    <t>We are indebted to many people from the Marine Mammal Laboratory at the Centro Nacional Patagonico (Puerto Madryn, Argentina) and the Institute for Marine Biology and Fisheries (San Antonio Oeste, Argentina) for their assistance in the field work for the last 40 years. Institutional support in Chubut province was given by the CENPAT-CONICET. Permits were provided by the Direccion de Fauna y Flora Silvestre from Chubut province, Secretaria de Ambiente y Desarrollo Sustentable from Rio Negro province and Administracion de Parques Nacionales. Financial support from 1989 to 2015 was given by ANPCYT (PICT 04025, 4030, 11679, 33934, 2110, PICT-2014-1671, PID 371) (1998-2015), Wildlife Conservation Society (1989), the Committee for Research and Exploration of the National Geographic Society (Grant 4249/90 and 5548/95), Marineland Cote D ' Azur (1990), Plan de Manejo Integrado de la Zona Costera Patagonica (1993-1996), Project United Nation Development Program ARG-02/018 (B-B27) (2005-2007), Estudio de las amenazas para la conservacion de mamiferos marinos de Patagonia (BBVA, BIOCON 04) (2005-2008), Efectos de la explotacion humana sobre depredadores apicales y la estructura de la red trofica del Mar Argentino durante los ultimos 6.000 anos (BBVA, BIOCON 08) (2009-2012) and the South American Sea Lion Conservation Program of the Amneville Zoo, France, YaquPacha, the Heidelberg Zoo and the Dutch Zoo Conservation Fund (2004-2015).</t>
  </si>
  <si>
    <t>10.1038/s41598-017-05577-6</t>
  </si>
  <si>
    <t>FA3YP</t>
  </si>
  <si>
    <t>WOS:000405381200008</t>
  </si>
  <si>
    <t>Lilienthal, F; Jacobi, C; Schmidt, T; de la Torre, A; Alexander, P</t>
  </si>
  <si>
    <t>Lilienthal, Friederike; Jacobi, Christoph; Schmidt, Torsten; de la Torre, Alejandro; Alexander, Peter</t>
  </si>
  <si>
    <t>On the influence of zonal gravity wave distributions on the Southern Hemisphere winter circulation</t>
  </si>
  <si>
    <t>Meteorology and atmospheric dynamics (middle atmosphere dynamics)</t>
  </si>
  <si>
    <t>GPS RADIO OCCULTATION; MOMENTUM FLUX; UPPER-ATMOSPHERE; PLANETARY-WAVES; ANDES MOUNTAINS; CLIMATE MODELS; HOT-SPOT; STRATOSPHERE; SATELLITE; SIMULATION</t>
  </si>
  <si>
    <t>A mechanistic global circulation model is used to simulate the Southern Hemisphere stratospheric, mesospheric, and lower thermospheric circulation during austral winter. The model includes a gravity wave (GW) parameterization that is initiated by prescribed 2-D fields of GW parameters in the troposphere. These are based on observations of GW potential energy calculated using GPS radio occultations and show enhanced GW activity east of the Andes and around the Antarctic. In order to detect the influence of an observation-based and thus realistic 2-D GW distribution on the middle atmosphere circulation, we perform model experiments with zonal mean and 2-D GW initialization, and additionally with and without forcing of stationary planetary waves (SPWs) at the lower boundary of the model. As a result, we find additional forcing of SPWs in the stratosphere, a weaker zonal wind jet in the mesosphere, cooling of the mesosphere and warming near the mesopause above the jet. SPW wavenumber 1 (SPW1) amplitudes are generally increased by about 10% when GWs are introduced being longitudinally dependent. However, at the upper part of the zonal wind jet, SPW1 in zonal wind and GW acceleration are out of phase, which reduces the amplitudes there.</t>
  </si>
  <si>
    <t>[Lilienthal, Friederike; Jacobi, Christoph] Univ Leipzig, Inst Meteorol, Leipzig, Germany; [Schmidt, Torsten] GFZ German Res Ctr Geosci, Potsdam, Germany; [de la Torre, Alejandro] Univ Austral, Fac Ingn, Buenos Aires, DF, Argentina; [de la Torre, Alejandro] Consejo Nacl Invest Cient &amp; Tecn, Buenos Aires, DF, Argentina; [de la Torre, Alejandro; Alexander, Peter] Consejo Nacl Invest Cient &amp; Tecn, Inst Fis, Buenos Aires, DF, Argentina</t>
  </si>
  <si>
    <t>Leipzig University; Helmholtz Association; Helmholtz-Center Potsdam GFZ German Research Center for Geosciences; Austral University; Consejo Nacional de Investigaciones Cientificas y Tecnicas (CONICET); Consejo Nacional de Investigaciones Cientificas y Tecnicas (CONICET)</t>
  </si>
  <si>
    <t>Lilienthal, F (corresponding author), Univ Leipzig, Inst Meteorol, Leipzig, Germany.</t>
  </si>
  <si>
    <t>friederike.lilienthal@uni-leipzig.de</t>
  </si>
  <si>
    <t>Schmidt, Torsten/A-7142-2013; Alexander, Peter/R-5044-2019</t>
  </si>
  <si>
    <t>Schmidt, Torsten/0000-0001-9302-1000; Alexander, Peter/0000-0001-9455-2487; de la Torre, Alejandro/0000-0002-4950-5638; Jacobi, Christoph/0000-0002-7878-0110</t>
  </si>
  <si>
    <t>BMBF [01DN14001]; MINCyT [BID-PICT 1097]; German Research Foundation (DFG); Universitat Leipzig within the program of Open Access Publishing</t>
  </si>
  <si>
    <t>BMBF(Federal Ministry of Education &amp; Research (BMBF)); MINCyT; German Research Foundation (DFG)(German Research Foundation (DFG)); Universitat Leipzig within the program of Open Access Publishing</t>
  </si>
  <si>
    <t>We would like to thank the FOR-MOSAT3/COSMIC teams in Taiwan and the USA for the radio occultation data, and for making them freely available for the scientific user community (http://cdaac-www.cosmic.ucar.edu/cdaac/products.html). This study was supported by BMBF under grant 01DN14001 and by MINCyT under grant BID-PICT 1097. We further acknowledge support from the German Research Foundation (DFG) and Universitat Leipzig within the program of Open Access Publishing.</t>
  </si>
  <si>
    <t>10.5194/angeo-35-785-2017</t>
  </si>
  <si>
    <t>FA5ZX</t>
  </si>
  <si>
    <t>WOS:000405524200001</t>
  </si>
  <si>
    <t>Wright, CJ; Hindley, NP; Hoffmann, L; Alexander, MJ; Mitchell, NJ</t>
  </si>
  <si>
    <t>Wright, Corwin J.; Hindley, Neil P.; Hoffmann, Lars; Alexander, M. Joan; Mitchell, Nicholas J.</t>
  </si>
  <si>
    <t>Exploring gravity wave characteristics in 3-D using a novel S-transform technique: AIRS/Aqua measurements over the Southern Andes and Drake Passage</t>
  </si>
  <si>
    <t>MOMENTUM FLUX; CLIMATE MODELS; SATELLITE-OBSERVATIONS; MIDDLE-ATMOSPHERE; MOUNTAIN WAVES; AIRS; STRATOSPHERE; VARIABILITY; HIRDLS; TEMPERATURES</t>
  </si>
  <si>
    <t>Gravity waves (GWs) transport momentum and energy in the atmosphere, exerting a profound influence on the global circulation. Accurately measuring them is thus vital both for understanding the atmosphere and for developing the next generation of weather forecasting and climate prediction models. However, it has proven very difficult to measure the full set of GW parameters from satellite measurements, which are the only suitable observations with global coverage. This is particularly critical at latitudes close to 60 degrees S, where climate models significantly under-represent wave momentum fluxes. Here, we present a novel fully 3-D method for detecting and characterising GWs in the stratosphere. This method is based around a 3-D Stockwell transform, and can be applied retrospectively to existing observed data. This is the first scientific use of this spectral analysis technique. We apply our method to high-resolution 3D atmospheric temperature data from AIRS/Aqua over the altitude range 20-60 km. Our method allows us to determine a wide range of parameters for each wave detected. These include amplitude, propagation direction, horizontal/vertical wavelength, height/direction-resolved momentum fluxes (MFs), and phase and group velocity vectors. The latter three have not previously been measured from an individual satellite instrument. We demonstrate this method over the region around the Southern Andes and Antarctic Peninsula, the largest known sources of GW MFs near the 60 degrees S belt. Our analyses reveal the presence of strongly intermittent highly directionally focused GWs with very high momentum fluxes (similar to 80-100 mPa or more at 30 km altitude). These waves are closely associated with the mountains rather than the open ocean of the Drake Passage. Measured fluxes are directed orthogonal to both mountain ranges, consistent with an orographic source mechanism, and are largest in winter. Further, our measurements of wave group velocity vectors show clear observational evidence that these waves are strongly focused into the polar night wind jet, and thus may contribute significantly to the missing momentum at these latitudes. These results demonstrate the capabilities of our new method, which provides a powerful tool for delivering the observations required for the next generation of weather and climate models.</t>
  </si>
  <si>
    <t>[Wright, Corwin J.; Hindley, Neil P.; Mitchell, Nicholas J.] Univ Bath, Ctr Space Atmospher &amp; Ocean Sci, Bath, Avon, England; [Hindley, Neil P.] Univ Leeds, Inst Climate &amp; Atmospher Sci, Sch Earth &amp; Environm, Leeds, W Yorkshire, England; [Hoffmann, Lars] Forschungszentrum Julich, Julich Supercomp Ctr, Julich, Germany; [Alexander, M. Joan] Northwest Res Associates, Boulder, CO USA</t>
  </si>
  <si>
    <t>University of Bath; University of Leeds; Helmholtz Association; Research Center Julich; NorthWest Research Associates</t>
  </si>
  <si>
    <t>Wright, CJ (corresponding author), Univ Bath, Ctr Space Atmospher &amp; Ocean Sci, Bath, Avon, England.</t>
  </si>
  <si>
    <t>c.wright@bath.ac.uk</t>
  </si>
  <si>
    <t>Hoffmann, Lars/A-5173-2013; Hoffmann, Lars/ABI-3746-2020; Wright, Corwin/J-4598-2014</t>
  </si>
  <si>
    <t>Hoffmann, Lars/0000-0003-3773-4377; Hoffmann, Lars/0000-0003-3773-4377; Hindley, Neil/0000-0003-4377-2038; Wright, Corwin/0000-0003-2496-953X</t>
  </si>
  <si>
    <t>NERC [NE/K015117/1, NE/K012584/1]; NERC PhD studentship; NERC [NE/K015117/1, NE/H009760/1] Funding Source: UKRI; Natural Environment Research Council [NE/H009760/1, NE/K015117/1] Funding Source: researchfish</t>
  </si>
  <si>
    <t>NERC(UK Research &amp; Innovation (UKRI)Natural Environment Research Council (NERC)); NERC PhD studentship(UK Research &amp; Innovation (UKRI)Natural Environment Research Council (NERC)); NERC(UK Research &amp; Innovation (UKRI)Natural Environment Research Council (NERC)); Natural Environment Research Council(UK Research &amp; Innovation (UKRI)Natural Environment Research Council (NERC))</t>
  </si>
  <si>
    <t>Corwin J. Wright and Nicholas J. Mitchell were funded by NERC grant NE/K015117/1 and Neil. P. Hindley by a NERC PhD studentship, both awarded to the University of Bath. Neil. P. Hindley was also funded by NERC grant NE/K012584/1 awarded to the University of Leeds.</t>
  </si>
  <si>
    <t>10.5194/acp-17-8553-2017</t>
  </si>
  <si>
    <t>FA5EZ</t>
  </si>
  <si>
    <t>WOS:000405466800004</t>
  </si>
  <si>
    <t>Skinner, LC; Primeau, F; Freeman, E; de la Fuente, M; Goodwin, PA; Gottschalk, J; Huang, E; McCave, IN; Noble, TL; Scrivner, AE</t>
  </si>
  <si>
    <t>Skinner, L. C.; Primeau, F.; Freeman, E.; de la Fuente, M.; Goodwin, P. A.; Gottschalk, J.; Huang, E.; McCave, I. N.; Noble, T. L.; Scrivner, A. E.</t>
  </si>
  <si>
    <t>Radiocarbon constraints on the glacial ocean circulation and its impact on atmospheric CO2</t>
  </si>
  <si>
    <t>SOUTHERN-OCEAN; CARBON; VENTILATION; SEDIMENTATION; ATLANTIC; AGE</t>
  </si>
  <si>
    <t>While the ocean's large-scale overturning circulation is thought to have been significantly different under the climatic conditions of the Last Glacial Maximum (LGM), the exact nature of the glacial circulation and its implications for global carbon cycling continue to be debated. Here we use a global array of ocean-atmosphere radiocarbon disequilibrium estimates to demonstrate a similar to 689 +/- 53 C-14-yr increase in the average residence time of carbon in the deep ocean at the LGM. A predominantly southern-sourced abyssal overturning limb that was more isolated from its shallower northern counterparts is interpreted to have extended from the Southern Ocean, producing a widespread radiocarbon age maximum at mid-depths and depriving the deep ocean of a fast escape route for accumulating respired carbon. While the exact magnitude of the resulting carbon cycle impacts remains to be confirmed, the radiocarbon data suggest an increase in the efficiency of the biological carbon pump that could have accounted for as much as half of the glacial-interglacial CO2 change.</t>
  </si>
  <si>
    <t>[Skinner, L. C.; Freeman, E.; de la Fuente, M.; Gottschalk, J.; McCave, I. N.; Scrivner, A. E.] Univ Cambridge, Dept Earth Sci, Godwin Lab Palaeoclimate Res, Cambridge CB2 3EQ, England; [Primeau, F.] Univ Calif Irvine, Dept Earth Syst Sci, Irvine, CA 92697 USA; [Goodwin, P. A.] Univ Southampton, Natl Oceanog Ctr, Southampton SO14 3ZH, Hants, England; [Gottschalk, J.] Univ Bern, Oeschger Ctr Climate Change Res, Inst Geol, Baltzerstr 1-3, CH-3012 Bern, Switzerland; [Huang, E.] Univ Bremen, MARUM Ctr Marine Environm Sci, D-28359 Bremen, Germany; [Huang, E.] Univ Bremen, Fac Geosci, D-28359 Bremen, Germany; [Noble, T. L.] Univ Tasmania, Inst Marine &amp; Antarctic Studies, Hobart, Tas 7001, Australia; [Huang, E.] Tongji Univ, State Key Lab Marine Geol, Shanghai, Peoples R China</t>
  </si>
  <si>
    <t>University of Cambridge; University of California System; University of California Irvine; NERC National Oceanography Centre; University of Southampton; University of Bern; University of Bremen; University of Bremen; University of Tasmania; Tongji University</t>
  </si>
  <si>
    <t>Skinner, LC (corresponding author), Univ Cambridge, Dept Earth Sci, Godwin Lab Palaeoclimate Res, Cambridge CB2 3EQ, England.</t>
  </si>
  <si>
    <t>luke00@esc.cam.ac.uk</t>
  </si>
  <si>
    <t>McCave, I. Nick/O-3992-2018; Primeau, Francois/A-7310-2011</t>
  </si>
  <si>
    <t>McCave, I. Nick/0000-0002-4702-5489; de la Fuente, Maria/0000-0002-9926-3403; Huang, Enqing/0000-0002-9290-2719; Primeau, Francois/0000-0001-7452-9415; Gottschalk, Julia/0000-0002-0403-3059; Noble, Taryn/0000-0002-5708-751X; Goodwin, Philip/0000-0002-2575-8948</t>
  </si>
  <si>
    <t>NERC [NE/L006421/1, 1245.1007]; Royal Society; Cambridge Isaac Newton Trust; NERC [NE/L006421/1] Funding Source: UKRI</t>
  </si>
  <si>
    <t>NERC(UK Research &amp; Innovation (UKRI)Natural Environment Research Council (NERC)); Royal Society(Royal Society); Cambridge Isaac Newton Trust; NERC(UK Research &amp; Innovation (UKRI)Natural Environment Research Council (NERC))</t>
  </si>
  <si>
    <t>This work was made possible by NERC grant NE/L006421/1, and was supported by NERC radiocarbon analysis allocation number 1245.1007, as well as the Royal Society and the Cambridge Isaac Newton Trust. We are grateful to David Hodell, Claire Waelbroeck and Stefan Mulitza for help gaining access to sediment core material, and for providing essential information on core stratigraphy. This work also benefited from discussions made possible by the INQUA 'IPODS' (Investigating Past Ocean Dynamics) focus group.</t>
  </si>
  <si>
    <t>10.1038/ncomms16010</t>
  </si>
  <si>
    <t>FA4GJ</t>
  </si>
  <si>
    <t>WOS:000405401500001</t>
  </si>
  <si>
    <t>Wooden, DH; Ishii, HA; Zolensky, ME</t>
  </si>
  <si>
    <t>Wooden, D. H.; Ishii, H. A.; Zolensky, M. E.</t>
  </si>
  <si>
    <t>Cometary dust: the diversity of primitive refractory grains</t>
  </si>
  <si>
    <t>comets; dust; interplanetary dust particles; UltraCarbonaceous Antarctic MicroMeteorites; Stardust; Rosetta; protoplanetary disc</t>
  </si>
  <si>
    <t>INTERSTELLAR SILICATE MINERALOGY; ULTRACARBONACEOUS ANTARCTIC MICROMETEORITES; OXYGEN-ISOTOPE SYSTEMATICS; ALUMINUM-RICH INCLUSIONS; THIN-FILM ANALYSES; INTERPLANETARY DUST; CRYSTALLINE SILICATES; ORGANIC-MATTER; SOLAR-SYSTEM; CARBONACEOUS CHONDRITES</t>
  </si>
  <si>
    <t>Comet dust is primitive and shows significant diversity. Our knowledge of the properties of primitive cometary particles has expanded significantly through microscale investigations of cosmic dust samples (anhydrous interplanetary dust particles (IDPs), chondritic porous (CP) IDPs and UltraCarbonaceous Antarctic micrometeorites, Stardust and Rosetta), as well as through remote sensing (Spitzer IR spectroscopy). Comet dust are aggregate particles of materials unequilibrated at submicrometre scales. We discuss the properties and processes experienced by primitive matter in comets. Primitive particles exhibit a diverse range of: structure and typology; distribution of constituents; concentration and form of carbonaceous and refractory organic matter; Mg- and Fe-contents of the silicate minerals; sulfides; existence/abundance of type II chondrule fragments; high-temperature calcium-aluminium inclusions and ameboid-olivine aggregates; and rarely occurring Mg-carbonates and magnetite, whose explanation requires aqueous alteration on parent bodies. The properties of refractory materials imply there were disc processes that resulted in different comets having particular selections of primitive materials. The diversity of primitive particles has implications for the diversity of materials in the protoplanetary disc present at the time and in the region where the comets formed. This article is part of the themed issue 'Cometary science after Rosetta'.</t>
  </si>
  <si>
    <t>[Wooden, D. H.] NASA, Ames Res Ctr, Moffett Field, CA 94035 USA; [Ishii, H. A.] Univ Hawaii, Hawaii Inst Geophys &amp; Planetol, Honolulu, HI 96822 USA; [Zolensky, M. E.] NASA, Johnson Space Ctr, ARES, X12 2010 NASA Pkwy, Houston, TX 77058 USA</t>
  </si>
  <si>
    <t>National Aeronautics &amp; Space Administration (NASA); NASA Ames Research Center; University of Hawaii System; National Aeronautics &amp; Space Administration (NASA); NASA Johnson Space Center</t>
  </si>
  <si>
    <t>Wooden, DH (corresponding author), NASA, Ames Res Ctr, Moffett Field, CA 94035 USA.</t>
  </si>
  <si>
    <t>diane.wooden@nasa.gov</t>
  </si>
  <si>
    <t>Ishii, Hope/JOZ-4512-2023</t>
  </si>
  <si>
    <t>Wooden, Diane/0000-0002-1888-7258; Ishii, Hope/0000-0002-7976-5078; Zolensky, Michael/0000-0002-3181-1303</t>
  </si>
  <si>
    <t>NASA; NASA HQ/SMD and its Planetary Science Division (PSD); NASA's Emerging Worlds and Laboratory Analysis of Returned Samples Programs; NASA's Cosmochemistry and Laboratory Analysis of Returned Samples Programs; NASA ARC Planetary Systems Branch</t>
  </si>
  <si>
    <t>NASA(National Aeronautics &amp; Space Administration (NASA)); NASA HQ/SMD and its Planetary Science Division (PSD); NASA's Emerging Worlds and Laboratory Analysis of Returned Samples Programs; NASA's Cosmochemistry and Laboratory Analysis of Returned Samples Programs; NASA ARC Planetary Systems Branch</t>
  </si>
  <si>
    <t>D.H.W. was supported by NASA's Emerging Worlds and Spitzer analyses programs. D.H.W. also acknowledges the continued support and engagement of fellow members of the NASA ARC Planetary Systems Branch in a collaborative spirit of cross-disciplinary studies, in addition to financial support from NASA HQ/SMD and its Planetary Science Division (PSD). H.A.I. was supported by NASA's Emerging Worlds and Laboratory Analysis of Returned Samples Programs. M.E.Z. was supported by NASA's Cosmochemistry and Laboratory Analysis of Returned Samples Programs.</t>
  </si>
  <si>
    <t>10.1098/rsta.2016.0260</t>
  </si>
  <si>
    <t>EW4DU</t>
  </si>
  <si>
    <t>WOS:000402453000011</t>
  </si>
  <si>
    <t>Leonard, K; Hewitt, CL; Campbell, ML; Primo, C; Miller, SD</t>
  </si>
  <si>
    <t>Leonard, Kaeden; Hewitt, Chad L.; Campbell, Marnie L.; Primo, Carmen; Miller, Steven D.</t>
  </si>
  <si>
    <t>Epibiotic pressure contributes to biofouling invader success</t>
  </si>
  <si>
    <t>MARINE EPIBIOSIS; INVASION; COMPETITION; BRYOZOAN</t>
  </si>
  <si>
    <t>Reduced competition is a frequent explanation for the success of many introduced species. In benthic marine biofouling communities, space limitation leads to high rates of overgrowth competition. Some species can utilise other living organisms as substrate (epibiosis), proffering a competitive advantage for the epibiont. Additionally, some species can prevent or reduce epibiotic settlement on their surfaces and avoid being basibionts. To test whether epibiotic pressure differs between native and introduced species, we undertook ex situ experiments comparing bryozoan larval settlement to determine if introduced species demonstrate a greater propensity to settle as epibionts, and a reduced propensity to be basibionts, than native species. Here we report that introduced species opportunistically settle on any space (bare, native, or introduced), whereas native species exhibit a strong tendency to settle on and near other natives, but avoid settling on or near introduced basibionts. In addition, larvae of native species experience greater larval wastage (mortality) than introduced species, both in the presence and absence of living substrates. Introduced species' ability to settle on natives as epibionts, and in turn avoid epibiosis as basibionts, combined with significantly enhanced native larval wastage, provides a comprehensive suite of competitive advantages contributing to the invasion success of these biofouling species.</t>
  </si>
  <si>
    <t>[Leonard, Kaeden; Hewitt, Chad L.; Campbell, Marnie L.; Primo, Carmen] Univ Tasmania, Inst Marine &amp; Antarctic Studies, Launceston, Tas 7250, Australia; [Hewitt, Chad L.] Univ Waikato, Sch Sci, Hamilton, New Zealand; [Leonard, Kaeden; Campbell, Marnie L.] Univ Waikato, Environm Res Inst, Hamilton, New Zealand; [Miller, Steven D.] Univ Waikato, Sch Comp &amp; Math Sci, Hamilton, New Zealand</t>
  </si>
  <si>
    <t>University of Tasmania; University of Waikato; University of Waikato; University of Waikato</t>
  </si>
  <si>
    <t>Leonard, K (corresponding author), Univ Tasmania, Inst Marine &amp; Antarctic Studies, Launceston, Tas 7250, Australia.;Leonard, K (corresponding author), Univ Waikato, Environm Res Inst, Hamilton, New Zealand.</t>
  </si>
  <si>
    <t>kaeden.leonard@waikato.ac.nz</t>
  </si>
  <si>
    <t>Campbell, Mariel L/HTR-9392-2023; Hewitt, Chad/J-2105-2019; Primo, Carmen/F-5431-2015</t>
  </si>
  <si>
    <t>Campbell, Mariel L/0000-0003-0536-5044; Hewitt, Chad/0000-0002-6859-6512; Campbell, Marnie/0000-0002-8716-0036; Primo, Carmen/0000-0001-8619-1036</t>
  </si>
  <si>
    <t>JUL 12</t>
  </si>
  <si>
    <t>10.1038/s41598-017-05470-2</t>
  </si>
  <si>
    <t>FA4OA</t>
  </si>
  <si>
    <t>WOS:000405421400013</t>
  </si>
  <si>
    <t>Fountain, AG; Fernandez-Diaz, JC; Obryk, M; Levy, J; Gooseff, M; Van Horn, DJ; Morin, P; Shrestha, R</t>
  </si>
  <si>
    <t>Fountain, Andrew G.; Fernandez-Diaz, Juan C.; Obryk, Maciej; Levy, Joseph; Gooseff, Michael; Van Horn, David J.; Morin, Paul; Shrestha, Ramesh</t>
  </si>
  <si>
    <t>High-resolution elevation mapping of the McMurdo Dry Valleys, Antarctica, and surrounding regions</t>
  </si>
  <si>
    <t>VICTORIA LAND; CLIMATE; AREA</t>
  </si>
  <si>
    <t>We present detailed surface elevation measurements for the McMurdo Dry Valleys, Antarctica derived from aerial lidar surveys flown in the austral summer of 2014-2015 as part of an effort to understand geomorphic changes over the past decade. Lidar return density varied from 2 to &gt; 10 returns m(-2) with an average of about 5 returns m(-2). Vertical and horizontal accuracies are estimated to be 7 and 3 cm, respectively. In addition to our intended targets, other ad hoc regions were also surveyed including the Pegasus flight facility and two regions on Ross Island, McMurdo Station, Scott Base (and surroundings), and the coastal margin between Cape Royds and Cape Evans. These data are included in this report and data release. The combined data are freely available at https://doi.org/10.5069/G9D50JX3.</t>
  </si>
  <si>
    <t>[Fountain, Andrew G.; Obryk, Maciej] Portland State Univ, Dept Geol, Portland, OR 97201 USA; [Fernandez-Diaz, Juan C.; Shrestha, Ramesh] Univ Houston, Natl Ctr Airborne Laser Mapping, Houston, TX 77204 USA; [Levy, Joseph] Univ Texas Austin, Inst Geophys, Jackson Sch Geosci, Austin, TX 78758 USA; [Gooseff, Michael] Univ Colorado, Inst Arctic &amp; Alpine Res, Boulder, CO 80309 USA; [Van Horn, David J.] Univ New Mexico, Dept Biol, Albuquerque, NM 87131 USA; [Morin, Paul] Univ Minnesota, Polar Geospatial Ctr, St Paul, MN 55108 USA</t>
  </si>
  <si>
    <t>Portland State University; University of Houston System; University of Houston; University of Texas System; University of Texas Austin; University of Colorado System; University of Colorado Boulder; University of New Mexico; University of Minnesota System; University of Minnesota Twin Cities</t>
  </si>
  <si>
    <t>Fountain, AG (corresponding author), Portland State Univ, Dept Geol, Portland, OR 97201 USA.</t>
  </si>
  <si>
    <t>Fernández Barredo, Juan/JLK-8499-2023; Gooseff, Michael N/N-6087-2015; Fernandez-Diaz, Juan Carlos/ABA-4796-2021</t>
  </si>
  <si>
    <t>Gooseff, Michael N/0000-0003-4322-8315; Fernandez-Diaz, Juan Carlos/0000-0003-3703-7555; Levy, Joseph/0000-0002-6222-139X; Obryk, Maciej/0000-0002-8182-8656</t>
  </si>
  <si>
    <t>NSF Antarctic Integrated Systems Science award [ANT-1246342]; Directorate For Geosciences; Office of Polar Programs (OPP) [1245749, 1115245] Funding Source: National Science Foundation; Office of Polar Programs (OPP); Directorate For Geosciences [1601000, 1246342] Funding Source: National Science Foundation</t>
  </si>
  <si>
    <t>NSF Antarctic Integrated Systems Science award; Directorate For Geosciences; Office of Polar Programs (OPP)(National Science Foundation (NSF)NSF - Directorate for Geosciences (GEO)); Office of Polar Programs (OPP); Directorate For Geosciences(National Science Foundation (NSF)NSF - Directorate for Geosciences (GEO))</t>
  </si>
  <si>
    <t>The GPS units and data were provided by the polar operations group of UNAVCO and we particularly acknowledge Joe Pettit for making this operation easy and efficient. Members of the Polar Geospatial Center aided us in the deployment and collection of the GPS units. The pilots and support staff of Kenn Borek Air Ltd. were great to work with, showed much patience in flying endless flight lines, and kept to the desired trajectory despite unexpected turbulence. The NCALM personnel responsible for the collection and processing of lidar and imagery data for this project include Abhinav Singhania, Darren Hauser, and Michael Sartori. Matt Bethel, director of operations and technology, and Erick Mena, senior laser scanning technician of Merrick &amp; Company, provided terrestrial laser scanning data of McMurdo Station that were used for accuracy assessment of the airborne lidar data. We also thank all the people that make working and living at McMurdo Station, Antarctica, possible. This work was supported by NSF Antarctic Integrated Systems Science award ANT-1246342 to AGF.</t>
  </si>
  <si>
    <t>10.5194/essd-9-435-2017</t>
  </si>
  <si>
    <t>FA2NQ</t>
  </si>
  <si>
    <t>WOS:000405278500001</t>
  </si>
  <si>
    <t>Orii, R; Sakamoto, N; Fukami, D; Tsuda, S; Izumi, M; Kajihara, Y; Okamoto, R</t>
  </si>
  <si>
    <t>Orii, Ryo; Sakamoto, Noriko; Fukami, Daichi; Tsuda, Sakae; Izumi, Masayuki; Kajihara, Yasuhiro; Okamoto, Ryo</t>
  </si>
  <si>
    <t>Total Synthesis of O-GalNAcylated Antifreeze Glycoprotein using the Switchable Reactivity of Peptidyl-N-pivaloylguanidine</t>
  </si>
  <si>
    <t>CHEMISTRY-A EUROPEAN JOURNAL</t>
  </si>
  <si>
    <t>AFGP; GalNAc; glycoprotein; N-pivaloylguanidine; total synthesis</t>
  </si>
  <si>
    <t>PROTEIN CHEMICAL-SYNTHESIS; ANTARCTIC FISH; BIOLOGICAL ANTIFREEZE; LIGATION STRATEGY; WATER DYNAMICS; AFGP ANALOGS; THIOESTER; POLYPEPTIDE; ICE; CARBOHYDRATE</t>
  </si>
  <si>
    <t>Antifreeze glycoprotein (AFGP) is an O-glycoprotein that displays antifreeze activity through depression of the freezing point of water. GalNAc is a core sugar structure of AFGP, and contributes to induce antifreeze activity of this glycoprotein. However, the general functional role that this sugar plays at the molecular level is still unknown. To elucidate this, it is essential to determine the relationship between structure and activity of O-GalNAcylated AFGP using homogeneous glycoproteins. Thus, the total synthesis of homogeneous O-GalNAcylated AFGP was conducted by using a unique peptide derivative: peptidyl- N-pivaloylguanidine. It was found that peptidyl-N-pivaloylguanidine is an unreactive peptide in peptide coupling reactions but is interconvertible with a reactive peptide-a-thioester by means of a simple treatment under buffer condition at pH=7 to 8. The unique switchable reactivity of peptidyl-N-pivaloylguanidine enabled an efficient sequential peptide coupling strategy. By using this strategy, various lengths of homogeneous O-GalNAcylated AFGP were synthesized, including one that was 120 amino acids in length, with 40 O-GalNAcylation sites. The structural analysis by circular dichroism spectroscopy and evaluation of the antifreeze activity of the synthetic AFGP(GalNAc) s revealed that the simple O-glycosylation with GalNAc is essential for both structural and functional basis of AFGP to exhibit antifreeze activity.</t>
  </si>
  <si>
    <t>[Orii, Ryo; Sakamoto, Noriko; Izumi, Masayuki; Kajihara, Yasuhiro; Okamoto, Ryo] Osaka Univ, Dept Chem, Grad Sch Sci, 1-1,Toyonaka, Osaka 5600043, Japan; [Fukami, Daichi; Tsuda, Sakae] Hokkaido Univ, Transdisciplinary Life Sci Course, Grad Sch Life Sci, 2-17-2-1 Tsukisamu Higashi, Sapporo, Hokkaido 0628517, Japan; [Fukami, Daichi; Tsuda, Sakae] Natl Inst Adv Ind Sci &amp; Technol, Bioprod Res Inst, 2-17-2-1 Tsukisamu Higashi, Sapporo, Hokkaido 0628517, Japan</t>
  </si>
  <si>
    <t>Osaka University; Hokkaido University; National Institute of Advanced Industrial Science &amp; Technology (AIST)</t>
  </si>
  <si>
    <t>Kajihara, Y; Okamoto, R (corresponding author), Osaka Univ, Dept Chem, Grad Sch Sci, 1-1,Toyonaka, Osaka 5600043, Japan.</t>
  </si>
  <si>
    <t>kajihara@chem.sci.osaka-u.ac.jp; rokamoto@chem.sci.osaka-u.ac.jp</t>
  </si>
  <si>
    <t>Izumi, Masayuki/C-6230-2008; Tsuda, Sakae/M-2756-2018</t>
  </si>
  <si>
    <t>Izumi, Masayuki/0000-0001-6486-9678; Tsuda, Sakae/0000-0002-1399-0619</t>
  </si>
  <si>
    <t>JSPS KAKENHI [24750161]; Grants-in-Aid for Scientific Research [24750161, 16K05844] Funding Source: KAKEN</t>
  </si>
  <si>
    <t>This work was supported by JSPS KAKENHI (24750161): Grant-in-Aid-for Young Scientists (B).</t>
  </si>
  <si>
    <t>0947-6539</t>
  </si>
  <si>
    <t>1521-3765</t>
  </si>
  <si>
    <t>CHEM-EUR J</t>
  </si>
  <si>
    <t>Chem.-Eur. J.</t>
  </si>
  <si>
    <t>10.1002/chem.201702243</t>
  </si>
  <si>
    <t>FA2QC</t>
  </si>
  <si>
    <t>WOS:000405284900006</t>
  </si>
  <si>
    <t>Alavilli, H; Lee, H; Park, M; Lee, BH</t>
  </si>
  <si>
    <t>Alavilli, Hemasundar; Lee, Hyoungseok; Park, Mira; Lee, Byeong-ha</t>
  </si>
  <si>
    <t>Antarctic Moss Multiprotein Bridging Factor 1c Overexpression in Arabidopsis Resulted in Enhanced Tolerance to Salt Stress</t>
  </si>
  <si>
    <t>FRONTIERS IN PLANT SCIENCE</t>
  </si>
  <si>
    <t>stress tolerance; salt stress; MBF1c; RNA sequencing; Antarctic moss; Polytrichastrum alpinum</t>
  </si>
  <si>
    <t>TRANSCRIPTIONAL COACTIVATOR; GENE-EXPRESSION; MBF1; MUTANTS; PROTEIN; GROWTH; IDENTIFICATION; THALIANA; YEAST; ECA1</t>
  </si>
  <si>
    <t>Polytrichastrum alpinum is one of the moss species that survives extreme conditions in the Antarctic. In order to explore the functional benefits of moss genetic resources, P. alpinum multiprotein-bridging factor 1c gene (PaMBF1c) was isolated and characterized. The deduced amino acid sequence of PaMBF1c comprises of a multiprotein-bridging factor (MBF1) domain and a helix-turn-helix (HTH) domain. PaMBF1c expression was induced by different abiotic stresses in P. alpinum, implying its roles in stress responses. We overexpressed PaMBF1c in Arabidopsis and analyzed the resulting phenotypes in comparison with wild type and/or Arabidopsis MBF1c (AtMBF1c) overexpressors. Overexpression of PaMBF1c in Arabidopsis resulted in enhanced tolerance to salt and osmotic stress, as well as to cold and heat stress. More specifically, enhanced salt tolerance was observed in PaMBF1c overexpressors in comparison to wild type but not clearly observable in AtMBF1c overexpressing lines. Thus, these results implicate the evolution of PaMBF1c under salt-enriched Antarctic soil. RNA-Seq profiling of NaCl-treated plants revealed that 10 salt-stress inducible genes were already up-regulated in PaMBF1c overexpressing plants even before NaCl treatment. Gene ontology enrichment analysis with salt up-regulated genes in each line uncovered that the terms lipid metabolic process, ion transport, and cellular amino acid biosynthetic process were significantly enriched in PaMBF1c overexpressors. Additionally, gene enrichment analysis with salt down-regulated genes in each line revealed that the enriched categories in wild type were not significantly overrepresented in PaMBF1c overexpressing lines. The up-regulation of several genes only in PaMBF1c overexpressing lines suggest that enhanced salt tolerance in PaMBF1c-OE might involve reactive oxygen species detoxification, maintenance of ATP homeostasis, and facilitation of Ca2+ signaling. Interestingly, many salt down-regulated ribosome-and translation-related genes were not down-regulated in PaMBF1c overexpressing lines under salt stress. These differentially regulated genes by PaMBF1c overexpression could contribute to the enhanced tolerance in PaMBF1c overexpressing lines under salt stress.</t>
  </si>
  <si>
    <t>[Alavilli, Hemasundar; Park, Mira; Lee, Byeong-ha] Sogang Univ, Dept Life Sci, Seoul, South Korea; [Lee, Hyoungseok; Park, Mira] Korea Polar Res Inst, Div Life Sci, Incheon, South Korea</t>
  </si>
  <si>
    <t>Sogang University; Korea Polar Research Institute (KOPRI)</t>
  </si>
  <si>
    <t>Lee, BH (corresponding author), Sogang Univ, Dept Life Sci, Seoul, South Korea.</t>
  </si>
  <si>
    <t>byeongha@sogang.ac.kr</t>
  </si>
  <si>
    <t>Lee, Byeong-ha/B-8478-2009</t>
  </si>
  <si>
    <t>Lee, Hyoungseok/0000-0002-5831-6345</t>
  </si>
  <si>
    <t>Next-Generation BioGreen21 Program [PJ011006]; Rural Development Administration, South Korea; Polar Genomics 101 Project, Korea Polar Research Institute [PE17080]</t>
  </si>
  <si>
    <t>Next-Generation BioGreen21 Program(Rural Development Administration (RDA), Republic of Korea); Rural Development Administration, South Korea(Rural Development Administration (RDA), Republic of Korea); Polar Genomics 101 Project, Korea Polar Research Institute</t>
  </si>
  <si>
    <t>This work was supported by Next-Generation BioGreen21 Program (PJ011006) to B-hL, Rural Development Administration, South Korea, and Polar Genomics 101 Project (PE17080) to HL, the Korea Polar Research Institute.</t>
  </si>
  <si>
    <t>1664-462X</t>
  </si>
  <si>
    <t>FRONT PLANT SCI</t>
  </si>
  <si>
    <t>Front. Plant Sci.</t>
  </si>
  <si>
    <t>JUL 11</t>
  </si>
  <si>
    <t>10.3389/fpls.2017.01206</t>
  </si>
  <si>
    <t>FA0ZF</t>
  </si>
  <si>
    <t>WOS:000405164600003</t>
  </si>
  <si>
    <t>Emile-Geay, J; McKay, NP; Kaufman, DS; von Gunten, L; Wang, JG; Anchukaitis, KJ; Abram, NJ; Addison, JA; Curran, MAJ; Evans, MN; Henley, BJ; Hao, ZX; Martrat, B; McGregor, HV; Neukom, R; Pederson, GT; Stenni, B; Thirumalai, K; Werner, JP; Xu, CX; Divine, DV; Dixon, BC; Gergis, J; Mundo, IA; Nakatsuka, T; Phipps, SJ; Routson, CC; Steig, EJ; Tierney, JE; Tyler, JJ; Allen, KJ; Bertler, NAN; Björklund, J; Chase, BM; Chen, MT; Cook, E; de Jong, R; DeLong, KL; Dixon, DA; Ekaykin, AA; Ersek, V; Filipsson, HL; Francus, P; Freund, MB; Frezzotti, M; Gaire, NP; Gajewski, K; Ge, QS; Goosse, H; Gornostaeva, A; Grosjean, M; Horiuchi, K; Hormes, A; Husum, K; Isaksson, E; Kandasamy, S; Kawamura, K; Kilbourne, KH; Koç, N; Leduc, G; Linderholm, HW; Lorrey, AM; Mikhalenko, V; Mortyn, PG; Motoyama, H; Moy, AD; Mulvaney, R; Munz, PM; Nash, DJ; Oerter, H; Opel, T; Orsi, AJ; Ovchinnikov, DV; Porter, TJ; Roop, HA; Saenger, C; Sano, M; Sauchyn, D; Saunders, KM; Seidenkrantz, MS; Severi, M; Shao, XM; Sicre, MA; Sigl, M; Sinclair, K; St George, S; St Jacques, JM; Thamban, M; Thapa, UK; Thomas, ER; Turney, C; Uemura, R; Viau, AE; Vladimirova, DO; Wahl, ER; White, JWC; Yu, ZC; Zinke, J</t>
  </si>
  <si>
    <t>Emile-Geay, Julien; McKay, Nicholas P.; Kaufman, Darrell S.; von Gunten, Lucien; Wang, Jianghao; Anchukaitis, Kevin J.; Abram, Nerilie J.; Addison, Jason A.; Curran, Mark A. J.; Evans, Michael N.; Henley, Benjamin J.; Hao, Zhixin; Martrat, Belen; McGregor, Helen V.; Neukom, Raphael; Pederson, Gregory T.; Stenni, Barbara; Thirumalai, Kaustubh; Werner, Johannes P.; Xu, Chenxi; Divine, Dmitry V.; Dixon, Bronwyn C.; Gergis, Joelle; Mundo, Ignacio A.; Nakatsuka, Takeshi; Phipps, Steven J.; Routson, Cody C.; Steig, Eric J.; Tierney, Jessica E.; Tyler, Jonathan J.; Allen, Kathryn J.; Bertler, Nancy A. N.; Bjorklund, Jesper; Chase, Brian M.; Chen, Min-Te; Cook, Ed; de Jong, Rixt; DeLong, Kristine L.; Dixon, Daniel A.; Ekaykin, Alexey A.; Ersek, Vasile; Filipsson, Helena L.; Francus, Pierre; Freund, Mandy B.; Frezzotti, Massimo; Gaire, Narayan P.; Gajewski, Konrad; Ge, Quansheng; Goosse, Hugues; Gornostaeva, Anastasia; Grosjean, Martin; Horiuchi, Kazuho; Hormes, Anne; Husum, Katrine; Isaksson, Elisabeth; Kandasamy, Selvaraj; Kawamura, Kenji; Kilbourne, K. Halimeda; Koc, Nalan; Leduc, Guillaume; Linderholm, Hans W.; Lorrey, Andrew M.; Mikhalenko, Vladimir; Mortyn, P. Graham; Motoyama, Hideaki; Moy, Andrew D.; Mulvaney, Robert; Munz, Philipp M.; Nash, David J.; Oerter, Hans; Opel, Thomas; Orsi, Anais J.; Ovchinnikov, Dmitriy V.; Porter, Trevor J.; Roop, Heidi A.; Saenger, Casey; Sano, Masaki; Sauchyn, David; Saunders, Krystyna M.; Seidenkrantz, Marit-Solveig; Severi, Mirko; Shao, Xuemei; Sicre, Marie-Alexandrine; Sigl, Michael; Sinclair, Kate; St George, Scott; St Jacques, Jeannine-Marie; Thamban, Meloth; Thapa, Udya Kuwar; Thomas, Elizabeth R.; Turney, Chris; Uemura, Ryu; Viau, Andre E.; Vladimirova, Diana O.; Wahl, Eugene R.; White, James W. C.; Yu, Zicheng; Zinke, Jens</t>
  </si>
  <si>
    <t>PAGES2k Consortium</t>
  </si>
  <si>
    <t>Data Descriptor: A global multiproxy database for temperature reconstructions of the Common Era</t>
  </si>
  <si>
    <t>SEA-SURFACE TEMPERATURE; NORTH-ATLANTIC OSCILLATION; TREE-RING WIDTH; PACIFIC WARM POOL; TROPICAL CLIMATE VARIABILITY; OXYGEN-ISOTOPE RECORD; ICE-CORE RECORDS; PAST 3 CENTURIES; SOUTH CHINA SEA; SUMMER TEMPERATURE</t>
  </si>
  <si>
    <t>Reproducible climate reconstructions of the Common Era (1 CE to present) are key to placing industrial-era warming into the context of natural climatic variability. Here we present a community-sourced database of temperature-sensitive proxy records from the PAGES2k initiative. The database gathers 692 records from 648 locations, including all continental regions and major ocean basins. The records are from trees, ice, sediment, corals, speleothems, documentary evidence, and other archives. They range in length from 50 to 2000 years, with a median of 547 years, while temporal resolution ranges from biweekly to centennial. Nearly half of the proxy time series are significantly correlated with HadCRUT4.2 surface temperature over the period 1850-2014. Global temperature composites show a remarkable degree of coherence between high-and low-resolution archives, with broadly similar patterns across archive types, terrestrial versus marine locations, and screening criteria. The database is suited to investigations of global and regional temperature variability over the Common Era, and is shared in the Linked Paleo Data (LiPD) format, including serializations in Matlab, R and Python. (TABLE) Since the pioneering work of D'Arrigo and Jacoby1-3, as well as Mann et al. 4,5, temperature reconstructions of the Common Era have become a key component of climate assessments6-9. Such reconstructions depend strongly on the composition of the underlying network of climate proxies10, and it is therefore critical for the climate community to have access to a community-vetted, quality-controlled database of temperature-sensitive records stored in a self-describing format. The Past Global Changes (PAGES) 2k consortium, a self-organized, international group of experts, recently assembled such a database, and used it to reconstruct surface temperature over continental-scale regions11 (hereafter, ` PAGES2k-2013'). This data descriptor presents version 2.0.0 of the PAGES2k proxy temperature database (Data Citation 1). It augments the PAGES2k-2013 collection of terrestrial records with marine records assembled by the Ocean2k working group at centennial12 and annual13 time scales. In addition to these previously published data compilations, this version includes substantially more records, extensive new metadata, and validation. Furthermore, the selection criteria for records included in this version are applied more uniformly and transparently across regions, resulting in a more cohesive data product. This data descriptor describes the contents of the database, the criteria for inclusion, and quantifies the relation of each record with instrumental temperature. In addition, the paleotemperature time series are summarized as composites to highlight the most salient decadal-to centennial-scale behaviour of the dataset and check mutual consistency between paleoclimate archives. We provide extensive Matlab code to probe the database-processing, filtering and aggregating it in various ways to investigate temperature variability over the Common Era. The unique approach to data stewardship and code-sharing employed here is designed to enable an unprecedented scale of investigation of the temperature history of the Common Era, by the scientific community and citizen-scientists alike.</t>
  </si>
  <si>
    <t>[Emile-Geay, Julien] Univ Southern Calif, Dept Earth Sci, Los Angeles, CA 90089 USA; [Emile-Geay, Julien] Univ Southern Calif, Ctr Appl Math Sci, Los Angeles, CA 90089 USA; [McKay, Nicholas P.; Kaufman, Darrell S.; Routson, Cody C.] Univ Arizona, Sch Earth Sci &amp; Environm Sustainabil, Flagstaff, AZ 86001 USA; [von Gunten, Lucien] PAGES Int Project Off, CH-3012 Bern, Switzerland; [Wang, Jianghao] Mathworks Inc, Natick, MA 01760 USA; [Anchukaitis, Kevin J.] Univ Arizona, Sch Geog &amp; Dev, Tucson, AZ 85721 USA; [Anchukaitis, Kevin J.] Univ Arizona, Tree Ring Res Lab, Tucson, AZ 85721 USA; [Abram, Nerilie J.] Australian Natl Univ, Res Sch Earth Sci, Canberra, ACT 2601, Australia; [Abram, Nerilie J.] Australian Natl Univ, ARC Ctr Excellence Climate Syst Sci, Canberra, ACT 2601, Australia; [Addison, Jason A.] US Geol Survey, 345 Middlefield Rd, Menlo Pk, CA 94025 USA; [Curran, Mark A. J.; Moy, Andrew D.] Australian Antarctic Div, Kingston, Tas 7050, Australia; [Curran, Mark A. J.; Moy, Andrew D.] Univ Tasmania, Antarctic Climate &amp; Ecosyst CRC, Hobart, Tas 7050, Australia; [Evans, Michael N.] Univ Maryland, Dept Geol, College Pk, MD 20742 USA; [Evans, Michael N.] Univ Maryland, Earth Syst Sci Interdisciplinary Ctr, College Pk, MD 20742 USA; [Henley, Benjamin J.] Univ Melbourne, Sch Earth Sci, Melbourne, Vic 3010, Australia; [Hao, Zhixin; Ge, Quansheng; Shao, Xuemei] Chinese Acad Sci, Inst Geog Sci &amp; Nat Resources Res, Beijing 100101, Peoples R China; [Martrat, Belen] Spanish Council Sci Res, Inst Environm Assessment &amp; Water Res, Dept Environm Chem, Barcelona 08034, Spain; [Martrat, Belen] Univ Cambridge, Dept Earth Sci, Cambridge CB2 3EQ, England; [McGregor, Helen V.] Univ Wollongong, Sch Earth &amp; Environm Sci, Wollongong, NSW 2522, Australia; [Neukom, Raphael; de Jong, Rixt; Grosjean, Martin] Univ Bern, Oeschger Ctr Climate Change Res, CH-3012 Bern, Switzerland; [Neukom, Raphael; de Jong, Rixt; Grosjean, Martin] Univ Bern, Inst Geog, CH-3012 Bern, Switzerland; [Pederson, Gregory T.] US Geol Survey, Northern Rocky Mt Sci Ctr, Bozeman, MT 59715 USA; [Stenni, Barbara] Ca Foscari Univ Venice, Dept Environm Sci Informat &amp; Stat, I-30170 Venice, Italy; [Thirumalai, Kaustubh] Univ Texas Austin, Inst Geophys, Jackson Sch Geosci, Austin, TX 78758 USA; [Werner, Johannes P.] Univ Bergen, Dept Earth Sci, N-5020 Bergen, Norway; [Werner, Johannes P.] Univ Bergen, Bjerknes Ctr Climate Res, N-5020 Bergen, Norway; [Xu, Chenxi] Chinese Acad Sci, Inst Geol &amp; Geophys, Beijing 100029, Peoples R China; [Divine, Dmitry V.; Husum, Katrine; Isaksson, Elisabeth; Koc, Nalan] Norwegian Polar Res Inst, Fram Ctr, N-9296 Tromso, Norway; [Divine, Dmitry V.] Univ Tromso, Fac Sci &amp; Technol, Dept Math &amp; Stat, N-9037 Tromso, Norway; [Dixon, Bronwyn C.] Univ Melbourne, Sch Geog, Melbourne, Vic 3010, Australia; [Gergis, Joelle; Freund, Mandy B.] Univ Melbourne, Sch Earth Sci, Melbourne, Vic 3010, Australia; [Gergis, Joelle; Freund, Mandy B.] Univ Melbourne, Australian Res Council Ctr Excellence Climate Sys, Melbourne, Vic 3010, Australia; [Mundo, Ignacio A.] Univ Nacl Cuyo, IANIGLA CONICET, M5502IRA, Mendoza, Argentina; [Mundo, Ignacio A.] Univ Nacl Cuyo, Fac Ciencias Exactas &amp; Nat, M5502IRA, Mendoza, Argentina; [Nakatsuka, Takeshi; Sano, Masaki] Res Inst Humanity &amp; Nat, Kyoto 6038047, Japan; [Phipps, Steven J.] Univ Tasmania, Inst Marine &amp; Antarctic Studies, Hobart, Tas 7001, Australia; [Steig, Eric J.] Univ Washington, Quaternary Res Ctr, Seattle, WA 98195 USA; [Steig, Eric J.] Univ Washington, Dept Earth &amp; Space Sci, Seattle, WA 98195 USA; [Tierney, Jessica E.] Univ Arizona, Dept Geosci, Tucson, AZ 85721 USA; [Tyler, Jonathan J.] Univ Adelaide, Dept Earth Sci, Adelaide, SA 5005, Australia; [Tyler, Jonathan J.] Univ Adelaide, Sprigg Geobiol Ctr, Adelaide, SA 5005, Australia; [Allen, Kathryn J.] Univ Melbourne, Sch Ecosyst &amp; Forest Sci, Melbourne, Vic 3121, Australia; [Bertler, Nancy A. N.] Victoria Univ Wellington, Joint Antarctic Res Inst, Wellington 6012, New Zealand; [Bertler, Nancy A. N.] GNS Sci, Wellington 6012, New Zealand; [Bjorklund, Jesper] Swiss Fed Res Inst WSL, CH-8903 Birmensdorf, Switzerland; [Chase, Brian M.] Univ Montpellier, Inst Sci Evolut Montpellier, CNRS, UMR 5554, F-34095 Montpellier 5, France; [Chen, Min-Te] Natl Taiwan Ocean Univ, Inst Appl Geosci, Keelung 20224, Taiwan; [Cook, Ed] Lamont Doherty Earth Observ, Palisades, NY 10964 USA; [DeLong, Kristine L.] Louisiana State Univ, Dept Geog &amp; Anthropol, Baton Rouge, LA 70803 USA; [Dixon, Daniel A.] Univ Maine, Climate Change Inst, Orono, ME 04469 USA; [Ekaykin, Alexey A.; Vladimirova, Diana O.] Arctic &amp; Antarctic Res Inst, St Petersburg 199397, Russia; [Ekaykin, Alexey A.; Vladimirova, Diana O.] St Petersburg State Univ, Inst Earth Sci, St Petersburg 199178, Russia; [Ersek, Vasile] Northumbria Univ, Dept Geog, Newcastle Upon Tyne NE1 8ST, Tyne &amp; Wear, England; [Filipsson, Helena L.] Lund Univ, Dept Geol, SE-22362 Lund, Sweden; [Francus, Pierre] Inst Natl Rech Sci, Ctr Eau Terre Environm, Quebec City, PQ G1K 9A9, Canada; [Frezzotti, Massimo] ENEA, CR Casaccia, I-00123 Rome, Italy; [Gaire, Narayan P.] Nepal Acad Sci &amp; Technol, Fac Sci, Lalitpur, Nepal; [Gaire, Narayan P.] Tribhuvan Univ, Cent Dept Environm Sci, Kathmandu, Nepal; [Gajewski, Konrad; Viau, Andre E.] Univ Ottawa, Dept Geog Environm &amp; Geomat, Ottawa, ON K1N 6N5, Canada; [Goosse, Hugues; Sauchyn, David] Catholic Univ Louvain, Earth &amp; Life Inst, B-1348 Louvain La Neuve, Belgium; [Gornostaeva, Anastasia] RAS, Urals Branch, Inst Geophys, Ekaterinburg, Russia; [Horiuchi, Kazuho] Hirosaki Univ, Grad Sch Sci &amp; Technol, Aomori 0368561, Japan; [Hormes, Anne] Univ Gothenburg, Dept Earth Sci, Fac Sci, SE-40530 Gothenburg, Sweden; [Kandasamy, Selvaraj] Xiamen Univ, State Key Lab Marine Environm Sci, Xiamen 361102, Peoples R China; [Kandasamy, Selvaraj] Xiamen Univ, Dept Geol Oceanog, Xiamen 361102, Peoples R China; [Kawamura, Kenji] Natl Inst Polar Res, Tachikawa, Tokyo 1908518, Japan; [Kawamura, Kenji] Dept Polar Sci, Tachikawa, Tokyo 1908518, Japan; [Kawamura, Kenji] Japan Agcy Marine Earth Sci &amp; Technol, Inst Biogeosci, Yokosuka, Kanagawa 2370061, Japan; [Kilbourne, K. Halimeda] Univ Maryland, Chesapeake Biol Lab, Ctr Environm Sci, Solomons, MD 20688 USA; [Leduc, Guillaume] Aix Marseille Univ, CNRS, IRD, CEREGE UM34, F-13545 Aix En Provence 4, France; [Linderholm, Hans W.] Univ Gothenburg, Dept Earth Sci, SE-40530 Gothenburg, Sweden; [Lorrey, Andrew M.] Natl Inst Water &amp; Atmospher Res, Auckland Cent 1010, New Zealand; [Mikhalenko, Vladimir] Russian Acad Sci, Inst Geog, Moscow 119017, Russia; [Mortyn, P. Graham] Univ Autonoma Barcelona, Inst Environm Sci &amp; Technol, Bellaterra 08193, Spain; [Mortyn, P. Graham] Univ Autonoma Barcelona, Dept Geog, Bellaterra 08193, Spain; [Motoyama, Hideaki] Natl Inst Polar Res, Res Org Informat &amp; Syst, Midoricho 10-3, Tachikawa, Tokyo, Japan; [Mulvaney, Robert; Thomas, Elizabeth R.] British Antarctic Survey, Cambridge CB3 0ET, England; [Munz, Philipp M.] Eberhard Karls Univ Tubingen, D-72074 Tubingen, Germany; [Nash, David J.] Univ Brighton, Sch Environm &amp; Technol, Brighton BN2 4GJ, E Sussex, England; [Nash, David J.] Univ Witwatersrand, Sch Geog Archaeol &amp; Environm Studies, ZA-2050 Johannesburg, South Africa; [Oerter, Hans] Helmholtz Ctr Polar &amp; Marine Res, Alfred Wegener Inst, D-27515 Bremerhaven, Germany; [Opel, Thomas] Helmholtz Ctr Polar &amp; Marine Res, Alfred Wegener Inst, D-14473 Potsdam, Germany; [Orsi, Anais J.] Lab Sci Climat &amp; Environm, F-91191 Gif Sur Yvette, France; [Ovchinnikov, Dmitriy V.] Russian Acad Sci, Siberian Branch, Sukachev Inst Forest, Krasnoyarsk 660036, Russia; [Porter, Trevor J.] Univ Toronto, Dept Geog, Mississauga, ON L5L 1C6, Canada; [Roop, Heidi A.] SUNY Buffalo, Dept Geol, Buffalo, NY 14260 USA; [Saenger, Casey] Univ Washington, Joint Inst Study Atmosphere &amp; Ocean, Seattle, WA 98105 USA; [Saunders, Krystyna M.] Australian Nucl Sci &amp; Technol Org, Lucas Heights, NSW 2234, Australia; [Saunders, Krystyna M.] Univ Bern, Oeschger Ctr Climate Change Res, CH-3012 Bern, Switzerland; [Saunders, Krystyna M.] Univ Bern, Inst Geog, CH-3012 Bern, Switzerland; [Seidenkrantz, Marit-Solveig] Aarhus Univ, Ctr Climate Studies, DK-8000 Aarhus C, Denmark; [Seidenkrantz, Marit-Solveig] Aarhus Univ, Arctic Res Ctr, Dept Geosci, DK-8000 Aarhus C, Denmark; [Severi, Mirko] Univ Florence, Dept Chem, Sesto Fiorentino, Italy; [Sicre, Marie-Alexandrine] Sorbonne Univ, LOCEAN, Case 100, F-75005 Paris, France; [Sigl, Michael] Paul Scherrer Inst, Lab Environm Chem, CH-5232 Villigen, Psi Ost, Switzerland; [Sinclair, Kate] Appl Aquat Res Ltd, Calgary, AB T3C 0K3, Canada; [St George, Scott; Thapa, Udya Kuwar] Univ Minnesota, Dept Geog Environm &amp; Soc, Minneapolis, MN 55455 USA; [St Jacques, Jeannine-Marie] Univ Regina, Prairie Adaptat Res Collaborat, Regina, SK S4S 0A2, Canada; [St Jacques, Jeannine-Marie] Concordia Univ, Geog Planning &amp; Environm, Montreal, PQ H3G 1M8, Canada; [Thamban, Meloth] Natl Ctr Antarctic &amp; Ocean Res, Vasco Da Gama 403804, Goa, India; [Turney, Chris] Univ New South Wales, Sch Biol Earth &amp; Environm Sci, Climate Change Res Ctr, Sydney, NSW 2052, Australia; [Uemura, Ryu] Univ Ryukyus, Dept Chem Biol &amp; Marine Sci, Fac Sci, Nishihara, Okinawa 9030213, Japan; [Wahl, Eugene R.] NOAA, Natl Ctr Environm Informat, World Data Serv Paleoclimatol, Boulder, CO 80305 USA; [White, James W. C.] Univ Colorado, Inst Arctic &amp; Alpine Res, Boulder, CO 80309 USA; [Yu, Zicheng] Lehigh Univ, Dept Earth &amp; Environm Sci, Bethlehem, PA 18015 USA; [Zinke, Jens] Dept Environm &amp; Agr, Bentley, WA 6845, Australia; [Zinke, Jens] Australian Inst Marine Sci, Townsville, Qld 4810, Australia; [Zinke, Jens] Free Univ Berlin, Inst Geol Sci, Paleontol, D-12249 Berlin, Germany</t>
  </si>
  <si>
    <t>University of Southern California; University of Southern California; University of Arizona; MathWorks; University of Arizona; University of Arizona; Australian National University; ARC Centre of Excellence for Climate System Science; Australian National University; United States Department of the Interior; United States Geological Survey; Australian Antarctic Division; University of Tasmania; University System of Maryland; University of Maryland College Park; University System of Maryland; University of Maryland College Park; University of Melbourne; Melbourne Bioinformatics; Chinese Academy of Sciences; Institute of Geographic Sciences &amp; Natural Resources Research, CAS; Consejo Superior de Investigaciones Cientificas (CSIC); CSIC - Centro de Investigacion y Desarrollo Pascual Vila (CID-CSIC); CSIC - Instituto de Diagnostico Ambiental y Estudios del Agua (IDAEA); University of Cambridge; University of Wollongong; University of Bern; University of Bern; United States Department of the Interior; United States Geological Survey; Universita Ca Foscari Venezia; University of Texas System; University of Texas Austin; University of Bergen; University of Bergen; Bjerknes Centre for Climate Research; Chinese Academy of Sciences; Institute of Geology &amp; Geophysics, CAS; Norwegian Polar Institute; UiT The Arctic University of Tromso; Melbourne Genomics Health Alliance; University of Melbourne; University of Melbourne; Melbourne Bioinformatics; Melbourne Genomics Health Alliance; University of Melbourne; Consejo Nacional de Investigaciones Cientificas y Tecnicas (CONICET); University Nacional Cuyo Mendoza; University Nacional Cuyo Mendoza; Research Institute for Humanity &amp; Nature (RIHN); University of Tasmania; University of Washington; University of Washington Seattle; University of Washington; University of Washington Seattle; University of Arizona; University of Adelaide; University of Adelaide; Melbourne Genomics Health Alliance; University of Melbourne; Victoria University Wellington; GNS Science - New Zealand; Swiss Federal Institutes of Technology Domain; Swiss Federal Institute for Forest, Snow &amp; Landscape Research; Centre National de la Recherche Scientifique (CNRS); Institut de Recherche pour le Developpement (IRD); Universite de Montpellier; National Taiwan Ocean University; Columbia University; Louisiana State University System; Louisiana State University; University of Maine System; University of Maine Orono; Arctic &amp; Antarctic Research Institute; Saint Petersburg State University; Northumbria University; Lund University; University of Quebec; Institut national de la recherche scientifique (INRS); Italian National Agency New Technical Energy &amp; Sustainable Economics Development; Nepal Academy of Science &amp; Technology (NAST); Tribhuvan University; University of Ottawa; Universite Catholique Louvain; Russian Academy of Sciences; Hirosaki University; University of Gothenburg; Xiamen University; Xiamen University; Research Organization of Information &amp; Systems (ROIS); National Institute of Polar Research (NIPR) - Japan; Japan Agency for Marine-Earth Science &amp; Technology (JAMSTEC); University System of Maryland; University of Maryland Center for Environmental Science; Universite PSL; College de France; Aix-Marseille Universite; Centre National de la Recherche Scientifique (CNRS); Institut de Recherche pour le Developpement (IRD); University of Gothenburg; Institute of Geography, Russian Academy of Sciences; Russian Academy of Sciences; Autonomous University of Barcelona; Autonomous University of Barcelona; Research Organization of Information &amp; Systems (ROIS); National Institute of Polar Research (NIPR) - Japan; UK Research &amp; Innovation (UKRI); Natural Environment Research Council (NERC); NERC British Antarctic Survey; Eberhard Karls University of Tubingen; University of Brighton; University of Witwatersrand; Helmholtz Association; Alfred Wegener Institute, Helmholtz Centre for Polar &amp; Marine Research; Helmholtz Association; Alfred Wegener Institute, Helmholtz Centre for Polar &amp; Marine Research; CEA; Centre National de la Recherche Scientifique (CNRS); Universite Paris Saclay; Russian Academy of Sciences; Krasnoyarsk Science Center of the Siberian Branch of the Russian Academy of Sciences; Sukachev Institute of Forest, Siberian Branch, Russian Academy of Sciences; University of Toronto; University Toronto Mississauga; State University of New York (SUNY) System; State University of New York (SUNY) Buffalo; University of Washington; University of Washington Seattle; Australian Nuclear Science &amp; Technology Organisation; University of Bern; University of Bern; Aarhus University; Aarhus University; University of Florence; Museum National d'Histoire Naturelle (MNHN); Sorbonne Universite; Swiss Federal Institutes of Technology Domain; Paul Scherrer Institute; University of Minnesota System; University of Minnesota Twin Cities; University of Regina; Concordia University - Canada; Ministry of Earth Sciences (MoES) - India; National Centre for Polar and Ocean Research (NCPOR); University of New South Wales Sydney; University of the Ryukyus; National Oceanic Atmospheric Admin (NOAA) - USA; University of Colorado System; University of Colorado Boulder; Lehigh University; Australian Institute of Marine Science; Free University of Berlin</t>
  </si>
  <si>
    <t>Emile-Geay, J (corresponding author), Univ Southern Calif, Dept Earth Sci, Los Angeles, CA 90089 USA.;Emile-Geay, J (corresponding author), Univ Southern Calif, Ctr Appl Math Sci, Los Angeles, CA 90089 USA.</t>
  </si>
  <si>
    <t>julieneg@usc.edu</t>
  </si>
  <si>
    <t>Steig, Eric J/G-9088-2015; , BH/D-8684-2011; Zinke, Jens/G-5026-2011; Sano, Masaki/HNI-0746-2023; FREZZOTTI, Massimo/AAK-7275-2020; Xu, Chenxi/E-9265-2016; Munz, Philipp Moritz/L-3621-2019; McKay, Nicholas Paul/JYQ-5440-2024; Allen, Kathryn/AAH-8535-2019; Xu, Chenxi/AAI-2686-2020; Ersek, Vasile/G-5287-2010; Ekaykin, Alexey A./K-9894-2015; Neukom, Raphael/J-7842-2017; Chen, Min-Te/AAD-5990-2021; Kilbourne, Kelly H/D-6560-2012; St-Jacques, Jeannine-Marie/A-4925-2015; Bertler, Nancy A N/F-3967-2011; Abram, Nerilie/AAT-5171-2021; Uemura, Ryu/AGR-0677-2022; Kaufman, Darrell S/A-2471-2008; Björklund, Jesper/JQW-8461-2023; Sano, Masaki/U-4133-2019; Kilbourne, Hali/AAD-6043-2022; Mikhalenko, Vladimir N/A-4253-2014; Filipsson, Helena L/F-7419-2011; Thomas, Elizabeth Ruth/ADF-3660-2022; Mulvaney, Robert/K-3929-2012; Severi, Mirko/J-2508-2012; Gornostaeva, Anastasiia/AAD-6326-2022; IPO, PAGES/JXY-7546-2024; Husum, Katrine/HGD-4711-2022; Uemura, Ryu/C-9793-2012; Kandasamy, Selvaraj/JJD-9543-2023; Chen, Min-Te/ABF-2935-2020; Gaire, Narayan/AAL-6422-2020; White, James W.C./A-7845-2009; Chase, Brian M/A-1202-2010; Hormes, Anne/X-9995-2019; Marie-Alexandrine, Sicre/AAR-1516-2020; DeLong, Kristine/B-7500-2008; Martrat, Belen/I-5952-2015; Seidenkrantz, Marit-Solveig/A-3451-2012; Mortyn, P. Graham/I-3860-2015; Kawamura, Kenji/C-7660-2011; Saunders, Krystyna/G-1368-2019; Linderholm, Hans/N-1020-2013; Kandasamy, Selvaraj/H-5812-2013; Emile-Geay, Julien/B-1102-2010; Werner, Johannes/H-5702-2012; Phipps, Steven/B-3135-2008; McGregor, Helen/I-1479-2013; Opel, Thomas/O-9037-2014; Turney, Chris/P-8701-2018; Thirumalai, Kaustubh/N-2511-2014</t>
  </si>
  <si>
    <t>, BH/0000-0003-3940-1963; Sano, Masaki/0000-0003-3391-9067; FREZZOTTI, Massimo/0000-0002-2461-2883; Xu, Chenxi/0000-0001-7747-0033; Munz, Philipp Moritz/0000-0002-3149-0546; Allen, Kathryn/0000-0002-8403-4552; Xu, Chenxi/0000-0001-7747-0033; Ersek, Vasile/0000-0001-9730-0007; Chen, Min-Te/0000-0002-7552-1615; Uemura, Ryu/0000-0002-4236-0085; Björklund, Jesper/0000-0003-4238-8173; Sano, Masaki/0000-0003-3391-9067; Kilbourne, Hali/0000-0001-7864-8438; Filipsson, Helena L/0000-0001-7200-8608; Thomas, Elizabeth Ruth/0000-0002-3010-6493; Husum, Katrine/0000-0003-1380-5900; Uemura, Ryu/0000-0002-4236-0085; Gaire, Narayan/0000-0002-9487-7852; Hormes, Anne/0000-0002-7722-8252; Marie-Alexandrine, Sicre/0000-0002-5015-1400; DeLong, Kristine/0000-0001-6320-421X; Martrat, Belen/0000-0001-9904-9178; Mortyn, P. Graham/0000-0002-9473-4309; Kawamura, Kenji/0000-0003-1163-700X; Addison, Jason/0000-0003-2416-9743; Horiuchi, Kazuho/0000-0003-3185-8766; Saunders, Krystyna/0000-0002-6800-2630; St. George, Scott/0000-0002-0945-4944; Seidenkrantz, Marit-Solveig/0000-0002-1973-5969; Thamban, Meloth/0000-0003-3379-8189; GERGIS, JOELLE/0000-0002-4168-7924; Mundo, Ignacio/0000-0002-7189-6073; Stenni, Barbara/0000-0003-4950-3664; Linderholm, Hans/0000-0002-1522-8919; Kandasamy, Selvaraj/0000-0003-2916-5055; Evans, Michael Neil/0000-0003-3727-6898; Tyler, Jonathan/0000-0001-8046-0215; Neukom, Raphael/0000-0001-9392-0997; McKay, Nicholas/0000-0003-3598-5113; Emile-Geay, Julien/0000-0001-5920-4751; Porter, Trevor/0000-0002-5916-1998; Werner, Johannes/0000-0003-4015-7398; Anchukaitis, Kevin/0000-0002-8509-8080; Abram, Nerilie/0000-0003-1246-2344; Phipps, Steven/0000-0001-5657-8782; Freund, Mandy Barbara/0000-0002-8839-5494; McGregor, Helen/0000-0002-4031-2282; Yu, Zicheng/0000-0003-2358-2712; Ge, Quansheng/0000-0001-8712-8565; von Gunten, Lucien/0000-0003-0425-2881; Nash, David/0000-0002-7641-5857; Opel, Thomas/0000-0003-1315-8256; Turney, Chris/0000-0001-6733-0993; Vladimirova, Diana/0000-0002-1678-0174; Tierney, Jessica/0000-0002-9080-9289; Thirumalai, Kaustubh/0000-0002-7875-4182; Bertler, Nancy/0000-0001-6028-4891</t>
  </si>
  <si>
    <t>U.S. and Swiss National Science Foundations; John Wesley Powell Center for Analysis and Synthesis - U.S. Geological Survey; Grants-in-Aid for Scientific Research [16H01772, 17H01621, 15KK0027, 25287051, 17H02020] Funding Source: KAKEN; NERC [bas0100034] Funding Source: UKRI; Directorate For Geosciences; Division Of Earth Sciences [1440015, 1347213] Funding Source: National Science Foundation; Div Atmospheric &amp; Geospace Sciences; Directorate For Geosciences [1619827] Funding Source: National Science Foundation; ICER; Directorate For Geosciences [1541029] Funding Source: National Science Foundation; ICER; Directorate For Geosciences [1540996] Funding Source: National Science Foundation</t>
  </si>
  <si>
    <t>U.S. and Swiss National Science Foundations; John Wesley Powell Center for Analysis and Synthesis - U.S. Geological Survey; Grants-in-Aid for Scientific Research(Ministry of Education, Culture, Sports, Science and Technology, Japan (MEXT)Japan Society for the Promotion of ScienceGrants-in-Aid for Scientific Research (KAKENHI)); NERC(UK Research &amp; Innovation (UKRI)Natural Environment Research Council (NERC)); Directorate For Geosciences; Division Of Earth Sciences(National Science Foundation (NSF)NSF - Directorate for Geosciences (GEO)); Div Atmospheric &amp; Geospace Sciences; Directorate For Geosciences(National Science Foundation (NSF)NSF - Directorate for Geosciences (GEO)); ICER; Directorate For Geosciences(National Science Foundation (NSF)NSF - Directorate for Geosciences (GEO)); ICER; Directorate For Geosciences(National Science Foundation (NSF)NSF - Directorate for Geosciences (GEO))</t>
  </si>
  <si>
    <t>PAGES, a core project of Future Earth, is supported by the U.S. and Swiss National Science Foundations. Any use of trade, firm, or product names is for descriptive purposes only and does not imply endorsement by the U.S. Government. Some of this work was conducted as part of the North America 2k Working Group supported by the John Wesley Powell Center for Analysis and Synthesis, funded by the U.S. Geological Survey. B. Bauer, W. Gross, and E. Gille (NOAA National Centers for Environmental Information) are gratefully acknowledged for helping assemble the data citations and creating the NCEI versions of the PAGES 2k data records. We thank all the investigators whose commitment to data sharing enables the open science ethos embodied by this project.</t>
  </si>
  <si>
    <t>10.1038/sdata.2017.88</t>
  </si>
  <si>
    <t>FA1CV</t>
  </si>
  <si>
    <t>Green Submitted, Green Accepted, Green Published, gold</t>
  </si>
  <si>
    <t>WOS:000405177600001</t>
  </si>
  <si>
    <t>Luxem, KE; Ellwood, MJ; Strzepek, RF</t>
  </si>
  <si>
    <t>Luxem, Katja E.; Ellwood, Michael J.; Strzepek, Robert F.</t>
  </si>
  <si>
    <t>Intraspecific variability in Phaeocystis antarctica's response to iron and light stress</t>
  </si>
  <si>
    <t>SOUTHERN-OCEAN PHYTOPLANKTON; HYDROXAMATE SIDEROPHORES; MARINE-PHYTOPLANKTON; USE EFFICIENCIES; LIMITATION; PRYMNESIOPHYCEAE; COASTAL; GROWTH; CARBON; BACILLARIOPHYCEAE</t>
  </si>
  <si>
    <t>Phaeocystis antarctica is an abundant phytoplankton species in the Southern Ocean, where growth is frequently limited by iron and light. Being able to grow under low iron conditions is essential to the species' success, but there have been hints that this ability differs among clones. Here, we compare the growth, cell size and chlorophyll a concentrations of four P. antarctica clones cultured under different iron and light conditions. Iron was provided either as unchelated iron (Fe) or bound to the bacterial siderophore desferrioxamine B, representing, respectively, the most and least bioavailable forms of iron which phytoplankton encounter in the marine environment. The growth rate data demonstrate that the clones vary in their ability to grow using organically bound iron, and that this ability is not related to their ability to grow at low inorganic iron concentrations. These results are consistent at low and high light. Physiologically, only three of the four clones shrink or decrease the concentration of chlorophyll a in response to iron limitation, and only one clone decreases colony formation. Together, our data show that P. antarctica clones 1) respond to the same degree of iron limitation using different acclimation strategies, and 2) vary in their ability to grow under the same external iron and light conditions. This physiological diversity is surprisingly large for isolates of a single phytoplankton species.</t>
  </si>
  <si>
    <t>[Luxem, Katja E.] CALTECH, Div Chem &amp; Chem Engn, Pasadena, CA 91125 USA; [Ellwood, Michael J.; Strzepek, Robert F.] Australian Natl Univ, Res Sch Earth Sci, Canberra, ACT, Australia; [Luxem, Katja E.] Princeton Univ, Dept Geosci, Princeton, NJ 08544 USA; [Strzepek, Robert F.] Univ Tasmania, Inst Marine &amp; Antarctic Studies, Hobart, Tas, Australia</t>
  </si>
  <si>
    <t>California Institute of Technology; Australian National University; Princeton University; University of Tasmania</t>
  </si>
  <si>
    <t>Luxem, KE (corresponding author), CALTECH, Div Chem &amp; Chem Engn, Pasadena, CA 91125 USA.;Luxem, KE (corresponding author), Princeton Univ, Dept Geosci, Princeton, NJ 08544 USA.</t>
  </si>
  <si>
    <t>kluxem@princeton.edu</t>
  </si>
  <si>
    <t>Strzepek, Robert Francis/GQH-8703-2022; Ellwood, Michael J/G-7390-2011</t>
  </si>
  <si>
    <t>Strzepek, Robert Francis/0000-0002-6442-7121; Luxem, Katja E./0000-0001-7310-0668; Ellwood, Michael/0000-0003-4288-8530</t>
  </si>
  <si>
    <t>Robert and Delpha Noland Summer Internship; Australian Research Council [DP130100679]</t>
  </si>
  <si>
    <t>Robert and Delpha Noland Summer Internship; Australian Research Council(Australian Research Council)</t>
  </si>
  <si>
    <t>KEL was supported by the Robert and Delpha Noland Summer Internship, which funded her travel to and accommodationin Australia. The Australian Research Council (DP130100679 to MJE) is acknowledged for funds to support this study. The funders had no role in study design, data collection and analysis, decision to publish, or preparation of the manuscript.</t>
  </si>
  <si>
    <t>JUL 10</t>
  </si>
  <si>
    <t>10.1371/journal.pone.0179751</t>
  </si>
  <si>
    <t>FA6HV</t>
  </si>
  <si>
    <t>WOS:000405544800016</t>
  </si>
  <si>
    <t>Bird, T; Lyon, J; Wotherspoon, S; King, R; McCarthy, M</t>
  </si>
  <si>
    <t>Bird, Tomas; Lyon, Jarod; Wotherspoon, Simon; King, Ruth; McCarthy, Michael</t>
  </si>
  <si>
    <t>Accounting for false mortality in telemetry tag applications</t>
  </si>
  <si>
    <t>Murray cod; Trout cod; Golden perch; Capture-recapture; Telemetry; Tag failure</t>
  </si>
  <si>
    <t>CAPTURE-RECAPTURE MODELS; MACCULLOCHELLA-MACQUARIENSIS; TROUT COD; FISH; PARAMETERS; IMPERFECT; SURVIVAL; DESIGN; PEELII; RIVER</t>
  </si>
  <si>
    <t>Deaths of animals in the wild are rarely observed directly, which often limits understanding of survival rates. Telemetry transmitters offer field ecologists the opportunity to observe mortality events in cases as the absence of animal movement. When observations of mortality are based on factors such as the absence of animal movement, live individuals can be mistaken for dead, resulting in biased estimates of survival. Additionally, tag failure or emigration might also influence estimates of survival in telemetry studies. Failing to account for mis-classification, tag failure, and emigration rates can result in overestimates of mortality rates by up two-fold, even when the data are corrected for obviously mistaken entries. We use a multi-state capture-recapture model with a misclassification parameter in estimating both the rate of permanent emigration and/or tag failure and the rate at which individuals are mistakenly identified as dead. We use this method on an annual telemetry survey of three species of native fish in the Murray river, Australia: Murray cod (Maccullochella peelii), trout cod (Maccullochella macquariensis) and golden perch (Macquaria ambigua). Evidence for higher mortality rates in the first year post-implantation occurred for Murray cod and golden perch, which is likely an effect of tagging and/or the transmitter, or transmitters shedding. Using simulations, we confirm that our model approach is robust to a broad range of misclassification and transmitter failure rates. With these simulations we also demonstrate that misclassification models that do not account for emigration will likely be erroneous if live and dead animals have different probabilities of detection. These findings will have a broad interest to ecologists wishing to account for multiple sources of misclassification error in capture-mark-recapture studies, with the caveat that the specifics of the approach are dependent on species, transmitter types and other aspects of experimental design which may or may not be amenable to the misclassification framework. (C) 2017 Elsevier B.V. All rights reserved.</t>
  </si>
  <si>
    <t>[Bird, Tomas; McCarthy, Michael] Univ Melbourne, Dept Bot, Melbourne, Vic, Australia; [Lyon, Jarod] Arthur Rylah Inst, Dept Sustainabil &amp; Environm, Melbourne, Vic, Australia; [Wotherspoon, Simon] Univ Tasmania, Inst Marine &amp; Antarctic Studies, Hobart, Tas, Australia; [King, Ruth] Univ St Andrews, Sch Math &amp; Stat, St Andrews, Fife, Scotland; [King, Ruth] Univ St Andrews, Ctr Res Ecol &amp; Environm Modelling, St Andrews, Fife, Scotland</t>
  </si>
  <si>
    <t>University of Melbourne; Melbourne Bioinformatics; Melbourne Genomics Health Alliance; University of Tasmania; University of St Andrews; University of St Andrews</t>
  </si>
  <si>
    <t>Bird, T (corresponding author), Univ Melbourne, Dept Bot, Melbourne, Vic, Australia.</t>
  </si>
  <si>
    <t>tbird@student.unimelb.edu.au</t>
  </si>
  <si>
    <t>King, Ruth/K-8297-2019; Wotherspoon, Simon J/B-2390-2013; McCarthy, Michael/O-5655-2014</t>
  </si>
  <si>
    <t>Wotherspoon, Simon J/0000-0002-6947-4445; McCarthy, Michael/0000-0003-1039-7980; King, Ruth/0000-0002-5174-8727; lyon, jarod/0000-0002-8762-4128</t>
  </si>
  <si>
    <t>10.1016/j.ecolmodel.2017.01.019</t>
  </si>
  <si>
    <t>EW2SH</t>
  </si>
  <si>
    <t>WOS:000402345800012</t>
  </si>
  <si>
    <t>Pérez-Hernández, MD; Hernández-Guerra, A; Comas-Rodríguez, I; Benítez-Barrios, VM; Fraile-Nuez, E; Pelegrí, JL; Garabato, ACN</t>
  </si>
  <si>
    <t>Dolores Perez-Hernandez, M.; Hernandez-Guerra, Alonso; Comas-Rodriguez, Isis; Benitez-Barrios, Veronica M.; Fraile-Nuez, Eugenio; Pelegri, Josep L.; Naveira Garabato, Alberto C.</t>
  </si>
  <si>
    <t>Differences between 1999 and 2010 across the Falkland Plateau: fronts and water masses</t>
  </si>
  <si>
    <t>ANTARCTIC CIRCUMPOLAR CURRENT; DRAKE PASSAGE; CLIMATE-CHANGE; SOUTH GEORGIA; SCOTIA SEA; TRANSPORT; VARIABILITY; CONFLUENCE; ATLANTIC</t>
  </si>
  <si>
    <t>Decadal differences in the Falkland Plateau are studied from the two full-depth hydrographic data collected during the ALBATROSS (April 1999) and MOC-Austral (February 2010) cruises. Differences in the upper 100 dbar are due to changes in the seasonal thermocline, as the ALBATROSS cruise took place in the austral fall and the MOC-Austral cruise in summer. The intermediate water masses seem to be very sensitive to the wind conditions existing in their formation area, showing cooling and freshening for the decade as a consequence of a higher Antarctic Intermediate Water (AAIW) contribution and of a decrease in the Subantarctic Mode Water (SAMW) stratum. The deeper layers do not exhibit any significant change in the water mass properties. The Subantarctic Front (SAF) in 1999 is observed at 52.2-54.8 degrees W with a relative mass transport of 32.6 Sv. In contrast, the SAF gets wider in 2010, stretching from 51.1 to 57.2 degrees W (the Falkland Islands), and weakening to 17.9 Sv. Changes in the SAF can be linked with the westerly winds and mainly affect the northward flow of Subantarctic Surface Water (SASW), SAMW and AAIW/Antarctic Surface Water (AASW). The Polar Front (PF) carries 24.9 Sv in 1999 (49.8-44.4 degrees W), while in 2010 (49.9-49.2 degrees W) it narrows and strengthens to 37.3 Sv.</t>
  </si>
  <si>
    <t>[Dolores Perez-Hernandez, M.; Hernandez-Guerra, Alonso; Comas-Rodriguez, Isis; Benitez-Barrios, Veronica M.] Univ Las Palmas Gran Canaria, Inst Oceanog &amp; Cambio Global IOCAG, Las Palmas Gran Canaria, Spain; [Fraile-Nuez, Eugenio] Inst Espanol Oceanog, Ctr Oceanog Canarias, Santa Cruz De Tenerife, Spain; [Pelegri, Josep L.] CSIC, Inst Ciencies Mar, Barcelona, Spain; [Naveira Garabato, Alberto C.] Univ Southampton, Natl Oceanog Ctr, Southampton, Hants, England; [Dolores Perez-Hernandez, M.] Woods Hole Oceanog Inst, Dept Phys Oceanog, Woods Hole, MA 02543 USA</t>
  </si>
  <si>
    <t>Universidad de Las Palmas de Gran Canaria; Spanish Institute of Oceanography; Consejo Superior de Investigaciones Cientificas (CSIC); CSIC - Centro Mediterraneo de Investigaciones Marinas y Ambientales (CMIMA); CSIC - Instituto de Ciencias del Mar (ICM); University of Southampton; NERC National Oceanography Centre; Woods Hole Oceanographic Institution</t>
  </si>
  <si>
    <t>Pérez-Hernández, MD (corresponding author), Univ Las Palmas Gran Canaria, Inst Oceanog &amp; Cambio Global IOCAG, Las Palmas Gran Canaria, Spain.;Pérez-Hernández, MD (corresponding author), Woods Hole Oceanog Inst, Dept Phys Oceanog, Woods Hole, MA 02543 USA.</t>
  </si>
  <si>
    <t>mdolores.perez@whoi.edu</t>
  </si>
  <si>
    <t>Garabato, Alberto Naveira/AAQ-1114-2020; Pelegrí, Josep L/L-5815-2014; Hernandez-Guerra, Alonso/A-4747-2008; Nuez, Eugenio Fraile/R-2258-2019; Comas-Rodríguez, Isis/B-5682-2013; Pérez-Hernández, Maria Dolores/J-5330-2014</t>
  </si>
  <si>
    <t>Garabato, Alberto Naveira/0000-0001-6071-605X; Pelegrí, Josep L/0000-0003-0661-2190; Hernandez-Guerra, Alonso/0000-0002-4883-8123; Nuez, Eugenio Fraile/0000-0003-4250-4445; Pérez-Hernández, Maria Dolores/0000-0001-7293-9584</t>
  </si>
  <si>
    <t>MOC2 [CTM2008-06438-C02-02/MAR]; Sevacan [CTM201348695]; Spanish Government; Natural Environment Research Council [GR3/11654]</t>
  </si>
  <si>
    <t>MOC2; Sevacan; Spanish Government(Spanish Government); Natural Environment Research Council(UK Research &amp; Innovation (UKRI)Natural Environment Research Council (NERC))</t>
  </si>
  <si>
    <t>This study has been performed thanks to MOC2 (CTM2008-06438-C02-02/MAR) and Sevacan (CTM201348695), financed by the Spanish Government. The ALBATROSS cruise was funded by a Natural Environment Research Council grant (GR3/11654). This work was completed while M. Dolores Perez-Hernandez was a PhD student in the IOCAG Doctoral Programme in Oceanography and Global Change. The authors would like to thank David Sosa, Rayco Alvarado and all the scientific team and crew onboard the BIO Hesperides for their hard work at sea during the MOC-Austral cruise.</t>
  </si>
  <si>
    <t>JUL 7</t>
  </si>
  <si>
    <t>10.5194/os-13-577-2017</t>
  </si>
  <si>
    <t>FA3DJ</t>
  </si>
  <si>
    <t>WOS:000405321700001</t>
  </si>
  <si>
    <t>Sasaki, A; Mizuno, AN</t>
  </si>
  <si>
    <t>Sasaki, Akira; Mizuno, Akiko N.</t>
  </si>
  <si>
    <t>Pdrtitioning light spectra: Adaptive stratification of phytobenthic communities in Antarctic lakes</t>
  </si>
  <si>
    <t>JOURNAL OF THEORETICAL BIOLOGY</t>
  </si>
  <si>
    <t>Communality buildup; Photosynthesis; Photoinhibition; Phytobenthic mat; Antarctic freshwater lake</t>
  </si>
  <si>
    <t>CHROMATIC ADAPTATION; PHOTOSYSTEM-II; PHOTOSYNTHESIS; PHYTOPLANKTON; EFFICIENCY; LEAVES; PHOTOINHIBITION; ULTRASTRUCTURE; SCYTONEMIN; PIGMENT</t>
  </si>
  <si>
    <t>Competition for light has an important influence for phototrophic community structures, especially, along the perpendicular axis. Here we develop a mathematical model for perpendicular community buildup of phototrophic species that differ in light absorption spectra and compete for incident light. Details of photon capture efficiencies and the roles of photoinhibition were taken into consideration to define species' fitness. Our theory showed that, if there is strong light irradiation due, for example, to the high transparency of the water in freshwater lakes in Antarctica, protective absorption of light should occur near the surface and photosynthetic absorption should gradually increase with depth. These results were then validated in comparison with observed vertical distributions of pigments in phytobenthic-mat communities from Antarctic lakes. 2017 Elsevier Ltd. All rights reserved.</t>
  </si>
  <si>
    <t>[Sasaki, Akira] Grad Univ Adv Studies, SOKENDAI, Dept Evolutionary Studies Biosyst, Hayama, Kanagawa 2400193, Japan; [Sasaki, Akira] Int Inst Appl Syst Anal, Evolut &amp; Ecol Program, A-2361 Laxenburg, Austria; [Mizuno, Akiko N.] Nagoya Univ, Inst Space Earth Environm Res ISEE, Chikusa Ku, Furo Cho, Nagoya, Aichi 4648601, Japan</t>
  </si>
  <si>
    <t>Graduate University for Advanced Studies - Japan; International Institute for Applied Systems Analysis (IIASA); Nagoya University</t>
  </si>
  <si>
    <t>Sasaki, A (corresponding author), Grad Univ Adv Studies, SOKENDAI, Dept Evolutionary Studies Biosyst, Hayama, Kanagawa 2400193, Japan.</t>
  </si>
  <si>
    <t>sasaki_aldra@soken.ac.jp; mizuno.nishino.akiko@gmail.com</t>
  </si>
  <si>
    <t>MEXT Grant [26310213]; Center for Promotion of Integrated Sciences at The Graduate University for Advanced Studies; Grants-in-Aid for Scientific Research [26310213, 24115008] Funding Source: KAKEN</t>
  </si>
  <si>
    <t>MEXT Grant(Ministry of Education, Culture, Sports, Science and Technology, Japan (MEXT)); Center for Promotion of Integrated Sciences at The Graduate University for Advanced Studies; Grants-in-Aid for Scientific Research(Ministry of Education, Culture, Sports, Science and Technology, Japan (MEXT)Japan Society for the Promotion of ScienceGrants-in-Aid for Scientific Research (KAKENHI))</t>
  </si>
  <si>
    <t>We thank Drs. Sakae Kudoh, Yukiko Tanabe, Kohei Yoshiyama, and Tomoyuki Shikata for discussion. This work is partly supported by a MEXT Grant No. 26310213, and by the Center for Promotion of Integrated Sciences at The Graduate University for Advanced Studies.</t>
  </si>
  <si>
    <t>0022-5193</t>
  </si>
  <si>
    <t>1095-8541</t>
  </si>
  <si>
    <t>J THEOR BIOL</t>
  </si>
  <si>
    <t>J. Theor. Biol.</t>
  </si>
  <si>
    <t>10.1016/j.jtbi.2017.04.022</t>
  </si>
  <si>
    <t>Biology; Mathematical &amp; Computational Biology</t>
  </si>
  <si>
    <t>Life Sciences &amp; Biomedicine - Other Topics; Mathematical &amp; Computational Biology</t>
  </si>
  <si>
    <t>EX8US</t>
  </si>
  <si>
    <t>WOS:000403526300001</t>
  </si>
  <si>
    <t>Yao, WJ; Shi, JX; Zhao, XL</t>
  </si>
  <si>
    <t>Yao, Wenjun; Shi, Jiuxin; Zhao, Xiaolong</t>
  </si>
  <si>
    <t>Freshening of Antarctic Intermediate Water in the South Atlantic Ocean in 2005-2014</t>
  </si>
  <si>
    <t>AGULHAS LEAKAGE; INTEROCEAN EXCHANGE; DECADAL CHANGES; CIRCULATION; MODE; VARIABILITY; PACIFIC; RECIRCULATION; THERMOCLINE; FRONTS</t>
  </si>
  <si>
    <t>Basin-scale freshening of Antarctic Intermediate Water (AAIW) is reported to have occurred in the South Atlantic Ocean during the period from 2005 to 2014, as shown by the gridded monthly means of the Array for Real-time Geostrophic Oceanography (Argo) data. This phenomenon was also revealed by two repeated transects along a section at 30 degrees S, performed during the World Ocean Circulation Experiment Hydrographic Program. Freshening of the AAIW was compensated for by a salinity increase of thermocline water, indicating a hydrological cycle intensification. This was supported by the precipitation-minus-evaporation change in the Southern Hemisphere from 2000 to 2014. Freshwater input from atmosphere to ocean surface increased in the subpolar high-precipitation region and vice versa in the subtropical high-evaporation region. Against the background of hydrological cycle changes, a decrease in the transport of Agulhas Leakage (AL), which was revealed by the simulated velocity field, was proposed to be a contributor to the associated freshening of AAIW. Further calculation showed that such a decrease could account for approximately 53% of the observed freshening (mean salinity reduction of about 0.012 over the AAIW layer). The estimated variability of AL was inferred from a weakening of wind stress over the South Indian Ocean since the beginning of the 2000s, which would facilitate freshwater input from the source region. The mechanical analysis of wind data here was qualitative, but it is contended that this study would be helpful to validate and test predictably coupled sea-air model simulations.</t>
  </si>
  <si>
    <t>[Yao, Wenjun; Shi, Jiuxin] Ocean Univ China, Phys Oceanog Lab, CIMST, Qingdao, Peoples R China; [Yao, Wenjun; Shi, Jiuxin] Qingdao Natl Lab Marine Sci &amp; Technol, Qingdao, Peoples R China; [Zhao, Xiaolong] State Ocean Adm, North China Sea Marine Forecasting Ctr, Qingdao 266061, Shandong, Peoples R China</t>
  </si>
  <si>
    <t>Ocean University of China; Laoshan Laboratory</t>
  </si>
  <si>
    <t>Yao, WJ (corresponding author), Ocean Univ China, Phys Oceanog Lab, CIMST, Qingdao, Peoples R China.;Yao, WJ (corresponding author), Qingdao Natl Lab Marine Sci &amp; Technol, Qingdao, Peoples R China.</t>
  </si>
  <si>
    <t>wjimyao@gmail.com</t>
  </si>
  <si>
    <t>Shi, Jiuxin/AAK-5495-2021</t>
  </si>
  <si>
    <t>Shi, Jiuxin/0000-0002-5825-8894; Yao, Wenjun/0000-0002-6739-461X</t>
  </si>
  <si>
    <t>Chinese Polar Environment Comprehensive Investigation and Assessment Programs [CHINARE-04-04, CHINARE-04-01]</t>
  </si>
  <si>
    <t>Chinese Polar Environment Comprehensive Investigation and Assessment Programs</t>
  </si>
  <si>
    <t>This study is supported by the Chinese Polar Environment Comprehensive Investigation and Assessment Programs (grant nos. CHINARE-04-04, CHINARE-04-01).</t>
  </si>
  <si>
    <t>1812-0792</t>
  </si>
  <si>
    <t>JUL 6</t>
  </si>
  <si>
    <t>10.5194/os-13-521-2017</t>
  </si>
  <si>
    <t>FA3DG</t>
  </si>
  <si>
    <t>WOS:000405321300001</t>
  </si>
  <si>
    <t>Liau, JR; Chao, BF</t>
  </si>
  <si>
    <t>Liau, Jen-Ru; Chao, Benjamin F.</t>
  </si>
  <si>
    <t>Variation of Antarctic circumpolar current and its intensification in relation to the southern annular mode detected in the time-variable gravity signals by GRACE satellite</t>
  </si>
  <si>
    <t>EARTH PLANETS AND SPACE</t>
  </si>
  <si>
    <t>Antarctic circumpolar current; Geostrophic balance; GRACE satellite; Southern annular mode</t>
  </si>
  <si>
    <t>CURRENT TRANSPORT VARIABILITY; OCEAN CURRENTS; CLIMATE-CHANGE; HEMISPHERE; TEMPERATURE; CIRCULATION; ALTIMETRY; BALANCE; FIELD</t>
  </si>
  <si>
    <t>The southern annular mode (SAM) in the atmosphere and the Antarctic circumpolar current (ACC) in the ocean play decisive roles in the climatic system of the mid-to high-latitude southern hemisphere. Using the time-variable gravity data from the GRACE satellite mission, we find the link between the space-time variabilities of the ACC and the SAM. We calculate the empirical orthogonal functions (EOF) of the non-seasonal ocean bottom pressure (OBP) field in the circum-Antarctic seas from the GRACE data for the period from 2003 to 2015. We find that the leading EOF mode of the non-seasonal OBP represents a unison OBP oscillation around Antarctica with time history closely in pace with that of the SAM Index with a high correlation of 0.77. This OBP variation gives rise to a variation in the geostrophic flow field; the result for the same EOF mode shows heightened variations in the zonal velocity that resides primarily in the eastern hemispheric portion of the ACC and coincided geographically with the southernmost boundary of the ACC's main stream. Confirming previous oceanographic studies, these geodetic satellite results provide independent information toward better understanding of the ACC-SAM process.</t>
  </si>
  <si>
    <t>[Liau, Jen-Ru; Chao, Benjamin F.] Acad Sinica, Inst Earth Sci, Taipei, Taiwan; [Liau, Jen-Ru] Natl Cent Univ, Dept Earth Sci, Taoyuan, Taiwan</t>
  </si>
  <si>
    <t>Academia Sinica - Taiwan; National Central University</t>
  </si>
  <si>
    <t>Chao, BF (corresponding author), Acad Sinica, Inst Earth Sci, Taipei, Taiwan.</t>
  </si>
  <si>
    <t>bfchao@earth.sinica.edu.tw</t>
  </si>
  <si>
    <t>Chao, Benjamin Fong/N-6156-2013</t>
  </si>
  <si>
    <t>Ministry of Science and Technology of Taiwan [103-2116-M-001-024, 104-2116-M-001-006, 105-2116-M-001-016]</t>
  </si>
  <si>
    <t>Ministry of Science and Technology of Taiwan(Ministry of Science and Technology, Taiwan)</t>
  </si>
  <si>
    <t>We are grateful to Yun-Hao Wu for discussions and K. Katsumata and W. Feng for useful information, the anonymous reviewers for their detailed and insightful comments to the manuscript. We particularly thank the assistance of the summer intern students Ya-Min Yang, Ya-Ting Tsui and Wan-Hsin Yang. The TVG data were available from the GRACE Project and the Center for Space Research, University of Texas. This work is supported by the Ministry of Science and Technology of Taiwan via Grants # 103-2116-M-001-024, 104-2116-M-001-006 and 105-2116-M-001-016.</t>
  </si>
  <si>
    <t>1880-5981</t>
  </si>
  <si>
    <t>EARTH PLANETS SPACE</t>
  </si>
  <si>
    <t>Earth Planets Space</t>
  </si>
  <si>
    <t>10.1186/s40623-017-0678-3</t>
  </si>
  <si>
    <t>FA0RG</t>
  </si>
  <si>
    <t>WOS:000405142400001</t>
  </si>
  <si>
    <t>Hasenclever, J; Knorr, G; Rüpke, LH; Köhler, P; Morgan, J; Garofalo, K; Barker, S; Lohmann, G; Hall, IR</t>
  </si>
  <si>
    <t>Hasenclever, Joerg; Knorr, Gregor; Ruepke, Lars H.; Koehler, Peter; Morgan, Jason; Garofalo, Kristin; Barker, Stephen; Lohmann, Gerrit; Hall, Ian R.</t>
  </si>
  <si>
    <t>Sea level fall during glaciation stabilized atmospheric CO2 by enhanced volcanic degassing</t>
  </si>
  <si>
    <t>HYDROTHERMAL ACTIVITY; CARBON EMISSIONS; ICE VOLUME; OCEAN; MANTLE; MODELS; CYCLE; TEMPERATURE; VARIABILITY; RECORD</t>
  </si>
  <si>
    <t>Paleo-climate records and geodynamic modelling indicate the existence of complex interactions between glacial sea level changes, volcanic degassing and atmospheric CO2, which may have modulated the climate system's descent into the last ice age. Between similar to 85 and 70 kyr ago, during an interval of decreasing axial tilt, the orbital component in global temperature records gradually declined, while atmospheric CO2, instead of continuing its long-term correlation with Antarctic temperature, remained relatively stable. Here, based on novel global geodynamic models and the joint interpretation of paleo-proxy data as well as biogeochemical simulations, we show that a sea level fall in this interval caused enhanced pressure-release melting in the uppermost mantle, which may have induced a surge in magma and CO2 fluxes from mid-ocean ridges and oceanic hotspot volcanoes. Our results reveal a hitherto unrecognized negative feedback between glaciation and atmospheric CO2 predominantly controlled by marine volcanism on multi-millennial timescales of similar to 5,000-15,000 years.</t>
  </si>
  <si>
    <t>[Hasenclever, Joerg; Ruepke, Lars H.; Garofalo, Kristin] GEOMAR Helmholtz Ctr Ocean Res Kiel, Wischhofstr 1-3, D-24159 Kiel, Germany; [Hasenclever, Joerg] Univ Bremen, Fac Geosci, Klagenfurter Str 2-4, D-28359 Bremen, Germany; [Knorr, Gregor; Koehler, Peter; Lohmann, Gerrit] Helmholtz Zentrum Polar &amp; Meeresforsch AWI, Alfred Wegener Inst, POB 12 01 61, D-27515 Bremerhaven, Germany; [Knorr, Gregor; Barker, Stephen; Hall, Ian R.] Cardiff Univ, Sch Earth &amp; Ocean Sci, Cardiff CF10 3AT, S Glam, Wales; [Morgan, Jason] Royal Holloway Univ London, Dept Earth Sci, Egham TW20 0EX, Surrey, England</t>
  </si>
  <si>
    <t>Helmholtz Association; GEOMAR Helmholtz Center for Ocean Research Kiel; University of Bremen; Helmholtz Association; Alfred Wegener Institute, Helmholtz Centre for Polar &amp; Marine Research; Cardiff University; University of London; Royal Holloway University London</t>
  </si>
  <si>
    <t>Rüpke, LH (corresponding author), GEOMAR Helmholtz Ctr Ocean Res Kiel, Wischhofstr 1-3, D-24159 Kiel, Germany.;Knorr, G (corresponding author), Helmholtz Zentrum Polar &amp; Meeresforsch AWI, Alfred Wegener Inst, POB 12 01 61, D-27515 Bremerhaven, Germany.;Knorr, G (corresponding author), Cardiff Univ, Sch Earth &amp; Ocean Sci, Cardiff CF10 3AT, S Glam, Wales.</t>
  </si>
  <si>
    <t>gregor.knorr@awi.de; lruepke@geomar.de</t>
  </si>
  <si>
    <t>Stephen, Barker/C-2770-2009; Ruepke, Lars/AAA-4099-2020; Zhang, Junyuan/P-9292-2018; Köhler, Peter/F-7293-2010; Hall, Ian/C-2755-2009; Lohmann, Gerrit/M-7453-2016</t>
  </si>
  <si>
    <t>Ruepke, Lars/0000-0001-7025-4362; Köhler, Peter/0000-0003-0904-8484; Morgan, Jason/0000-0002-3100-0877; Barker, Stephen/0000-0001-7870-6431; Hall, Ian/0000-0001-6960-1419; Knorr, Gregor/0000-0002-8317-5046; Lohmann, Gerrit/0000-0003-2089-733X</t>
  </si>
  <si>
    <t>'Helmholtz Climate Initiative REKLIM' (Regional Climate Change), a joint research project of the Helmholtz Association of German research centres (HGF)</t>
  </si>
  <si>
    <t>This study is promoted by the PACES-II and OCEANS programs of the Alfred Wegener Institute Helmholtz Center for Polar and Marine Research (AWI) in Bremerhaven and the GEOMAR Helmholtz Centre for Ocean Research Kiel, respectively. Funding by 'Helmholtz Climate Initiative REKLIM' (Regional Climate Change), a joint research project of the Helmholtz Association of German research centres (HGF), is gratefully acknowledged (G.K.). Furthermore, this study is a contribution to the German BMBF project PalMod.</t>
  </si>
  <si>
    <t>10.1038/ncomms15867</t>
  </si>
  <si>
    <t>EZ6OL</t>
  </si>
  <si>
    <t>Green Accepted, gold, Green Published</t>
  </si>
  <si>
    <t>WOS:000404837100001</t>
  </si>
  <si>
    <t>Hertzberg, J</t>
  </si>
  <si>
    <t>Hertzberg, Jennifer</t>
  </si>
  <si>
    <t>Ice-sheet history revealed by fossils</t>
  </si>
  <si>
    <t>PINE ISLAND GLACIER; WEST ANTARCTICA; OCEAN</t>
  </si>
  <si>
    <t>Microscopic fossils show that, from 10,400 to 7,500 years ago, upwelling of a water mass called Circumpolar Deep Water destabilized Antarctic ice shelves - a finding that advances our understanding of ice-sheet retreat. See Article p. 43</t>
  </si>
  <si>
    <t>[Hertzberg, Jennifer] Univ Connecticut, Dept Marine Sci, Groton, CT 06340 USA</t>
  </si>
  <si>
    <t>University of Connecticut</t>
  </si>
  <si>
    <t>Hertzberg, J (corresponding author), Univ Connecticut, Dept Marine Sci, Groton, CT 06340 USA.</t>
  </si>
  <si>
    <t>jennifer.hertzberg@uconn.edu</t>
  </si>
  <si>
    <t>Hertzberg, Jennifer E/I-7324-2012</t>
  </si>
  <si>
    <t>Hertzberg, Jennifer/0000-0001-6437-5977</t>
  </si>
  <si>
    <t>10.1038/547035a</t>
  </si>
  <si>
    <t>EZ6PM</t>
  </si>
  <si>
    <t>WOS:000404839900023</t>
  </si>
  <si>
    <t>Hillenbrand, CD; Smith, JA; Hodell, DA; Greaves, M; Poole, CR; Kender, S; Williams, M; Andersen, TJ; Jernas, PE; Elderfield, H; Klages, JP; Roberts, SJ; Gohl, K; Larter, RD; Kuhn, G</t>
  </si>
  <si>
    <t>Hillenbrand, Claus-Dieter; Smith, James A.; Hodell, David A.; Greaves, Mervyn; Poole, Christopher R.; Kender, Sev; Williams, Mark; Andersen, Thorbjorn Joest; Jernas, Patrycja E.; Elderfield, Henry; Klages, Johann P.; Roberts, Stephen J.; Gohl, Karsten; Larter, Robert D.; Kuhn, Gerhard</t>
  </si>
  <si>
    <t>West Antarctic Ice Sheet retreat driven by Holocene warm water incursions</t>
  </si>
  <si>
    <t>AMUNDSEN SEA EMBAYMENT; PINE ISLAND GLACIER; BENTHIC FORAMINIFERAL B/CA; GROUNDING-LINE RETREAT; SOUTHERN-OCEAN; WEDDELL SEA; PLANKTONIC-FORAMINIFERA; CONTINENTAL-MARGIN; ATLANTIC SECTOR; SHELF HISTORY</t>
  </si>
  <si>
    <t>Glaciological and oceanographic observations coupled with numerical models show that warm Circumpolar Deep Water (CDW) incursions onto the West Antarctic continental shelf cause melting of the undersides of floating ice shelves. Because these ice shelves buttress glaciers feeding into them, their ocean-induced thinning is driving Antarctic ice-sheet retreat today. Here we present a multi-proxy data based reconstruction of variability in CDW inflow to the Amundsen Sea sector, the most vulnerable part of the West Antarctic Ice Sheet, during the Holocene epoch (from 11.7 thousand years ago to the present). The chemical compositions of foraminifer shells and benthic foraminifer assemblages in marine sediments indicate that enhanced CDW upwelling, controlled by the latitudinal position of the Southern Hemisphere westerly winds, forced deglaciation of this sector from at least 10,400 years ago until 7,500 years ago-when an ice-shelf collapse may have caused rapid ice-sheet thinning further upstream-and since the 1940s. These results increase confidence in the predictive capability of current ice-sheet models.</t>
  </si>
  <si>
    <t>[Hillenbrand, Claus-Dieter; Smith, James A.; Roberts, Stephen J.; Larter, Robert D.] British Antarctic Survey, High Cross,Madingley Rd, Cambridge CB3 0ET, England; [Hodell, David A.; Greaves, Mervyn; Elderfield, Henry] Univ Cambridge, Dept Earth Sci, Downing St, Cambridge CB2 3EQ, England; [Poole, Christopher R.; Williams, Mark] Univ Leicester, Dept Geol, Leicester LE1 7RH, Leics, England; [Poole, Christopher R.] UCL, Dept Earth Sci, London WC1E 6BT, England; [Kender, Sev] Univ Exeter, Camborne Sch Mines, Penryn TR10 9FE, Cornwall, England; [Kender, Sev] British Geol Survey, Nottingham NG12 5GG, England; [Andersen, Thorbjorn Joest] Univ Copenhagen, Dept Geosci &amp; Nat Resource Management, Ctr Permafrost CENPERM, DK-1350 Copenhagen K, Denmark; [Jernas, Patrycja E.] Arctic Univ Norway, Univ Tromso, Dept Geosci, N-9037 Tromso, Norway; [Klages, Johann P.; Gohl, Karsten; Kuhn, Gerhard] Alfred Wegener Inst, Dept Geosci, Helmholtz Zentrum Polar &amp; Meeresforsch, Alten Hafen 26, D-27568 Bremerhaven, Germany</t>
  </si>
  <si>
    <t>UK Research &amp; Innovation (UKRI); Natural Environment Research Council (NERC); NERC British Antarctic Survey; University of Cambridge; University of Leicester; University of London; University College London; University of Exeter; UK Research &amp; Innovation (UKRI); Natural Environment Research Council (NERC); NERC British Geological Survey; University of Copenhagen; UiT The Arctic University of Tromso; Helmholtz Association; Alfred Wegener Institute, Helmholtz Centre for Polar &amp; Marine Research</t>
  </si>
  <si>
    <t>Hillenbrand, CD (corresponding author), British Antarctic Survey, High Cross,Madingley Rd, Cambridge CB3 0ET, England.</t>
  </si>
  <si>
    <t>hilc@bas.ac.uk</t>
  </si>
  <si>
    <t>; Williams, Mark/B-7590-2009; Kender, Sev/B-9409-2016; Andersen, Thorbjorn Joest/N-7560-2014</t>
  </si>
  <si>
    <t>Klages, Johann Philipp/0000-0003-0968-1183; Hodell, David/0000-0001-8537-1588; Poole, Christopher R./0000-0003-1401-3307; Williams, Mark/0000-0002-7987-6069; Greaves, Mervyn/0000-0001-8014-8627; Kender, Sev/0000-0003-4216-3214; Kuhn, Gerhard/0000-0001-6069-7485; Andersen, Thorbjorn Joest/0000-0001-5032-9945; Roberts, Stephen/0000-0003-3407-9127; Gohl, Karsten/0000-0002-9558-2116; Jernas, Patrycja Ewa/0000-0002-9012-1804</t>
  </si>
  <si>
    <t>Natural Environment Research Council (NERC); NERC [NE/M013081/1]; Helmholtz Association; European Research Council (ERC) [2010-NEWLOG ADG-267931 HE]; Natural Environment Research Council [bas0100030, NE/M013081/1, nigl010001] Funding Source: researchfish; NERC [NE/M013081/1, nigl010001, bas0100030, NE/J006513/1] Funding Source: UKRI</t>
  </si>
  <si>
    <t>Natural Environment Research Council (NERC)(UK Research &amp; Innovation (UKRI)Natural Environment Research Council (NERC)); NERC(UK Research &amp; Innovation (UKRI)Natural Environment Research Council (NERC)); Helmholtz Association(Helmholtz Association); European Research Council (ERC)(European Research Council (ERC)Spanish Government); Natural Environment Research Council(UK Research &amp; Innovation (UKRI)Natural Environment Research Council (NERC)); NERC(UK Research &amp; Innovation (UKRI)Natural Environment Research Council (NERC))</t>
  </si>
  <si>
    <t>This study is part of the Polar Science for Planet Earth Programme of the British Antarctic Survey and the PACES II (Polar Regions and Coasts in the changing Earth System) programme of the Alfred-Wegener-Institut. It was funded by the Natural Environment Research Council (NERC), NERC grant NE/M013081/1 and the Helmholtz Association. This work was also funded (in part) by The European Research Council (ERC grant 2010-NEWLOG ADG-267931 HE). We thank the captain, crew, shipboard scientists and support staff participating in RV Polarstern expeditions ANT-XXIII/4 and ANT-XXVI/3, and are grateful to R. Downey, T. Williams, V. Peck, H. Blagbrough, R. Frohlking and S. Wiebe for their assistance. Furthermore, we thank D. Hodgson, D. Vaughan and P. Dutrieux for discussions, and S. Schmidtko for providing data.</t>
  </si>
  <si>
    <t>10.1038/nature22995</t>
  </si>
  <si>
    <t>WOS:000404839900028</t>
  </si>
  <si>
    <t>Lee, JR; Raymond, B; Bracegirdle, TJ; Chadès, I; Fuller, RA; Shaw, JD; Terauds, A</t>
  </si>
  <si>
    <t>Lee, Jasmine R.; Raymond, Ben; Bracegirdle, Thomas J.; Chades, Iadine; Fuller, Richard A.; Shaw, Justine D.; Terauds, Aleks</t>
  </si>
  <si>
    <t>Climate change drives expansion of Antarctic ice-free habitat</t>
  </si>
  <si>
    <t>BIOLOGICAL INVASIONS; PENINSULA; SEA; SURFACE; MODEL; SHELF; SHEET; SNOW; RISK; MELT</t>
  </si>
  <si>
    <t>Antarctic terrestrial biodiversity occurs almost exclusively in ice-free areas that cover less than 1% of the continent. Climate change will alter the extent and configuration of ice-free areas, yet the distribution and severity of these effects remain unclear. Here we quantify the impact of twenty-first century climate change on ice-free areas under two Intergovernmental Panel on Climate Change (IPCC) climate forcing scenarios using temperature-index melt modelling. Under the strongest forcing scenario, ice-free areas could expand by over 17,000 km(2) by the end of the century, close to a 25% increase. Most of this expansion will occur in the Antarctic Peninsula, where a threefold increase in ice-free area could drastically change the availability and connectivity of biodiversity habitat. Isolated ice-free areas will coalesce, and while the effects on biodiversity are uncertain, we hypothesize that they could eventually lead to increasing regional-scale biotic homogenization, the extinction of less-competitive species and the spread of invasive species.</t>
  </si>
  <si>
    <t>[Lee, Jasmine R.; Fuller, Richard A.; Shaw, Justine D.] Univ Queensland, Sch Biol Sci, Ctr Biodivers &amp; Conservat Sci, Brisbane, Qld 4072, Australia; [Lee, Jasmine R.; Chades, Iadine] CSIRO, Dutton Pk, Qld 4102, Australia; [Raymond, Ben; Terauds, Aleks] Dept Environm &amp; Energy, Australian Antarctic Div, 203 Channel Highway, Kingston, Tas 7050, Australia; [Raymond, Ben] Univ Tasmania, Antarctic Climate &amp; Ecosyst Cooperat Res Ctr, Private Bag 80, Hobart, Tas 7001, Australia; [Raymond, Ben] Univ Tasmania, Inst Marine &amp; Antarctic, Private Bag 129, Hobart, Tas 7000, Australia; [Bracegirdle, Thomas J.] British Antarctic Survey, Madingley Rd, Cambridge CB3 0ET, England; [Chades, Iadine; Shaw, Justine D.] Univ Queensland, ARC Ctr Excellence Environm Decis, Brisbane, Qld 4072, Australia</t>
  </si>
  <si>
    <t>University of Queensland; Commonwealth Scientific &amp; Industrial Research Organisation (CSIRO); Australian Antarctic Division; University of Tasmania; Antarctic Climate &amp; Ecosystems Cooperative Research Centre (ACE CRC); University of Tasmania; UK Research &amp; Innovation (UKRI); Natural Environment Research Council (NERC); NERC British Antarctic Survey; University of Queensland; ARC Centre of Excellence for Environmental Decisions</t>
  </si>
  <si>
    <t>Lee, JR (corresponding author), Univ Queensland, Sch Biol Sci, Ctr Biodivers &amp; Conservat Sci, Brisbane, Qld 4072, Australia.;Lee, JR (corresponding author), CSIRO, Dutton Pk, Qld 4102, Australia.</t>
  </si>
  <si>
    <t>jasmine.lee1@uqconnect.edu.au</t>
  </si>
  <si>
    <t>Terauds, Aleks/A-4991-2010; Chades, iadine/A-4052-2011; Fuller, Richard/B-7971-2008; Bracegirdle, Tom/AAD-6060-2020</t>
  </si>
  <si>
    <t>Fuller, Richard/0000-0001-9468-9678; Lee, Jasmine/0000-0003-3847-1679; Terauds, Aleks/0000-0001-7804-6648; Shaw, Justine/0000-0002-9603-2271</t>
  </si>
  <si>
    <t>Holsworth Wildlife Research Endowment - Equity Trustees Charitable Foundation; Australian Antarctic Science Program [4296, 4297]; Ecological Society of Australia; CSIRO; Australian Research Council Future Fellowship; Polar Science for Planet Earth programme of the British Antarctic Survey; SCAR (Scientific Committee for Antarctic Research) AntClim21 (Antarctic Climate in the 21st Century) SRP (Scientific Research Programme); NERC [bas0100032] Funding Source: UKRI; Natural Environment Research Council [bas0100032] Funding Source: researchfish</t>
  </si>
  <si>
    <t>Holsworth Wildlife Research Endowment - Equity Trustees Charitable Foundation; Australian Antarctic Science Program; Ecological Society of Australia; CSIRO(Commonwealth Scientific &amp; Industrial Research Organisation (CSIRO)); Australian Research Council Future Fellowship(Australian Research Council); Polar Science for Planet Earth programme of the British Antarctic Survey; SCAR (Scientific Committee for Antarctic Research) AntClim21 (Antarctic Climate in the 21st Century) SRP (Scientific Research Programme); NERC(UK Research &amp; Innovation (UKRI)Natural Environment Research Council (NERC)); Natural Environment Research Council(UK Research &amp; Innovation (UKRI)Natural Environment Research Council (NERC))</t>
  </si>
  <si>
    <t>This project was supported by the Holsworth Wildlife Research Endowment - Equity Trustees Charitable Foundation, the Australian Antarctic Science Program (projects 4296 and 4297) and the Ecological Society of Australia. I.C. was supported by a CSIRO Julius Career award, and R.A.F. by an Australian Research Council Future Fellowship. The contribution of T.J.B. was funded as part of the Polar Science for Planet Earth programme of the British Antarctic Survey with additional support from the SCAR (Scientific Committee for Antarctic Research) AntClim21 (Antarctic Climate in the 21st Century) SRP (Scientific Research Programme). We thank J. Rhodes, S. Robinson, A. Fraser, M. Stafford Smith and A. Richardson for discussions and valuable feedback on this project. We acknowledge the World Climate Research Programme's Working Group on Coupled Modelling, which is responsible for CMIP, and we thank the climate modelling groups for producing and making available their model output (listed in Supplementary Table 5 of this paper). For CMIP the US Department of Energy's Program for Climate Model Diagnosis and Intercomparison provides coordinating support and led development of software infrastructure in partnership with the Global Organization for Earth System Science Portals. We thank the National Centre for Atmospheric Research, the University Corporation for Atmospheric Research and the Byrd Polar and Climate Research Center who are responsible for AMPS and the European Centre for Medium-Range Weather Forecasts who are responsible for the ERA-interim reanalysis data. The Antarctic coastline spatial layer used in the figures was downloaded from the Antarctic Digital Database (ADD Version 7; http://www.add.scar.org).</t>
  </si>
  <si>
    <t>10.1038/nature22996</t>
  </si>
  <si>
    <t>WOS:000404839900029</t>
  </si>
  <si>
    <t>Kwon, J; Lee, H; Ko, W; Kim, DC; Kim, KW; Kwon, HC; Guo, YQ; Sohn, JH; Yim, JH; Kim, YC; Oh, H; Lee, D</t>
  </si>
  <si>
    <t>Kwon, Jaeyoung; Lee, Hyaemin; Ko, Wonmin; Kim, Dong-Cheol; Kim, Kwan-Woo; Kwon, Hak Cheol; Guo, Yuanqiang; Sohn, Jae Hak; Yim, Joung Han; Kim, Youn-Chul; Oh, Hyuncheol; Lee, Dongho</t>
  </si>
  <si>
    <t>Chemical constituents isolated from Antarctic marine-derived Aspergillus sp SF-5976 and their anti-inflammatory effects in LPS-stimulated RAW 264.7 and BV2 cells</t>
  </si>
  <si>
    <t>TETRAHEDRON</t>
  </si>
  <si>
    <t>Antarctic marine; Aspergillus sp.; Circular dichroism; Anti-inflammation</t>
  </si>
  <si>
    <t>NF-KAPPA-B; INFLAMMATORY MEDIATOR EXPRESSION; DIHYDROISOCOUMARIN DERIVATIVES; ABSOLUTE-CONFIGURATION; EUROTIUM-RUBRUM; MAPK PATHWAYS; NITRIC-OXIDE; FUNGUS; LIPOPOLYSACCHARIDE; VARIECOLOR</t>
  </si>
  <si>
    <t>Three new benzaldehydes (1-3) and two new dioxopiperazine alkaloids (4 and 5), along with 23 known constituents, were isolated from Antarctic marine-derived Aspergillus sp. SF-5976. Their structures were determined by spectroscopic and chemical methods. Among them, 20 compounds showed inhibitory effects toward lipopolysaccharide (LPS)-induced, nitric oxide (NO) production in RAW 264.7 macrophages with IC50 values of 7.3-77.4 mu M, while 22 compounds did in BV2 microglia with those of 4.6-72.3 mu M. Furthermore, the effects of the newly isolated compounds on LPS-stimulated inducible NO synthase (iNOS) expression were investigated, and 1-3, and 5 inhibited iNOS in RAW 264.7 cells, while 1-5 did in BV2 cells. Also, 1-3 and 5 inhibited LPS-induced prostaglandin E-2 production with IC50 values of 9.1 -66.8 mu M in RAW 264.7 macrophages by suppressing cyclooxygenase-2 (COX-2), while in BV2 microglia, 1-5 showed activities with those of 2.8-49.4 mu M. (C) 2017 Elsevier Ltd. All rights reserved.</t>
  </si>
  <si>
    <t>[Kwon, Jaeyoung; Kwon, Hak Cheol] KIST, Nat Constituents Res Ctr, Gangneung Inst, Kangnung 25451, South Korea; [Lee, Hyaemin; Lee, Dongho] Korea Univ, Dept Biosyst &amp; Biotechnol, Coll Life Sci &amp; Biotechnol, Seoul 02841, South Korea; [Ko, Wonmin; Kim, Dong-Cheol; Kim, Kwan-Woo; Kim, Youn-Chul; Oh, Hyuncheol] Wonkwang Univ, Inst Pharmaceut Res &amp; Dev, Coll Pharm, Iksan 54538, South Korea; [Guo, Yuanqiang] Nankai Univ, Tianjin Key Lab Mol Drug Res, Coll Pharm, State Key Lab Med Chem Biol, Tianjin 300071, Peoples R China; [Sohn, Jae Hak] Silla Univ, Coll Med &amp; Life Sci, Busan 46958, South Korea; [Yim, Joung Han] Korea Polar Res Inst, Incheon 21990, South Korea</t>
  </si>
  <si>
    <t>Korea Institute of Science &amp; Technology (KIST); Korea University; Wonkwang University; Nankai University; Silla University; Korea Polar Research Institute (KOPRI)</t>
  </si>
  <si>
    <t>Lee, D (corresponding author), Korea Univ, Dept Biosyst &amp; Biotechnol, Coll Life Sci &amp; Biotechnol, Seoul 02841, South Korea.</t>
  </si>
  <si>
    <t>dongholee@korea.ac.kr</t>
  </si>
  <si>
    <t>Guo, Yuan/HKV-9606-2023</t>
  </si>
  <si>
    <t>Kwon, Jaeyoung/0000-0002-8706-2305</t>
  </si>
  <si>
    <t>National Research Foundation of Korea [NRF-2015R1D1A1A01060321]; Korea Polar Research Institute [PM15050]</t>
  </si>
  <si>
    <t>National Research Foundation of Korea(National Research Foundation of Korea); Korea Polar Research Institute(Korea Polar Research Institute of Marine Research Placement (KOPRI))</t>
  </si>
  <si>
    <t>This research was supported by a grant from the National Research Foundation of Korea (NRF-2015R1D1A1A01060321) and the Korea Polar Research Institute (PM15050).</t>
  </si>
  <si>
    <t>0040-4020</t>
  </si>
  <si>
    <t>Tetrahedron</t>
  </si>
  <si>
    <t>27-28</t>
  </si>
  <si>
    <t>10.1016/j.tet.2017.05.060</t>
  </si>
  <si>
    <t>Chemistry, Organic</t>
  </si>
  <si>
    <t>EY5DU</t>
  </si>
  <si>
    <t>WOS:000403998200014</t>
  </si>
  <si>
    <t>Quillfeldt, P; Moodley, Y; Weimerskirch, H; Cherel, Y; Delord, K; Phillips, RA; Navarro, J; Calderón, L; Masello, JF</t>
  </si>
  <si>
    <t>Quillfeldt, Petra; Moodley, Yoshan; Weimerskirch, Henri; Cherel, Yves; Delord, Karine; Phillips, Richard A.; Navarro, Joan; Calderon, Luciano; Masello, Juan F.</t>
  </si>
  <si>
    <t>Does genetic structure reflect differences in non-breeding movements? A case study in small, highly mobile seabirds</t>
  </si>
  <si>
    <t>Falkland / Malvinas Islands; Genetic structure; Kerguelen Islands; Non-breeding distribution; Phylogeography; Procellariidae; South Georgia; Spatial distribution</t>
  </si>
  <si>
    <t>PETRELS HALOBAENA-CAERULEA; THIN-BILLED PRIONS; POPULATION-STRUCTURE; PACHYPTILA-BELCHERI; SOUTHERN-HEMISPHERE; ROUND DISTRIBUTION; FEEDING ECOLOGY; ILES-KERGUELEN; GIANT PETRELS; PHYLOGEOGRAPHY</t>
  </si>
  <si>
    <t>Background: In seabirds, the extent of population genetic and phylogeographic structure varies extensively among species. Genetic structure is lacking in some species, but present in others despite the absence of obvious physical barriers (landmarks), suggesting that other mechanisms restrict gene flow. It has been proposed that the extent of genetic structure in seabirds is best explained by relative overlap in non-breeding distributions of birds from different populations. We used results from the analysis of microsatellite DNA variation and geolocation (tracking) data to test this hypothesis. We studied three small (130-200 g), very abundant, zooplanktivorous petrels (Procellariiformes, Aves), each sampled at two breeding populations that were widely separated (Atlantic and Indian Ocean sectors of the Southern Ocean) but differed in the degree of overlap in non-breeding distributions; the wintering areas of the two Antarctic prion (Pachyptila desolata) populations are separated by over 5000 km, whereas those of the blue petrels (Halobaena caerulea) and thin-billed prions (P. belcheri) show considerable overlap. Therefore, we expected the breeding populations of blue petrels and thin-billed prions to show high connectivity despite their geographical distance, and those of Antarctic prions to be genetically differentiated. Results: Microsatellite (at 18 loci) and cytochrome b sequence data suggested a lack of genetic structure in all three species. We thus found no relationship between genetic and spatial structure (relative overlap in non-breeding distributions) in these pelagic seabirds. Conclusions: In line with other Southern Ocean taxa, geographic distance did not lead to genetic differences between widely spaced populations of Southern Ocean petrel species.</t>
  </si>
  <si>
    <t>[Quillfeldt, Petra; Calderon, Luciano; Masello, Juan F.] Justus Liebig Univ Giessen, Dept Anim Ecol &amp; Systemat, Heinrich Buff Ring 38, D-35392 Giessen, Germany; [Moodley, Yoshan] Univ Venda, Dept Zool, Private Bag X5050, ZA-0950 Thohoyandou, South Africa; [Weimerskirch, Henri; Cherel, Yves; Delord, Karine] Univ La Rochelle, CNRS, UMR 7372, Ctr Etud Biol Chize, F-79360 Villiers En Bois, France; [Phillips, Richard A.] NERC, British Antarctic Survey, Madingley Rd, Cambridge CB3 0ET, England; [Navarro, Joan] CSIC, EBD, Dept Conservat Biol, Avda Amer Vespucio S-N, Seville 41092, Spain</t>
  </si>
  <si>
    <t>Justus Liebig University Giessen; University of Venda; Centre National de la Recherche Scientifique (CNRS); CNRS - Institute of Ecology &amp; Environment (INEE); La Rochelle Universite; UK Research &amp; Innovation (UKRI); Natural Environment Research Council (NERC); NERC British Antarctic Survey; Consejo Superior de Investigaciones Cientificas (CSIC); CSIC - Estacion Biologica de Donana (EBD)</t>
  </si>
  <si>
    <t>Quillfeldt, P (corresponding author), Justus Liebig Univ Giessen, Dept Anim Ecol &amp; Systemat, Heinrich Buff Ring 38, D-35392 Giessen, Germany.</t>
  </si>
  <si>
    <t>Navarro, Joan/C-2119-2009; Weimerskirch, Henri/K-7306-2019; Calderon, Luciano/O-7470-2014; Weimerskirch, Henri/F-5562-2013; Masello, Juan Francisco/C-7133-2009; Quillfeldt, Petra/A-9549-2009</t>
  </si>
  <si>
    <t>Navarro, Joan/0000-0002-5756-9543; Weimerskirch, Henri/0000-0002-0457-586X; Masello, Juan Francisco/0000-0002-6826-4016; Calderon, Luciano/0000-0003-4223-0149; Quillfeldt, Petra/0000-0002-4450-8688; Moodley, Yoshan/0000-0003-4216-2924</t>
  </si>
  <si>
    <t>Deutsche Forschungsgemeinschaft (Germany) (DFG) [Qu 148-5]; Natural Environment Research Council (NERC); Institut Polaire Francais Paul Emile Victor [109]; NERC [bas0100035] Funding Source: UKRI; Natural Environment Research Council [bas0100035] Funding Source: researchfish</t>
  </si>
  <si>
    <t>Deutsche Forschungsgemeinschaft (Germany) (DFG)(German Research Foundation (DFG)); Natural Environment Research Council (NERC)(UK Research &amp; Innovation (UKRI)Natural Environment Research Council (NERC)); Institut Polaire Francais Paul Emile Victor; NERC(UK Research &amp; Innovation (UKRI)Natural Environment Research Council (NERC)); Natural Environment Research Council(UK Research &amp; Innovation (UKRI)Natural Environment Research Council (NERC))</t>
  </si>
  <si>
    <t>Funding was obtained through a grant of the Deutsche Forschungsgemeinschaft (Germany), Heisenberg program (DFG, Qu 148-5). Fieldwork was supported through a CGS award from the Natural Environment Research Council (NERC) and at Kerguelen by the Institut Polaire Francais Paul Emile Victor (Programme No 109, HW) and by Terres Australes et Antarctiques Francaises.</t>
  </si>
  <si>
    <t>JUL 5</t>
  </si>
  <si>
    <t>10.1186/s12862-017-1008-x</t>
  </si>
  <si>
    <t>EZ7SW</t>
  </si>
  <si>
    <t>WOS:000404927000002</t>
  </si>
  <si>
    <t>Haine, TWN; Martin, T</t>
  </si>
  <si>
    <t>Haine, Thomas W. N.; Martin, Torge</t>
  </si>
  <si>
    <t>The Arctic-Subarctic sea ice system is entering a seasonal regime: Implications for future Arctic amplification</t>
  </si>
  <si>
    <t>POLAR AMPLIFICATION; CLIMATE-CHANGE; OCEAN; MODEL; THICKNESS; SCENARIOS; TRENDS; CYCLE</t>
  </si>
  <si>
    <t>The loss of Arctic sea ice is a conspicuous example of climate change. Climate models project ice-free conditions during summer this century under realistic emission scenarios, reflecting the increase in seasonality in ice cover. To quantify the increased seasonality in the Arctic-Subarctic sea ice system, we define a non-dimensional seasonality number for sea ice extent, area, and volume from satellite data and realistic coupled climate models. We show that the Arctic-Subarctic, i.e. the northern hemisphere, sea ice now exhibits similar levels of seasonality to the Antarctic, which is in a seasonal regime without significant change since satellite observations began in 1979. Realistic climate models suggest that this transition to the seasonal regime is being accompanied by a maximum in Arctic amplification, which is the faster warming of Arctic latitudes compared to the global mean, in the 2010s. The strong link points to a peak in sea-ice-related feedbacks that occurs long before the Arctic becomes ice-free in summer.</t>
  </si>
  <si>
    <t>[Haine, Thomas W. N.] Johns Hopkins Univ, Earth &amp; Planetary Sci, Baltimore, MD 21218 USA; [Martin, Torge] GEOMAR Helmholtz Ctr Ocean Res Kiel, Kiel, Germany</t>
  </si>
  <si>
    <t>Johns Hopkins University; Helmholtz Association; GEOMAR Helmholtz Center for Ocean Research Kiel</t>
  </si>
  <si>
    <t>Haine, TWN (corresponding author), Johns Hopkins Univ, Earth &amp; Planetary Sci, Baltimore, MD 21218 USA.</t>
  </si>
  <si>
    <t>Thomas.Haine@jhu.edu</t>
  </si>
  <si>
    <t>Martin, Torge/H-2613-2017</t>
  </si>
  <si>
    <t>Martin, Torge/0000-0002-0882-8780; Haine, Thomas/0000-0001-8231-2419</t>
  </si>
  <si>
    <t>U.S. National Science Foundation [FESD 1338814, OCE 1129895]; GEOMAR</t>
  </si>
  <si>
    <t>U.S. National Science Foundation(National Science Foundation (NSF)); GEOMAR</t>
  </si>
  <si>
    <t>The authors thank three anonymous reviewers and the editor for their valuable comments which improved the paper. The U.S. National Science Foundation supported this work (award FESD 1338814 and OCE 1129895). TM acknowledges support from GEOMAR. The sea ice index data and Bootstrap data are from the U.S. NSIDC. For their roles in producing, coordinating, and making available the CMIP5 model output, we acknowledge the climate modeling groups, the World Climate Research Programme's Working Group on Coupled Modelling, and the Global Organization for Earth System Science Portals. Paul Holland and Francois Massonnet provided the Antarctic model data for Fig. 2.</t>
  </si>
  <si>
    <t>JUL 4</t>
  </si>
  <si>
    <t>10.1038/s41598-017-04573-0</t>
  </si>
  <si>
    <t>FX3JQ</t>
  </si>
  <si>
    <t>WOS:000425968700001</t>
  </si>
  <si>
    <t>Hoffmann, L; Hertzog, A; Rössler, T; Stein, O; Wu, X</t>
  </si>
  <si>
    <t>Hoffmann, Lars; Hertzog, Albert; Roessler, Thomas; Stein, Olaf; Wu, Xue</t>
  </si>
  <si>
    <t>Intercomparison of meteorological analyses and trajectories in the Antarctic lower stratosphere with Concordiasi superpressure balloon observations</t>
  </si>
  <si>
    <t>WAVE MOMENTUM FLUX; OZONE DEPLETION; SOUTHERN-HEMISPHERE; TRANSPORT MODEL; WINTER; ACCURACY; TEMPERATURES; SIMULATIONS; CHEMISTRY; NORTHERN</t>
  </si>
  <si>
    <t>In this study we compared temperatures and horizontal winds of meteorological analyses in the Antarctic lower stratosphere, a region of the atmosphere that is of major interest regarding chemistry and dynamics of the polar vortex. The study covers the European Centre for Medium-Range Weather Forecasts (ECMWF) operational analysis, the ERA-Interim reanalysis, the Modern-Era Retrospective analysis for Research and Applications version 1 and 2 (MERRA and MERRA-2), and the National Centers for Environmental Prediction and National Center for Atmospheric Research (NCEP/NCAR) reanalysis. The comparison was performed with respect to long-duration observations from 19 superpressure balloon flights during the Concordiasi field campaign in September 2010 to January 2011. Most of the balloon measurements were conducted at altitudes of 17-18.5 km and latitudes of 60-85 degrees S. We found that large-scale state temperatures of the analyses have a mean precision of 0.5-1.4K and a warm bias of 0.4-2.1K with respect to the balloon data. Zonal and meridional winds have a mean precision of 0.9-2.3 m s(-1) and a bias below +/- 0.5 m s(-1). Standard deviations related to small-scale fluctuations due to gravity waves are reproduced at levels of 15-60% for temperature and 30-60% for the horizontal winds. Considering the fact that the balloon observations have been assimilated into all analyses, except for NCEP/NCAR, notable differences found here indicate that other observations, the forecast models, and the data assimilation procedures have a significant impact on the analyses as well. We also used the balloon observations to evaluate trajectory calculations with our new Lagrangian transport model Massive-Parallel Trajectory Calculations (MPTRAC), where vertical motions of simulated trajectories were nudged to pressure measurements of the balloons. We found relative horizontal transport deviations of 4-12% and error growth rates of 60-170 km day(-1) for 15-day trajectories. Dispersion simulations revealed some difficulties with the representation of subgrid-scale wind fluctuations in MPTRAC, as the spread of air parcels simulated with different analyses was not consistent. However, although case studies suggest that the accuracy of trajectory calculations is influenced by meteorological complexity, diffusion generally does not contribute significantly to transport deviations in our analysis. Overall, evaluation results are satisfactory and compare well to earlier studies using superpressure balloon observations.</t>
  </si>
  <si>
    <t>[Hoffmann, Lars; Roessler, Thomas; Stein, Olaf; Wu, Xue] Forschungszentrum Julich, Julich Supercomputing Ctr, Julich, Germany; [Hertzog, Albert] IPSL, Ecole Polytech, Lab Meteorol Dynam, Palaiseau, France; [Wu, Xue] Chinese Acad Sci, Inst Atmospher Phys, Beijing, Peoples R China</t>
  </si>
  <si>
    <t>Helmholtz Association; Research Center Julich; Sorbonne Universite; Universite Paris Cite; Institut Polytechnique de Paris; Chinese Academy of Sciences; Institute of Atmospheric Physics, CAS</t>
  </si>
  <si>
    <t>Hoffmann, L (corresponding author), Forschungszentrum Julich, Julich Supercomputing Ctr, Julich, Germany.</t>
  </si>
  <si>
    <t>l.hoffmann@fz-juelich.de</t>
  </si>
  <si>
    <t>Stein, Olaf/J-3483-2012; Hoffmann, Lars/ABI-3746-2020; Wu, Xue/R-9302-2019; Hoffmann, Lars/A-5173-2013</t>
  </si>
  <si>
    <t>Hoffmann, Lars/0000-0003-3773-4377; Wu, Xue/0000-0002-0427-782X; Hoffmann, Lars/0000-0003-3773-4377; Stein, Olaf/0000-0002-6684-7103</t>
  </si>
  <si>
    <t>Meteo-France; CNES; IPEV; PNRA; CNRS/INSU; NSF; NCAR; Concordia consortium; University of Wyoming; Purdue University</t>
  </si>
  <si>
    <t>Meteo-France; CNES(Centre National D'etudes Spatiales); IPEV; PNRA; CNRS/INSU(Centre National de la Recherche Scientifique (CNRS)); NSF(National Science Foundation (NSF)); NCAR(National Science Foundation (NSF)NSF - Directorate for Geosciences (GEO)); Concordia consortium; University of Wyoming; Purdue University</t>
  </si>
  <si>
    <t>Concordiasi was built by an international scientific group and is currently supported by the following agencies: Meteo-France, CNES, IPEV, PNRA, CNRS/INSU, NSF, NCAR, the Concordia consortium, the University of Wyoming, and Purdue University. ECMWF also contributes to the project through computer resources and support, as well as scientific expertise. The two operational polar agencies PNRA and IPEV are thanked for their support at Concordia station. Concordiasi is part of the THORPEX-IPY cluster within the International Polar Year effort. The authors acknowledge the Julich Supercomputing Centre (JSC) for providing computing time on the supercomputer JURECA.</t>
  </si>
  <si>
    <t>10.5194/acp-17-8045-2017</t>
  </si>
  <si>
    <t>EZ5QY</t>
  </si>
  <si>
    <t>WOS:000404773700002</t>
  </si>
  <si>
    <t>Schwanck, F; Simoes, JC; Handley, M; Mayewski, PA; Auger, JD; Bernardo, RT; Aquino, FE</t>
  </si>
  <si>
    <t>Schwanck, Franciele; Simoes, Jefferson C.; Handley, Michael; Mayewski, Paul A.; Auger, Jeffrey D.; Bernardo, Ronaldo T.; Aquino, Francisco E.</t>
  </si>
  <si>
    <t>A 125-year record of climate and chemistry variability at the Pine Island Glacier ice divide, Antarctica</t>
  </si>
  <si>
    <t>NORTHERN VICTORIA LAND; SOUTHERN-HEMISPHERE; WEST ANTARCTICA; AMUNDSEN SEA; LAW DOME; DUST VARIABILITY; MULTIPLE SOURCES; EAST ANTARCTICA; TRACE-ELEMENTS; HEAVY-METALS</t>
  </si>
  <si>
    <t>The Mount Johns (MJ) ice core (79 degrees 55'S; 94 degrees 23'W) was drilled near the Pine Island Glacier ice divide on the West Antarctic Ice Sheet during the 2008-2009 austral summer, to a depth of 92.26 m. The upper 45m of the record covers approximately 125 years (1883-2008), showing marked seasonal variability. Trace element concentrations in 2137 samples were determined using inductively coupled plasma mass spectrometry. In this study, we reconstruct mineral dust and sea salt aerosol transport and investigate the influence of climate variables on the elemental concentrations at the MJ site. The ice core record reflects changes in emissions as well as atmospheric circulation and transport processes. Our trajectory analysis shows distinct seasonality, with strong westerly transport in the winter months and secondary northeasterly transport in the summer. During summer months, the trajectories present slow-moving (short) transport and are more locally influenced than in other seasons. Finally, our reanalysis correlations with trace element suggest that marine-derived trace element concentrations are strongly influenced by sea ice concentration and sea surface temperature anomalies. The results show that seasonal elemental concentration maxima in sea salt elements correlate well with the sea ice concentration winter maxima in the west Amundsen and Ross seas. Lastly, we observed an increased concentration of marine aerosols when sea surface temperature decreased.</t>
  </si>
  <si>
    <t>[Schwanck, Franciele; Simoes, Jefferson C.; Bernardo, Ronaldo T.; Aquino, Francisco E.] Univ Fed Rio Grande do Sul, Ctr Polar &amp; Climat, BR-91540000 Porto Alegre, RS, Brazil; [Handley, Michael; Mayewski, Paul A.; Auger, Jeffrey D.] Univ Maine, Climate Change Inst, Orono, ME 04469 USA</t>
  </si>
  <si>
    <t>Universidade Federal do Rio Grande do Sul; University of Maine System; University of Maine Orono</t>
  </si>
  <si>
    <t>Schwanck, F (corresponding author), Univ Fed Rio Grande do Sul, Ctr Polar &amp; Climat, BR-91540000 Porto Alegre, RS, Brazil.</t>
  </si>
  <si>
    <t>franschwanck@gmail.com</t>
  </si>
  <si>
    <t>Mayewski, Paul Andrew/HRD-6969-2023; Auger, Jeffrey/AAH-3235-2019; Simoes, Jefferson Cardia/D-7232-2013</t>
  </si>
  <si>
    <t>Simoes, Jefferson Cardia/0000-0001-5555-3401; Schwanck, Franciele/0000-0003-1046-8080</t>
  </si>
  <si>
    <t>Ciencia Sem Fronteiras (CAPES - CSF SDW) [0088/13-7]; National Council for Scientific and Technological Development (CNPq) [407888/2013-6]</t>
  </si>
  <si>
    <t>Ciencia Sem Fronteiras (CAPES - CSF SDW); National Council for Scientific and Technological Development (CNPq)(Conselho Nacional de Desenvolvimento Cientifico e Tecnologico (CNPQ))</t>
  </si>
  <si>
    <t>This research is part of the Brazilian Antarctic Program (PROANTAR) and was financed with funds from the Ciencia Sem Fronteiras (CAPES - CSF SDW no. 0088/13-7) and the National Council for Scientific and Technological Development (CNPq), project 407888/2013-6.</t>
  </si>
  <si>
    <t>10.5194/tc-11-1537-2017</t>
  </si>
  <si>
    <t>EZ6BJ</t>
  </si>
  <si>
    <t>WOS:000404803100001</t>
  </si>
  <si>
    <t>Lo, L; Chang, SP; Wei, KY; Lee, SY; Ou, TH; Chen, YC; Chuang, CK; Mii, HS; Burr, GS; Chen, MT; Tung, YH; Tsai, MC; Hodell, DA; Shen, CC</t>
  </si>
  <si>
    <t>Lo, Li; Chang, Sheng-Pu; Wei, Kuo-Yen; Lee, Shih-Yu; Ou, Tsong-Hua; Chen, Yi-Chi; Chuang, Chih-Kai; Mii, Horng-Sheng; Burr, George S.; Chen, Min-Te; Tung, Ying-Hung; Tsai, Meng-Chieh; Hodell, David A.; Shen, Chuan-Chou</t>
  </si>
  <si>
    <t>Nonlinear climatic sensitivity to greenhouse gases over past 4 glacial/interglacial cycles</t>
  </si>
  <si>
    <t>PACIFIC WARM POOL; SEA-SURFACE TEMPERATURE; CHRONOLOGY AICC2012; SOUTHERN-OCEAN; GLACIAL CYCLES; ANTARCTIC ICE; PATHWAYS; RECORD</t>
  </si>
  <si>
    <t>The paleoclimatic sensitivity to atmospheric greenhouse gases (GHGs) has recently been suggested to be nonlinear, however a GHG threshold value associated with deglaciation remains uncertain. Here, we combine a new sea surface temperature record spanning the last 360,000 years from the southern Western Pacific Warm Pool with records from five previous studies in the equatorial Pacific to document the nonlinear relationship between climatic sensitivity and GHG levels over the past four glacial/interglacial cycles. The sensitivity of the responses to GHG concentrations rises dramatically by a factor of 2-4 at atmospheric CO2 levels of &gt; 220 ppm. Our results suggest that the equatorial Pacific acts as a nonlinear amplifier that allows global climate to transition from deglacial to full interglacial conditions once atmospheric CO2 levels reach threshold levels.</t>
  </si>
  <si>
    <t>[Lo, Li; Chang, Sheng-Pu; Wei, Kuo-Yen; Chen, Yi-Chi; Chuang, Chih-Kai; Tung, Ying-Hung; Tsai, Meng-Chieh; Shen, Chuan-Chou] Natl Taiwan Univ, Dept Geosci, High Precis Mass Spectrometry &amp; Environm Change L, Taipei 10617, Taiwan; [Lo, Li; Hodell, David A.] Univ Cambridge, Dept Earth Sci, Cambridge CB2 3EQ, England; [Lo, Li] Chinese Acad Sci, Guangzhou Inst Geochem, State Key Lab Isotope Geochem, Guangzhou 510640, Guangdong, Peoples R China; [Lee, Shih-Yu] Acad Sinica, Res Ctr Environm Changes, Taipei 11529, Taiwan; [Ou, Tsong-Hua] Natl Taiwan Univ, Inst Appl Mech, Taipei 10617, Taiwan; [Mii, Horng-Sheng] Natl Taiwan Normal Univ, Dept Earth Sci, Taipei 11677, Taiwan; [Burr, George S.] Univ Arizona, NSF Arizona Accelerator Mass Spectrometry Lab, Tucson, AZ 85721 USA; [Chen, Min-Te] Natl Taiwan Ocean Univ, Inst Appl Geosci, Keelung 20224, Taiwan</t>
  </si>
  <si>
    <t>National Taiwan University; University of Cambridge; Chinese Academy of Sciences; Guangzhou Institute of Geochemistry, CAS; Academia Sinica - Taiwan; National Taiwan University; National Taiwan Normal University; National Science Foundation (NSF); University of Arizona; National Taiwan Ocean University</t>
  </si>
  <si>
    <t>Lo, L; Shen, CC (corresponding author), Natl Taiwan Univ, Dept Geosci, High Precis Mass Spectrometry &amp; Environm Change L, Taipei 10617, Taiwan.;Lo, L (corresponding author), Univ Cambridge, Dept Earth Sci, Cambridge CB2 3EQ, England.;Lo, L (corresponding author), Chinese Acad Sci, Guangzhou Inst Geochem, State Key Lab Isotope Geochem, Guangzhou 510640, Guangdong, Peoples R China.;Lee, SY (corresponding author), Acad Sinica, Res Ctr Environm Changes, Taipei 11529, Taiwan.</t>
  </si>
  <si>
    <t>lilo@gig.ac.cn; shihyu@gate.sinica.edu.tw; river@ntu.edu.tw</t>
  </si>
  <si>
    <t>lin, ke/GZM-8300-2022; LEE, SHIH-YU/AAP-3128-2021; Chen, Min-Te/AAD-5990-2021; Wei, Kuo-Yen/Q-5138-2018; Shen, Chuan-Chou/JCE-1989-2023; Shen, Chuan-Chou/H-9642-2013; Chen, Min-Te/ABF-2935-2020</t>
  </si>
  <si>
    <t>LEE, SHIH-YU/0000-0001-8484-3846; Chen, Min-Te/0000-0002-7552-1615; Shen, Chuan-Chou/0000-0003-2833-2771; Shen, Chuan-Chou/0000-0003-2833-2771; Burr, George/0000-0003-0068-7589; WEI, KUO-YEN/0000-0002-2725-5762; Lo, Li/0000-0002-2814-1476; Hodell, David/0000-0001-8537-1588</t>
  </si>
  <si>
    <t>IMAGES group; Taiwan ROC MOST [104-2119-M-002-003, 104-2917-I-564-046, 105-2119-M-002-001, 105-2116-M-002-026-MY3]; National Taiwan University [105R7625]; State Key Laboratory of Isotope Geochemistry, Guangzhou Institute of Geochemistry, Chinese Academy of Sciences [SKLaBIG-QD-16-04]; Academia Sinica</t>
  </si>
  <si>
    <t>IMAGES group; Taiwan ROC MOST; National Taiwan University(National Taiwan University); State Key Laboratory of Isotope Geochemistry, Guangzhou Institute of Geochemistry, Chinese Academy of Sciences; Academia Sinica(Academia Sinica - Taiwan)</t>
  </si>
  <si>
    <t>The authors would like to thank the chief scientists Luc Beaufort and Min-Te Chen of the 2005 PECTEN cruise, which was supported by the IMAGES group. This project was supported by Taiwan ROC MOST (104-2119-M-002-003, 104-2917-I-564-046, 105-2119-M-002-001, 105-2116-M-002-026-MY3), National Taiwan University (105R7625), State Key Laboratory of Isotope Geochemistry, Guangzhou Institute of Geochemistry, Chinese Academy of Sciences (SKLaBIG-QD-16-04) and Academia Sinica.</t>
  </si>
  <si>
    <t>10.1038/s41598-017-04031-x</t>
  </si>
  <si>
    <t>WOS:000425968700009</t>
  </si>
  <si>
    <t>Stehfest, KM; Carter, CG; McAllister, JD; Ross, JD; Semmens, JM</t>
  </si>
  <si>
    <t>Stehfest, Kilian M.; Carter, Chris G.; McAllister, Jaime D.; Ross, Jeff D.; Semmens, Jayson M.</t>
  </si>
  <si>
    <t>Response of Atlantic salmon Salmo salar to temperature and dissolved oxygen extremes established using animal-borne environmental sensors</t>
  </si>
  <si>
    <t>HYPOXIA TOLERANCE; CLIMATE-CHANGE; VERTICAL-DISTRIBUTION; SWIMMING PERFORMANCE; PRODUCTION CAGES; YELLOW PERCH; FISH; L.; POPULATION; BEHAVIOR</t>
  </si>
  <si>
    <t>Understanding how aquatic species respond to extremes of DO and temperature is crucial for determining how they will be affected by climate change, which is predicted to increasingly expose them to levels beyond their optima. In this study we used novel animal-borne DO, temperature and depth sensors to determine the effect of extremes of DO and temperature on the vertical habitat use of Atlantic salmon Salmo salar in aquaculture cages. Salmon showed a preference for temperatures around 16.5 to 17.5 degrees C, however, selection of preferred temperatures was trumped by active avoidance of low DO (&lt; 35% saturation) at the bottom of the cage. In addition to low DO, salmon also avoided warm surface waters (&gt; 20.1 degrees C), which led to a considerable contraction in the available vertical habitat. Despite their avoidance behavior, fish spent a large amount of time in waters with suboptimal DO (&lt;60% saturation). These results show that vertical habitat contraction could likely be a significant consequence of climate change if the reduction in DO outpaces the increase in hypoxia tolerance through local adaptation. They furthermore highlight that site-specific environmental conditions and stock-specific tolerance thresholds may need to be considered when determining stocking densities.</t>
  </si>
  <si>
    <t>[Stehfest, Kilian M.; Carter, Chris G.; McAllister, Jaime D.; Ross, Jeff D.; Semmens, Jayson M.] Univ Tasmania, Inst Marine &amp; Antarctic Studies, Private Bag 49, Hobart, Tas 7001, Australia</t>
  </si>
  <si>
    <t>Stehfest, KM (corresponding author), Univ Tasmania, Inst Marine &amp; Antarctic Studies, Private Bag 49, Hobart, Tas 7001, Australia.</t>
  </si>
  <si>
    <t>Kilian.Stehfest@utas.edu.au</t>
  </si>
  <si>
    <t>Carter, Chris Guy/A-3438-2008; Ross, Donald/F-7607-2012</t>
  </si>
  <si>
    <t>Carter, Chris Guy/0000-0001-5210-1282; Semmens, Jayson/0000-0003-1742-6692; Ross, Donald/0000-0002-8659-3833</t>
  </si>
  <si>
    <t>Australian Federal Government; University of Tasmania; CSIRO; Tasmanian State Government</t>
  </si>
  <si>
    <t>Australian Federal Government(Australian Government); University of Tasmania; CSIRO(Commonwealth Scientific &amp; Industrial Research Organisation (CSIRO)); Tasmanian State Government</t>
  </si>
  <si>
    <t>This project was made possible through funding from the Australian Federal Government, administered by Sense-T, which is a partnership between the University of Tasmania, CSIRO and the Tasmanian State Government. The authors are grateful for the cooperation of both Huon Aquaculture staff involved in this project, particularly Steve Percival, Dom O'Brien, David Whyte, Robert McKendrick and Dale Russell for their support during data collection, and Vemco staff involved in this project, particularly Tim Stone and Dale Webber for their technical support and advice.</t>
  </si>
  <si>
    <t>JUL 3</t>
  </si>
  <si>
    <t>10.1038/s41598-017-04806-2</t>
  </si>
  <si>
    <t>EZ3NT</t>
  </si>
  <si>
    <t>WOS:000404618400059</t>
  </si>
  <si>
    <t>Zhao, JC; Cheng, B; Yang, QH; Vihma, T; Zhang, L</t>
  </si>
  <si>
    <t>Zhao, Jiechen; Cheng, Bin; Yang, Qinghua; Vihma, Timo; Zhang, Lin</t>
  </si>
  <si>
    <t>Observations and modelling of first-year ice growth and simultaneous second-year ice ablation in the Prydz Bay, East Antarctica</t>
  </si>
  <si>
    <t>ANNALS OF GLACIOLOGY</t>
  </si>
  <si>
    <t>basal ice; melt-basal; sea ice; sea-ice modelling</t>
  </si>
  <si>
    <t>LANDFAST SEA-ICE; BALTIC SEA; SURFACE; FLUX; THICKNESS; SALINITY; ALBEDO</t>
  </si>
  <si>
    <t>The seasonal cycle of fast ice thickness in Prydz Bay, East Antarctica, was observed between March and December 2012. In March, we observed a 0.16 m thickness gain of 0.22 m-thick first-year ice (FYI), while 1.16 m-thick second-year ice (SYI) nearby simultaneously ablated by 0.59 m. A 1-D thermodynamic sea-ice model was applied to identify the factors that led to the simultaneous growth of FYI and melt of SYI. The different evolutions were explained by the difference in the conductive heat flux between the FYI and SYI. As the FYI was thin, there was a large temperature gradient between the ice base and the colder ice surface. This generated an upward conductive heat flux, which was larger than the heat flux from the ocean to the ice base, yielding basal growth of ice. In the case of the thicker SYI the temperature gradient and, hence, the conductive heat flux were smaller, and not sufficient to balance the oceanic heat flux at the ice base, yielding basal ablation. Penetration of solar radiation affected the conductive heat flux in both cases, and the model results were sensitive to the initial ice temperature profile and the uncertainty of the oceanic heat flux.</t>
  </si>
  <si>
    <t>[Zhao, Jiechen; Yang, Qinghua; Zhang, Lin] NMEFC, Beijing, Peoples R China; [Zhao, Jiechen; Cheng, Bin; Vihma, Timo] FMI, Helsinki, Finland; [Zhao, Jiechen] Ocean Univ China, Coll Ocean &amp; Atmospher Sci, Qingdao, Peoples R China</t>
  </si>
  <si>
    <t>National Marine Environmental Forecasting Center; Ocean University of China</t>
  </si>
  <si>
    <t>Cheng, B (corresponding author), FMI, Helsinki, Finland.</t>
  </si>
  <si>
    <t>Bin.cheng@fmi.fi</t>
  </si>
  <si>
    <t>Vihma, Timo/ABC-9771-2020; Zhao, Jiechen/KHV-9905-2024; zhang, lin/Z-5221-2019</t>
  </si>
  <si>
    <t>Yang, Qinghua/0000-0002-7114-2036</t>
  </si>
  <si>
    <t>National Natural Science Foundation of China [41406218, 41376005]; Polar Strategy Project from Chinese Arctic and Antarctic Administration [20120317]; Academy of Finland [304345]; Academy of Finland (AKA) [304345] Funding Source: Academy of Finland (AKA)</t>
  </si>
  <si>
    <t>National Natural Science Foundation of China(National Natural Science Foundation of China (NSFC)); Polar Strategy Project from Chinese Arctic and Antarctic Administration; Academy of Finland(Research Council of Finland); Academy of Finland (AKA)</t>
  </si>
  <si>
    <t>This study is financially supported by the National Natural Science Foundation of China (41406218; 41376005); Polar Strategy Project from Chinese Arctic and Antarctic Administration (20120317) and the Academy of Finland (contract 304345). We are grateful to Mr. Yufeng Li, Xurui Xie, Chuhong, Huang, Jue Liu and Meng Chen for their field support. The data used in this study is available from first author upon request.</t>
  </si>
  <si>
    <t>0260-3055</t>
  </si>
  <si>
    <t>1727-5644</t>
  </si>
  <si>
    <t>ANN GLACIOL</t>
  </si>
  <si>
    <t>Ann. Glaciol.</t>
  </si>
  <si>
    <t>JUL</t>
  </si>
  <si>
    <t>10.1017/aog.2017.33</t>
  </si>
  <si>
    <t>FW0UY</t>
  </si>
  <si>
    <t>WOS:000425012400007</t>
  </si>
  <si>
    <t>Cimoli, E; Lucieer, A; Meiners, KM; Lund-Hansen, LC; Kennedy, F; Martin, A; McMinn, A; Lucieer, V</t>
  </si>
  <si>
    <t>Cimoli, Emiliano; Lucieer, Arko; Meiners, Klaus M.; Lund-Hansen, Lars Chresten; Kennedy, Fraser; Martin, Andrew; McMinn, Andrew; Lucieer, Vanessa</t>
  </si>
  <si>
    <t>Towards improved estimates of sea-ice algal biomass: experimental assessment of hyperspectral imaging cameras for under-ice studies</t>
  </si>
  <si>
    <t>hyperspectral imaging; ice algae; ice tank; remote sensing; sea ice; under-ice environment</t>
  </si>
  <si>
    <t>SPRING GROWTH; ARCTIC-OCEAN; GREENLAND; PHOTOSYNTHESIS; TRANSMISSION; FLUORESCENCE; SPECTROSCOPY; VARIABILITY; RADIATION; BLOOM</t>
  </si>
  <si>
    <t>Ice algae are a key component in polar marine food webs and have an active role in large-scale biogeochemical cycles. They remain extremely under-sampled due to the coarse nature of traditional point sampling methods compounded by the general logistical limitations of surveying in polar regions. This study provides a first assessment of hyperspectral imaging as an under-ice remote-sensing method to capture sea-ice algae biomass spatial variability at the ice/water interface. Ice-algal cultures were inoculated in a unique inverted sea-ice simulation tank at increasing concentrations over designated cylinder enclosures and sparsely across the ice/water interface. Hyperspectral images of the sea ice were acquired with a pushbroom sensor attaining 0.9 mm square pixel spatial resolution for three different spectral resolutions (1.7, 3.4, 6.7 nm). Image analysis revealed biomass distribution matching the inoculated chlorophyll a concentrations within each cylinder. While spectral resolutions &gt;6 nm hindered biomass differentiation, 1.7 and 3.4 nm were able to resolve spatial variation in ice algal biomass implying a coherent sensor selection. The inverted ice tank provided a suitable sea-ice analogue platform for testing key parameters of the methodology. The results highlight the potential of hyperspectral imaging to capture sea-ice algal biomass variability at unprecedented scales in a non-invasive way.</t>
  </si>
  <si>
    <t>[Cimoli, Emiliano; Kennedy, Fraser; Martin, Andrew; McMinn, Andrew; Lucieer, Vanessa] Univ Tasmania, Inst Marine &amp; Antarctic Studies, Hobart, Tas 7001, Australia; [Lucieer, Arko] Univ Tasmania, Sch Land &amp; Food, Hobart, Tas 7001, Australia; [Meiners, Klaus M.] Australian Antarctic Div, Dept Environm &amp; Energy, Kingston, Tas 7050, Australia; [Meiners, Klaus M.] Univ Tasmania, Antarctic Climate &amp; Ecosyst Cooperat Res Ctr, Hobart, Tas 7001, Australia; [Lund-Hansen, Lars Chresten] Aarhus Univ, Dept Biosci, Aquat Biol, DK-8000 Aarhus C, Denmark; [Lund-Hansen, Lars Chresten] Aarhus Univ, Arctic Res Ctr, DK-8000 Aarhus C, Denmark</t>
  </si>
  <si>
    <t>University of Tasmania; University of Tasmania; Australian Antarctic Division; University of Tasmania; Antarctic Climate &amp; Ecosystems Cooperative Research Centre (ACE CRC); Aarhus University; Aarhus University</t>
  </si>
  <si>
    <t>Cimoli, E (corresponding author), Univ Tasmania, Inst Marine &amp; Antarctic Studies, Hobart, Tas 7001, Australia.</t>
  </si>
  <si>
    <t>emiliano.cimoli@utas.edu.au</t>
  </si>
  <si>
    <t>McMinn, Andrew/A-9910-2008; Lund-Hansen, Lars Chresten/J-8888-2013; Cimoli, Emiliano/H-1862-2018; Kennedy, Fraser/M-5145-2019; Lucieer, Arko/F-1247-2013; lucieer, vanessa l/D-1697-2009</t>
  </si>
  <si>
    <t>Cimoli, Emiliano/0000-0001-7964-2716; Kennedy, Fraser/0000-0003-1796-0764; Lucieer, Arko/0000-0002-9468-4516; Lund-Hansen, Lars Chresten/0000-0001-5925-322X</t>
  </si>
  <si>
    <t>Australian Research Council's Special Research Initiative for Antarctic Gateway Partnership [SR140300001]; Antarctic Gateway Partnership; University of Tasmania's PhD program</t>
  </si>
  <si>
    <t>Australian Research Council's Special Research Initiative for Antarctic Gateway Partnership(Australian Research Council); Antarctic Gateway Partnership; University of Tasmania's PhD program</t>
  </si>
  <si>
    <t>This research was supported under Australian Research Council's Special Research Initiative for Antarctic Gateway Partnership (Project ID SR140300001). We acknowledge the University of Tasmania Terraluma's group and Terraluma engineer Richard Ballard for advice and technical support. We gratefully acknowledge the collaboration with Petri Nygren from SPECIM (Spectral Imaging Ltd) and Marc Fimeri (Adept Turnkey Pty Ltd) for assisting with the collection of the hyperspectral imagery and laboratory testing with the AISA KESTREL 10. Emiliano Cimoli is supported by the Antarctic Gateway Partnership and the University of Tasmania's PhD program.</t>
  </si>
  <si>
    <t>10.1017/aog.2017.6</t>
  </si>
  <si>
    <t>WOS:000425012400008</t>
  </si>
  <si>
    <t>Banwell, AF; Willis, IC; Macdonald, GJ; Goodsell, B; Mayer, DP; Powell, A; Macayeal, DR</t>
  </si>
  <si>
    <t>Banwell, Alison F.; Willis, Ian C.; Macdonald, Grant J.; Goodsell, Becky; Mayer, David P.; Powell, Anthony; Macayeal, Douglas R.</t>
  </si>
  <si>
    <t>Calving and rifting on the McMurdo Ice Shelf, Antarctica</t>
  </si>
  <si>
    <t>Antarctic glaciology; iceberg calving; ice-shelf break-up; ice shelves</t>
  </si>
  <si>
    <t>SEA-ICE; SUPRAGLACIAL LAKES; WEST ANTARCTICA; OCEAN WAVES; PROPAGATION; RETREAT; BREAKUP; STORMS</t>
  </si>
  <si>
    <t>On 2 March 2016, several small en echelon tabular icebergs calved from the seaward front of the McMurdo Ice Shelf, and a previously inactive rift widened and propagated by similar to 3 km, similar to 25% of its previous length, setting the stage for the future calving of a similar to 14 km(2) iceberg. Within 24 h of these events, all remaining land-fast sea ice that had been stabilizing the ice shelf broke-up. The events were witnessed by time-lapse cameras at nearby Scott Base, and put into context using nearby seismic and automatic weather station data, satellite imagery and subsequent ground observation. Although the exact trigger of calving and rifting cannot be identified definitively, seismic records reveal superimposed sets of both long-period (&gt;10 s) sea swell propagating into McMurdo Sound from storm sources beyond Antarctica, and high-energy, locally-sourced, short-period (&lt;10 s) sea swell, in the 4 days before the fast ice break-up and associated ice-shelf calving and rifting. This suggests that sea swell should be studied further as a proximal cause of ice-shelf calving and rifting; if proven, it suggests that ice-shelf stability is tele-connected with far-field storm conditions at lower latitudes, adding a global dimension to the physics of ice-shelf break-up.</t>
  </si>
  <si>
    <t>[Banwell, Alison F.; Willis, Ian C.] Univ Cambridge, Scott Polar Res Inst, Cambridge, England; [Macdonald, Grant J.; Mayer, David P.; Macayeal, Douglas R.] Univ Chicago, Dept Geophys Sci, 5734 S Ellis Ave, Chicago, IL 60637 USA; [Goodsell, Becky; Powell, Anthony] Antarctica New Zealand, Christchurch, New Zealand; [Mayer, David P.] US Geol Survey, Astrogeol Sci Ctr, Flagstaff, AZ 86001 USA</t>
  </si>
  <si>
    <t>University of Cambridge; University of Chicago; United States Department of the Interior; United States Geological Survey</t>
  </si>
  <si>
    <t>Banwell, AF (corresponding author), Univ Cambridge, Scott Polar Res Inst, Cambridge, England.</t>
  </si>
  <si>
    <t>afb39@cam.ac.uk</t>
  </si>
  <si>
    <t>Mayer, David/JVN-0476-2024; Banwell, Alison/W-8180-2018</t>
  </si>
  <si>
    <t>Mayer, David/0000-0001-8351-1807; Banwell, Alison/0000-0001-9545-829X; MacAyeal, Douglas/0000-0003-0647-6176; Macdonald, Grant/0000-0002-9295-085X</t>
  </si>
  <si>
    <t>U.S. National Science Foundation [PLR-1443126]; Antarctica NZ; Leverhulme Early Career Fellowship; NASA Earth and Space Science Fellowship; Directorate For Geosciences; Office of Polar Programs (OPP) [1443126] Funding Source: National Science Foundation</t>
  </si>
  <si>
    <t>U.S. National Science Foundation(National Science Foundation (NSF)); Antarctica NZ; Leverhulme Early Career Fellowship(Leverhulme Trust); NASA Earth and Space Science Fellowship; Directorate For Geosciences; Office of Polar Programs (OPP)(National Science Foundation (NSF)NSF - Directorate for Geosciences (GEO))</t>
  </si>
  <si>
    <t>We thank many scientists at the Polar Geospatial Center for supporting our acquisition of satellite imagery, and the various people associated with the Antarctica NZ research program, the Scott Base winter-over staff, and the U.S. Antarctic Program, and staff of McM Station, who have made our study, particularly our presence in the field, possible. This work was supported by U.S. National Science Foundation grant PLR-1443126 and by Antarctica NZ. AFB also acknowledges support from a Leverhulme Early Career Fellowship, and GJM acknowledges support from a NASA Earth and Space Science Fellowship. We are also very grateful to the Editor, Christina Hulbe, and two reviewers (Ala Khazendar and anonymous) whose helpful comments enabled us to considerably improve the paper.</t>
  </si>
  <si>
    <t>10.1017/aog.2017.12</t>
  </si>
  <si>
    <t>WOS:000425012400009</t>
  </si>
  <si>
    <t>Ledoux, CM; Hulbe, CL; Forbes, MP; Scambos, TA; Alley, K</t>
  </si>
  <si>
    <t>Ledoux, Christine M.; Hulbe, Christina L.; Forbes, Martin P.; Scambos, Ted A.; Alley, Karen</t>
  </si>
  <si>
    <t>Structural provinces of the Ross Ice Shelf, Antarctica</t>
  </si>
  <si>
    <t>crevasses; ice shelves; structural glaciology</t>
  </si>
  <si>
    <t>FLOW; STREAM; SHEET; PROPAGATION; MECHANICS; DYNAMICS; FRACTURE; GLACIER; FAULTS</t>
  </si>
  <si>
    <t>The surface of the Ross Ice Shelf (RIS) is textured by flow stripes, crevasses and other features related to ice flow and deformation. Here, moderate resolution optical satellite images are used to map and classify regions of the RIS characterized by different surface textures. Because the textures arise from ice deformation, the map is used to identify structural provinces with common deformation history. We classify four province types: regions associated with large outlet glaciers, shear zones, extension downstream of obstacles and suture zones between provinces with different upstream sources. Adjacent provinces with contrasting histories are in some locations deforming at different rates, suggesting that our province map is also an ice fabric map. Structural provinces have more complicated shapes in the part of the ice shelf fed by West Antarctic ice streams than in the part fed by outlet glaciers from the Transantarctic Mountains. The map may be used to infer past variations in stress conditions and flow events that cannot be inferred from flow traces alone.</t>
  </si>
  <si>
    <t>[Ledoux, Christine M.] Portland State Univ, Dept Geol, Portland, OR 97215 USA; [Hulbe, Christina L.; Forbes, Martin P.] Univ Otago, Sch Surveying, Dunedin, New Zealand; [Scambos, Ted A.; Alley, Karen] Univ Colorado, Natl Snow &amp; Ice Data Ctr, Boulder, CO USA</t>
  </si>
  <si>
    <t>Portland State University; University of Otago; University of Colorado System; University of Colorado Boulder</t>
  </si>
  <si>
    <t>Hulbe, CL (corresponding author), Univ Otago, Sch Surveying, Dunedin, New Zealand.</t>
  </si>
  <si>
    <t>christina.hulbe@otago.ac.nz</t>
  </si>
  <si>
    <t>Scambos, Ted A/B-1856-2009; Alley, Karen E/HGE-5249-2022</t>
  </si>
  <si>
    <t>Alley, Karen E/0000-0003-0358-3806; SCAMBOS, Ted A./0000-0003-4268-6322; Hulbe, Christina/0000-0003-4765-7037</t>
  </si>
  <si>
    <t>NASA Cryosphere award [NNX10AH81G, NNX16AJ88G]; New Zealand Antarctic Research Institute [NZARI RFP 2014-2]</t>
  </si>
  <si>
    <t>NASA Cryosphere award; New Zealand Antarctic Research Institute</t>
  </si>
  <si>
    <t>LeDoux was supported by NASA Cryosphere award number NNX10AH81G. Hulbe was supported by New Zealand Antarctic Research Institute award NZARI RFP 2014-2 'Vulnerability of the Ross Ice Shelf in a Warming World'. The velocity mapping was supported by NASA Cryosphere award number NNX16AJ88G. The digitized features and province map will be archived as GIS shape files at the US National Snow and Ice Data Center and are also available by request from Hulbe and Forbes. We thank two reviewers for careful and thoughtful remarks that helped improve the manuscript.</t>
  </si>
  <si>
    <t>10.1017/aog.2017.24</t>
  </si>
  <si>
    <t>WOS:000425012400010</t>
  </si>
  <si>
    <t>Huybers, K; Roe, G; Conway, H</t>
  </si>
  <si>
    <t>Huybers, Kathleen; Roe, Gerard; Conway, Howard</t>
  </si>
  <si>
    <t>Basal topographic controls on the stability of the West Antarctic ice sheet: lessons from Foundation Ice Stream</t>
  </si>
  <si>
    <t>Antarctic glaciology; glacier fluctuations; ice and climate; ice streams</t>
  </si>
  <si>
    <t>GROUNDING-LINE; GEOLOGICAL CONSTRAINTS; PINE ISLAND; SEA-LEVEL; GLACIERS; COLLAPSE; THWAITES; RETREAT; FLOW; BED</t>
  </si>
  <si>
    <t>Using observations of basal topography, ice thickness and modern accumulation rates, we use theory and a dynamic flowline model to examine the sensitivity of Antarctica's Foundation Ice Stream to changes in sea level, accumulation and buttressing at the grounding line. Our sensitivity studies demonstrate that the steep, upward-sloping basal topography inland from the grounding line serves to stabilize retreat of the ice stream, while the upward-sloping submarine topography downstream from the grounding line creates the potential for significant advance under conditions of modest sea-level lowering and/or increased accumulation rate. Extrapolating from Foundation Ice Stream, many nearby Weddell Sea sector ice streams are in a similar configuration, suggesting that the historical and projected responses of this sector's ice streams may contrast with those in the Amundsen or Ross Sea sectors. This work reaffirms that the greatest concerns for rapid West Antarctic Ice Sheet (WAIS) retreat are locations of reverse slopes, muted basal topography and limited lateral support.</t>
  </si>
  <si>
    <t>[Huybers, Kathleen; Roe, Gerard; Conway, Howard] Univ Washington, Dept Earth &amp; Space Sci, Seattle, WA 98195 USA; [Huybers, Kathleen] Pacific Lutheran Univ, Dept Geosci, Tacoma, WA 98447 USA</t>
  </si>
  <si>
    <t>University of Washington; University of Washington Seattle; Pacific Lutheran University</t>
  </si>
  <si>
    <t>Huybers, K (corresponding author), Univ Washington, Dept Earth &amp; Space Sci, Seattle, WA 98195 USA.;Huybers, K (corresponding author), Pacific Lutheran Univ, Dept Geosci, Tacoma, WA 98447 USA.</t>
  </si>
  <si>
    <t>huyberkm@plu.edu</t>
  </si>
  <si>
    <t>Conway, Howard/0000-0003-4634-3474</t>
  </si>
  <si>
    <t>US National Science Foundation [ANT-083783, ANT-0838784, ANT-0838256]</t>
  </si>
  <si>
    <t>Funding was provided by the US National Science Foundation (ANT-083783, ANT-0838784, and ANT-0838256). We thank Greg Balco, Claire Todd, Seth Campbell and Ed Waddington for thoughtful discussions and insights. We also thank Raytheon Polar Services, Ken Borek Air, UNAVCO and the New York Air National Guard, for logistical support in Antarctica.</t>
  </si>
  <si>
    <t>10.1017/aog.2017.9</t>
  </si>
  <si>
    <t>FW0VC</t>
  </si>
  <si>
    <t>WOS:000425012900011</t>
  </si>
  <si>
    <t>Khandelwal, SK; Bhatia, A; Mishra, AK</t>
  </si>
  <si>
    <t>Khandelwal, Sudhir K.; Bhatia, Abhijeet; Mishra, Ashwani K.</t>
  </si>
  <si>
    <t>Psychological adaptation of Indian expeditioners during prolonged residence in Antarctica</t>
  </si>
  <si>
    <t>INDIAN JOURNAL OF PSYCHIATRY</t>
  </si>
  <si>
    <t>Antarctica; India; psychological health</t>
  </si>
  <si>
    <t>PSYCHOMETRIC PROPERTIES; SCREENING INSTRUMENT; NICOTINE DEPENDENCE; WINTER; QUESTIONNAIRE; VERSION; IMPACT</t>
  </si>
  <si>
    <t>Background: In view of the growing human activities in Antarctica and increasing exposure of humans to prolonged isolation under extreme conditions, such as space travel and deep sea diving, it is necessary to study the psychological adaptation to such an environment. The current study aimed to assess the psychological adaptation of Indian expeditioners to prolonged residence in Antarctica. Materials and Methods: Twenty-four winter team members of 27th Indian Scientific Expedition to Antarctica were administered seven instruments 5 times during the expedition. The instruments measured cognition and memory, general psychological health and tobacco, and alcohol consumption. Results: Alcohol consumption was maximum during the initial days of arrival on the continent and decreased thereafter, with another spike during the peak of the winter season. Externalized psychological reactions peaked during the midwinter period. Anxiety and insomnia peaked during the coldest period whereas depressive symptoms did not change throughout the expedition. Cognition was at its worst during the final phase of Antarctic residence. No significant change was noted in the third quarter of wintering. Conclusion: Each phase of Antarctic residence could be equated with a particular stage in psychological adaptation. There was no third quarter phenomenon.</t>
  </si>
  <si>
    <t>[Khandelwal, Sudhir K.; Mishra, Ashwani K.] All India Inst Med Sci, Dept Psychiat, New Delhi 110029, India; [Bhatia, Abhijeet] NEIGRIHMS, Dept ENT, Shillong, Meghalaya, India</t>
  </si>
  <si>
    <t>All India Institute of Medical Sciences (AIIMS) New Delhi; North Eastern Indira Gandhi Regional Institute of Health &amp; Medical Sciences (NEIGRIHMS)</t>
  </si>
  <si>
    <t>Khandelwal, SK (corresponding author), All India Inst Med Sci, Dept Psychiat, New Delhi 110029, India.</t>
  </si>
  <si>
    <t>sudhir_aiims@yahoo.co.uk</t>
  </si>
  <si>
    <t>Mishra, Ashwani Kumar/AAA-3998-2020</t>
  </si>
  <si>
    <t>Mishra, Ashwani Kumar/0000-0002-8872-1886</t>
  </si>
  <si>
    <t>MEDKNOW PUBLICATIONS &amp; MEDIA PVT LTD</t>
  </si>
  <si>
    <t>MUMBAI</t>
  </si>
  <si>
    <t>B-9, KANARA BUSINESS CENTRE, OFF LINK RD, GHAKTOPAR-E, MUMBAI, 400075, INDIA</t>
  </si>
  <si>
    <t>0019-5545</t>
  </si>
  <si>
    <t>1998-3794</t>
  </si>
  <si>
    <t>INDIAN J PSYCHIAT</t>
  </si>
  <si>
    <t>Indian J. Psychiatry</t>
  </si>
  <si>
    <t>JUL-SEP</t>
  </si>
  <si>
    <t>10.4103/psychiatry.IndianJPsychiatry_296_16</t>
  </si>
  <si>
    <t>Psychiatry</t>
  </si>
  <si>
    <t>FU4FF</t>
  </si>
  <si>
    <t>WOS:000423808200009</t>
  </si>
  <si>
    <t>Clements, CF; Blanchard, JL; Nash, KL; Hindell, MA; Ozgul, A</t>
  </si>
  <si>
    <t>Clements, Christopher F.; Blanchard, Julia L.; Nash, Kirsty L.; Hindell, Mark A.; Ozgul, Arpat</t>
  </si>
  <si>
    <t>Body size shifts and early warning signals precede the historic collapse of whale stocks</t>
  </si>
  <si>
    <t>Predicting population declines is a key challenge in the face of global environmental change. Abundance-based early warning signals have been shown to precede population collapses; however, such signals are sensitive to the low reliability of abundance estimates. Here, using historical data on whales harvested during the 20th century, we demonstrate that early warning signals can be present not only in the abundance data, but also in the more reliable body size data of wild populations. We show that during the period of commercial whaling, the mean body size of caught whales declined dramatically (by up to 4 m over a 70-year period), leading to early warning signals being detectable up to 40 years before the global collapse of whale stocks. Combining abundance and body size data can reduce the length of the time series required to predict collapse, and decrease the chances of false positive early warning signals.</t>
  </si>
  <si>
    <t>[Clements, Christopher F.; Ozgul, Arpat] Univ Zurich, Dept Evolut Biol &amp; Environm Studies, CH-8057 Zurich, Switzerland; [Blanchard, Julia L.; Nash, Kirsty L.; Hindell, Mark A.] Univ Tasmania, Inst Marine &amp; Antarctic Studies, Private Bag 129, Hobart, Tas 7001, Australia; [Blanchard, Julia L.; Nash, Kirsty L.] Ctr Marine Socioecol, Private Bag 129, Hobart, Tas 7001, Australia; [Hindell, Mark A.] Univ Tasmania, Antarctic Climate &amp; Ecosyst Cooperat Res Ctr, Private Bag 129, Hobart, Tas 7001, Australia</t>
  </si>
  <si>
    <t>University of Zurich; University of Tasmania; Antarctic Climate &amp; Ecosystems Cooperative Research Centre (ACE CRC); University of Tasmania</t>
  </si>
  <si>
    <t>Clements, CF (corresponding author), Univ Zurich, Dept Evolut Biol &amp; Environm Studies, CH-8057 Zurich, Switzerland.</t>
  </si>
  <si>
    <t>chrisclementsresearch@gmail.com</t>
  </si>
  <si>
    <t>Blanchard, Julia L/E-4919-2010; Nash, Kirsty L/B-5456-2015; Ozgul, Arpat/K-2032-2012; Hindell, Mark A/K-1131-2013</t>
  </si>
  <si>
    <t>Nash, Kirsty L/0000-0003-0976-3197; Clements, Christopher/0000-0001-5677-5401; Blanchard, Julia/0000-0003-0532-4824; Hindell, Mark/0000-0002-7823-7185; Ozgul, Arpat/0000-0001-7477-2642</t>
  </si>
  <si>
    <t>RRC starting grant [337785]; SNF international short visit grant [IZK0Z3_166526]; Swiss National Science Foundation (SNF) [IZK0Z3_166526] Funding Source: Swiss National Science Foundation (SNF)</t>
  </si>
  <si>
    <t>RRC starting grant; SNF international short visit grant; Swiss National Science Foundation (SNF)(Swiss National Science Foundation (SNSF))</t>
  </si>
  <si>
    <t>This work was made possible by an RRC starting grant (no. 337785) to A.O. and an SNF international short visit grant (no. IZK0Z3_166526) to CRC. Whale illustrations by K. Askaroff.</t>
  </si>
  <si>
    <t>10.1038/s41559-017-0188</t>
  </si>
  <si>
    <t>FO9AA</t>
  </si>
  <si>
    <t>WOS:000417179000016</t>
  </si>
  <si>
    <t>Michelot, T; Langrock, R; Bestley, S; Jonsen, ID; Photopoulou, T; Patterson, TA</t>
  </si>
  <si>
    <t>Michelot, Theo; Langrock, Roland; Bestley, Sophie; Jonsen, Ian D.; Photopoulou, Theoni; Patterson, Toby A.</t>
  </si>
  <si>
    <t>Estimation and simulation of foraging trips in land-based marine predators</t>
  </si>
  <si>
    <t>animal telemetry; central place foraging; hidden Markov model; Mirounga leonina; southern elephant seal</t>
  </si>
  <si>
    <t>HIDDEN MARKOV-MODELS; SOUTHERN ELEPHANT SEALS; AREA-RESTRICTED SEARCH; CENTRAL-PLACE FORAGERS; ANIMAL MOVEMENT DATA; MIROUNGA-LEONINA L; HABITAT SELECTION; CLIMATE-CHANGE; RANDOM-WALKS; TRADE-OFF</t>
  </si>
  <si>
    <t>The behavior of colony-based marine predators is the focus of much research globally. Large telemetry and tracking data sets have been collected for this group of animals, and are accompanied by many empirical studies that seek to segment tracks in some useful way, as well as theoretical studies of optimal foraging strategies. However, relatively few studies have detailed statistical methods for inferring behaviors in central place foraging trips. In this paper we describe an approach based on hidden Markov models, which splits foraging trips into segments labeled as outbound, search, forage, and inbound. By structuring the hidden Markov model transition matrix appropriately, the model naturally handles the sequence of behaviors within a foraging trip. Additionally, by structuring the model in this way, we are able to develop realistic simulations from the fitted model. We demonstrate our approach on data from southern elephant seals (Mirounga leonina) tagged on Kerguelen Island in the Southern Ocean. We discuss the differences between our 4-state model and the widely used 2-state model, and the advantages and disadvantages of employing a more complex model.</t>
  </si>
  <si>
    <t>[Michelot, Theo] Univ Sheffield, Sheffield, S Yorkshire, England; [Langrock, Roland] Bielefeld Univ, Bielefeld, Germany; [Bestley, Sophie] Australian Antarctic Div, Dept Environm, Kingston, Tas, Australia; [Bestley, Sophie] Inst Marine &amp; Antarctic Studies, Hobart, Tas, Australia; [Jonsen, Ian D.] Macquarie Univ, Sydney, NSW, Australia; [Photopoulou, Theoni] Nelson Mandela Metropolitan Univ, Port Elizabeth, South Africa; [Photopoulou, Theoni] Univ Cape Town, Rondebosch, South Africa; [Patterson, Toby A.] CSIRO Oceans &amp; Atmosphere, Hobart, Tas, Australia</t>
  </si>
  <si>
    <t>University of Sheffield; University of Bielefeld; Australian Antarctic Division; University of Tasmania; Macquarie University; Nelson Mandela University; University of Cape Town; Commonwealth Scientific &amp; Industrial Research Organisation (CSIRO)</t>
  </si>
  <si>
    <t>Michelot, T (corresponding author), Univ Sheffield, Sheffield, S Yorkshire, England.</t>
  </si>
  <si>
    <t>tmichelot1@sheffield.ac.uk</t>
  </si>
  <si>
    <t>Photopoulou, Theoni/E-3994-2012; Bestley, Sophie/AAN-2483-2021; Patterson, Toby A/B-3836-2011; Bestley, Sophie/E-9521-2013</t>
  </si>
  <si>
    <t>Photopoulou, Theoni/0000-0001-9616-9940; Bestley, Sophie/0000-0001-9342-669X; Bestley, Sophie/0000-0001-9342-669X; Patterson, Toby/0000-0002-7150-9205; Jonsen, Ian/0000-0001-5423-6076</t>
  </si>
  <si>
    <t>IMBER-CLIOTOP; Macquarie University Safety Net Grant [9201401743]; Australia Research Council Super Science Fellowship; Macquarie Vice-Chancellors Innovation Fellowship; CSIRO Julius Career Award; Villum Foundation</t>
  </si>
  <si>
    <t>IMBER-CLIOTOP; Macquarie University Safety Net Grant; Australia Research Council Super Science Fellowship(Australian Research Council); Macquarie Vice-Chancellors Innovation Fellowship; CSIRO Julius Career Award; Villum Foundation(Villum Fonden)</t>
  </si>
  <si>
    <t>TM and TP received support from IMBER-CLIOTOP and Macquarie University Safety Net Grant 9201401743. SB was supported under an Australia Research Council Super Science Fellowship. IDJ was supported by a Macquarie Vice-Chancellors Innovation Fellowship. TAP was supported by a CSIRO Julius Career Award and the Villum Foundation. The southern elephant seal data was sourced from the Integrated Marine Observing System (IMOS). The tagging program received logistics support from the Australian Antarctic Division and the French Polar Institute (Institut Paul-Emile Victor, IPEV). All tagging procedures were approved and carried out under the guidelines of the University of Tasmania Animal Ethics Committee and the Australian Antarctic Animal Ethics Committee. Initial ideas from Mark Bravington, Uffe Thygesen and Martin Pedersen were very helpful in formulating earlier versions of these models. We thank an anonymous reviewer for helpful feedback on an earlier version of the manuscript.</t>
  </si>
  <si>
    <t>10.1002/ecy.1880</t>
  </si>
  <si>
    <t>EZ7BP</t>
  </si>
  <si>
    <t>Green Published, Green Accepted, Green Submitted</t>
  </si>
  <si>
    <t>WOS:000404875100019</t>
  </si>
  <si>
    <t>Wagner, TJW; Dell, RW; Eisenman, I</t>
  </si>
  <si>
    <t>Wagner, Till J. W.; Dell, Rebecca W.; Eisenman, Ian</t>
  </si>
  <si>
    <t>An Analytical Model of Iceberg Drift</t>
  </si>
  <si>
    <t>GREENLAND ICE-SHEET; ANTARCTIC ICEBERGS; INTERACTIVE ICEBERGS; NORTH-ATLANTIC; CLIMATE MODEL; SEA-ICE; WEDDELL SEA; OCEAN; TRAJECTORIES; ECOSYSTEMS</t>
  </si>
  <si>
    <t>The fate of icebergs in the polar oceans plays an important role in Earth's climate system, yet a detailed understanding of iceberg dynamics has remained elusive. Here, the central physical processes that determine iceberg motion are investigated. This is done through the development and analysis of an idealized model of iceberg drift. The model is forced with high-resolution surface velocity and temperature data from an observational state estimate. It retains much of the most salient physics, while remaining sufficiently simple to allow insight into the details of how icebergs drift. An analytical solution of the model is derived, which highlights how iceberg drift patterns depend on iceberg size, ocean current velocity, and wind velocity. A long-standing rule of thumb for Arctic icebergs estimates their drift velocity to be 2% of the wind velocity relative to the ocean current. Here, this relationship is derived from first principles, and it is shown that the relationship holds in the limit of small icebergs or strong winds, which applies for typical Arctic icebergs. For the opposite limit of large icebergs (length &gt; 12km) or weak winds, which applies for typical Antarctic tabular icebergs, it is shown that this relationship is not applicable and icebergs move with the ocean current, unaffected by the wind. The latter regime is confirmed through comparisons with observed iceberg trajectories near the Antarctic Peninsula.</t>
  </si>
  <si>
    <t>[Wagner, Till J. W.; Dell, Rebecca W.; Eisenman, Ian] Univ Calif San Diego, La Jolla, CA 92093 USA</t>
  </si>
  <si>
    <t>University of California System; University of California San Diego</t>
  </si>
  <si>
    <t>Wagner, TJW (corresponding author), Univ Calif San Diego, La Jolla, CA 92093 USA.</t>
  </si>
  <si>
    <t>National Science Foundation [OCE-1357078]; Division Of Ocean Sciences; Directorate For Geosciences [1357078] Funding Source: National Science Foundation</t>
  </si>
  <si>
    <t>We are grateful to Jeff Severinghaus and Ralph Keeling for helpful discussions during the development of this work. This work was supported by National Science Foundation Grant OCE-1357078. MATLAB code for the iceberg drift and decay model presented here is available online (at http://eisenman.ucsd.edu/code).</t>
  </si>
  <si>
    <t>10.1175/JPO-D-16-0262.1</t>
  </si>
  <si>
    <t>FA0HD</t>
  </si>
  <si>
    <t>WOS:000405111400006</t>
  </si>
  <si>
    <t>Scheffler, G; Pulido, M</t>
  </si>
  <si>
    <t>Scheffler, Guillermo; Pulido, Manuel</t>
  </si>
  <si>
    <t>Estimation of gravity-wave parameters to alleviate the delay in the Antarctic vortex breakup in general circulation models</t>
  </si>
  <si>
    <t>gravity-wave parametrizations; parameter estimation; model bias; final stratospheric warming</t>
  </si>
  <si>
    <t>DATA ASSIMILATION PRINCIPLES; MIDDLE ATMOSPHERE; PLANETARY-WAVES; DRAG ESTIMATION; CLIMATE MODELS; COMPENSATION</t>
  </si>
  <si>
    <t>The impact of optimal parameters in a non-orographic gravity-wave drag parametrization on the middle atmosphere circulation of the Southern Hemisphere is examined. Optimal parameters are estimated using a data assimilation technique. The proposed technique aims to reduce the delay in the winter vortex breakdown of the Southern Hemisphere found in general circulation models, which may be associated with a poor representation of gravity-wave activity. We introduce two different implementations of the parameter estimation method: an offline estimation method and a sequential estimation method. The delay in the zonal-mean zonal-wind transition is largely alleviated by the optimal gravity-wave parameters. The sequential method diminishes the model biases during winter vortex evolution, through gravity-wave drag alone. On the other hand, the offline method accounts better for unresolved-resolved wave interactions and the zonal-wind transition. We show that the final warmings in the lower mesosphere are driven mainly by planetary-wave breaking. These are affected by changes in the gravity-wave drag that are responsible for stratospheric preconditioning. Parameter estimation during the vortex breakdown is a challenging task that requires the use of sophisticated estimation techniques, because there are strong interactions between unresolved gravity-wave drag and planetary waves.</t>
  </si>
  <si>
    <t>[Scheffler, Guillermo] Univ Nacl Nordeste, Dept Math, FACENA, Corrientes, Argentina; [Pulido, Manuel] Univ Nacl Nordeste, Dept Phys, FACENA, Ave Libertad 5400, RA-3400 Corrientes, Argentina; [Pulido, Manuel] Consejo Nacl Invest Cient &amp; Tecn, Corrientes, Argentina</t>
  </si>
  <si>
    <t>Pulido, M (corresponding author), Univ Nacl Nordeste, Dept Phys, FACENA, Ave Libertad 5400, RA-3400 Corrientes, Argentina.</t>
  </si>
  <si>
    <t>pulido@exa.unne.edu.ar</t>
  </si>
  <si>
    <t>Agencia Nacional de Promocion Cientifica y Tecnologica [PICT2015-2368]; CONICET [PIP 112-20120100414CO]</t>
  </si>
  <si>
    <t>Agencia Nacional de Promocion Cientifica y Tecnologica(ANPCyTSpanish Government); CONICET(Consejo Nacional de Investigaciones Cientificas y Tecnicas (CONICET))</t>
  </si>
  <si>
    <t>This work was partially funded by an Agencia Nacional de Promocion Cientifica y Tecnologica grant PICT2015-2368 and a CONICET grant PIP 112-20120100414CO. Simulations were performed using computational facilities at CECONEA (UNNE).</t>
  </si>
  <si>
    <t>10.1002/qj.3074</t>
  </si>
  <si>
    <t>FL9DC</t>
  </si>
  <si>
    <t>WOS:000414549800009</t>
  </si>
  <si>
    <t>Barbosa, MV; Pereira, EA; Cury, JC; Carneiro, MAC</t>
  </si>
  <si>
    <t>Barbosa, Marisangela V.; Pereira, Elismara A.; Cury, Juliano C.; Carneiro, Marco A. C.</t>
  </si>
  <si>
    <t>Occurrence of arbuscular mycorrhizal fungi on King George Island, South Shetland Islands, Antarctica</t>
  </si>
  <si>
    <t>ANAIS DA ACADEMIA BRASILEIRA DE CIENCIAS</t>
  </si>
  <si>
    <t>Antarctica; Deschampsia antarctica; low temperatures; mycorrhizal fungi</t>
  </si>
  <si>
    <t>DESCHAMPSIA-ANTARCTICA; ASSOCIATIONS; MARITIME; ROOTS</t>
  </si>
  <si>
    <t>Arbuscular mycorrhizal fungi make up an important ecological niche in ecosystems, and knowledge of their diversity in extreme environments is still incipient. The objective of this work was to evaluate the density and diversity of arbuscular mycorrhizal fungi in the soil of King George Island in the South Shetland Islands archipelago, Antarctica. For that, soil and roots of Deschampsia antarctica were collected at the brazilian research station in Antarctica. The spore density, species diversity and mycorrhizal colonization in the roots were evaluated. There was a low density of spores (27.4 +/- 17.7) and root mycorrhizal colonization (6 +/- 5.1%), which did not present statistical difference. Four species of arbuscular mycorrhizal fungi were identified, distributed in two genera: three species of the genus Glomus (Glomus sp1, Glomus sp2 and Glomus sp3) and one of the genus Acaulospora, which was identified at species level (Acaulospora mellea). Greater soil diversity was verified with pH 5.9 and phosphorus concentration of 111 mg dm(-3), occurring two species of genus Glomus and A. mellea. Based on literature data, this may be the first record of this species of Acaulospora mellea in Antarctic soils, colonizing D. antarctica plants.</t>
  </si>
  <si>
    <t>[Barbosa, Marisangela V.; Carneiro, Marco A. C.] Univ Fed Lavras, UFLA, Dept Ciencia Solo, Programa Posgrad Ciencia Solo, Caixa Postal 3037, BR-37200000 Lavras, MG, Brazil; [Pereira, Elismara A.; Cury, Juliano C.] Univ Fed Sao Joao Del Rei, Programa Posgrad Ecol, Campus Dom Bosco,Praca Dom Helvecio 74, BR-36301160 Sao Joao Del Rei, MG, Brazil; [Cury, Juliano C.] Univ Fed Sao Joao Del Rei, Dept Ciencias Exatas &amp; Biol, DECEB, Campus Sete Lagoas,Rua Setimo Moreira Martins 188, BR-35702031 Sete Lagoas, MG, Brazil; [Cury, Juliano C.] Univ Fed Rio de Janeiro, Ctr Ciencias Saude, Inst Biol, INCT APA, Av Carlos Chagas Filho,373 Bloco A,Sala A1-94, BR-21941902 Rio De Janeiro, RJ, Brazil</t>
  </si>
  <si>
    <t>Universidade Federal de Lavras; Universidade Federal de Sao Joao del-Rei; Universidade Federal de Sao Joao del-Rei; Universidade Federal do Rio de Janeiro</t>
  </si>
  <si>
    <t>Carneiro, MAC (corresponding author), Univ Fed Lavras, UFLA, Dept Ciencia Solo, Programa Posgrad Ciencia Solo, Caixa Postal 3037, BR-37200000 Lavras, MG, Brazil.</t>
  </si>
  <si>
    <t>marcocarbone@dcs.ufla.br</t>
  </si>
  <si>
    <t>Cury, J C/F-8034-2014; Carneiro, Marco Aurélio Carbone/Q-2721-2019</t>
  </si>
  <si>
    <t>Carneiro, Marco Aurélio Carbone/0000-0003-4349-3071; Cury, Juliano/0000-0002-1450-5726</t>
  </si>
  <si>
    <t>Conselho Nacional de Desenvolvimento Cienti'fico e Tecnolo'gico (CNPq); Coordenacao de Aperfeicoamento de Pessoal de Nivel Superior (Capes); Fundacao de Amparo a Pesquisa de Minas Gerais (FAPEMIG); Instituto Nacional de Cincia e Tecnologia Antertico de Pesquisas Ambientais (INCT-APA); Programa Antertico Brasileiro (PROANTAR)</t>
  </si>
  <si>
    <t>Conselho Nacional de Desenvolvimento Cienti'fico e Tecnolo'gico (CNPq)(Conselho Nacional de Desenvolvimento Cientifico e Tecnologico (CNPQ)); Coordenacao de Aperfeicoamento de Pessoal de Nivel Superior (Capes)(Coordenacao de Aperfeicoamento de Pessoal de Nivel Superior (CAPES)); Fundacao de Amparo a Pesquisa de Minas Gerais (FAPEMIG)(Fundacao de Amparo a Pesquisa do Estado de Minas Gerais (FAPEMIG)); Instituto Nacional de Cincia e Tecnologia Antertico de Pesquisas Ambientais (INCT-APA); Programa Antertico Brasileiro (PROANTAR)</t>
  </si>
  <si>
    <t>We thank Karl Kemmelmeier for the morphological identification of the AMFs. We are grateful for Conselho Nacional de Desenvolvimento Cienti'fico e Tecnolo'gico (CNPq), Coordenacao de Aperfeicoamento de Pessoal de Nivel Superior (Capes), Fundacao de Amparo a Pesquisa de Minas Gerais (FAPEMIG), Instituto Nacional de Cincia e Tecnologia Antertico de Pesquisas Ambientais (INCT-APA) and Programa Antertico Brasileiro (PROANTAR) for providing essential financial support for this work.</t>
  </si>
  <si>
    <t>ACAD BRASILEIRA DE CIENCIAS</t>
  </si>
  <si>
    <t>RIO JANEIRO</t>
  </si>
  <si>
    <t>RUA ANFILOFIO DE CARVALHO, 29, 3 ANDAR, 20030-060 RIO JANEIRO, BRAZIL</t>
  </si>
  <si>
    <t>0001-3765</t>
  </si>
  <si>
    <t>1678-2690</t>
  </si>
  <si>
    <t>AN ACAD BRAS CIENC</t>
  </si>
  <si>
    <t>An. Acad. Bras. Cienc.</t>
  </si>
  <si>
    <t>10.1590/0001-3765201720170119</t>
  </si>
  <si>
    <t>FH9XF</t>
  </si>
  <si>
    <t>WOS:000411569900033</t>
  </si>
  <si>
    <t>Ye, WK; Qiao, G; Kong, FS; Ma, XW; Tong, XH; Li, RX</t>
  </si>
  <si>
    <t>Ye, Wenkai; Qiao, Gang; Kong, Fansi; Ma, Xuwen; Tong, Xiaohua; Li, Rongxing</t>
  </si>
  <si>
    <t>Improved Geometric Modeling of 1960s KH-5 ARGON Satellite Images for Regional Antarctica Applications</t>
  </si>
  <si>
    <t>PHOTOGRAMMETRIC ENGINEERING AND REMOTE SENSING</t>
  </si>
  <si>
    <t>ICE-SHEET; MASS-LOSS; GLACIERS; REMOVAL; RETREAT; HEXAGON; SHELF; COAST; FLOW</t>
  </si>
  <si>
    <t>Long-term observations of the Antarctic ice sheet will contribute to a quantitative evaluation and precise prediction of the sea level change induced by global changes in climate. This paper proposes an improved rigorous geometric modeling method for the declassified KH-5 ARGON satellite images collected in Antarctica in 1960s. The scanned film images are preprocessed beforehand to enhance the quality for further analysis. Systematic errors such as lens distortion and atmospheric refraction are also considered and corrected. A scheme is proposed to measure the ground control points for the historical images based on modern image mosaic and DEM products. The bundle adjustment results of four blocks in regions in East Antarctica present a geometric positioning accuracy of less than one nominal pixel resolution (140 m) in both horizontal and vertical directions, outperforming the published results. A regional DEM of the ice sheet that represents the topography in 1963 is then generated from the stereo ARGON images for the first time, the evaluation of which shows its consistency with the modern product but with great value for studying the recent change history of the ice sheet.</t>
  </si>
  <si>
    <t>[Ye, Wenkai; Qiao, Gang; Kong, Fansi; Ma, Xuwen; Tong, Xiaohua; Li, Rongxing] Tongji Univ, Coll Surveying &amp; Geoinformat, Ctr Spatial Informat Sci &amp; Sustainable Dev Applic, Shanghai 200092, Peoples R China</t>
  </si>
  <si>
    <t>Tongji University</t>
  </si>
  <si>
    <t>Qiao, G (corresponding author), Tongji Univ, Coll Surveying &amp; Geoinformat, Ctr Spatial Informat Sci &amp; Sustainable Dev Applic, Shanghai 200092, Peoples R China.</t>
  </si>
  <si>
    <t>qiaogang@tongji.edu.cn</t>
  </si>
  <si>
    <t>Qiao, Gang/AAU-5717-2020</t>
  </si>
  <si>
    <t>Qiao, Gang/0000-0002-2010-6238</t>
  </si>
  <si>
    <t>National Key Research and Development Program of China [2017YFA0603102]; National Science Foundation of China [91547210]; State Key Development Program for Basic Research of China [2012CB957701]; Fundamental Research Funds for the Central Universities</t>
  </si>
  <si>
    <t>National Key Research and Development Program of China; National Science Foundation of China(National Natural Science Foundation of China (NSFC)); State Key Development Program for Basic Research of China(State Key Development Program for Basic Research of China); Fundamental Research Funds for the Central Universities(Fundamental Research Funds for the Central Universities)</t>
  </si>
  <si>
    <t>This research was supported by the National Key Research and Development Program of China (2017YFA0603102), the National Science Foundation of China (91547210), the State Key Development Program for Basic Research of China (2012CB957701), and the Fundamental Research Funds for the Central Universities.</t>
  </si>
  <si>
    <t>AMER SOC PHOTOGRAMMETRY</t>
  </si>
  <si>
    <t>BETHESDA</t>
  </si>
  <si>
    <t>5410 GROSVENOR LANE SUITE 210, BETHESDA, MD 20814-2160 USA</t>
  </si>
  <si>
    <t>0099-1112</t>
  </si>
  <si>
    <t>2374-8079</t>
  </si>
  <si>
    <t>PHOTOGRAMM ENG REM S</t>
  </si>
  <si>
    <t>Photogramm. Eng. Remote Sens.</t>
  </si>
  <si>
    <t>10.14358/PERS.83.7.477</t>
  </si>
  <si>
    <t>Geography, Physical; Geosciences, Multidisciplinary; Remote Sensing; Imaging Science &amp; Photographic Technology</t>
  </si>
  <si>
    <t>Physical Geography; Geology; Remote Sensing; Imaging Science &amp; Photographic Technology</t>
  </si>
  <si>
    <t>FH5MH</t>
  </si>
  <si>
    <t>WOS:000411210500004</t>
  </si>
  <si>
    <t>Costa, VDS; Vieira, R; Simoes, JC</t>
  </si>
  <si>
    <t>Silva Costa, Vanessa do Couto; Vieira, Rosemary; Simoes, Jefferson Cardia</t>
  </si>
  <si>
    <t>GEOMORPHOLOGY AND SEDIMENTOLOGY OF UNION GLACIER AREA, ELLSWORTH MOUNTAINS, OCCIDENTAL ANTARCTICA</t>
  </si>
  <si>
    <t>REVISTA BRASILEIRA DE GEOMORFOLOGIA</t>
  </si>
  <si>
    <t>Moraines; Ellsworth; Mountains; Antarctica</t>
  </si>
  <si>
    <t>WEST ANTARCTICA; CLAST SHAPE; ICE; MORAINES; LAND; EVOLUTION; THWAITES; PATRIOT; HILLS</t>
  </si>
  <si>
    <t>The work aims to investigate the geomorphological and sedimentological aspects of Union Glacier area (79(o) 45' 00'' S; 82(o) 30' 00'' W), southern sector of Ellsworth Mountains. Geomorphological cartography based on 15 m ASTER ( 2010) satellite imagery and field works were carried out during the Brazilian expedition (2011/2012) enabled the identification of morainic formations: icecored hummock moraines, supraglacial moraines, and recession moraines in the interior of the valleys. With the exception of the latter one, all types of moraines have been developed on the blue-ice areas. The evidence for paleo wet-based glacial conditions is reconstructed from a range of geomorphological record, including exposed abrasion marks, striations and glaciotectonic deformation. This type of deformation is represented by lee sides of oversteep ening bedrock promontories which follow the tributaries of glaciers ice flow. Glacial sediments were collected from the moraines for granulometric and morphometric analyses. They show the prevalence of sandy gravel and sand texture, low quantity of fine fractions, and absence of attributes such as striated and faceted clasts, which indicate, on the other side, low-sediment transport capacity from the ice sheet bottom. It is inferred that the moraine debris are originated from local sources. Weathering action and constant katabatic winds are possibly the major agents of transport and alteration of the exposed sediments. The geomorphological features reveal an ancient thicker ice sheet, and sedimentary characteristics of the morainic formations reveal a latter thinner ice sheet in this sector of Ellsworth Mountains.</t>
  </si>
  <si>
    <t>[Silva Costa, Vanessa do Couto; Vieira, Rosemary] Univ Fed Fluminense, Inst Geociencias, Ave Gal Milton Tavares de Souza S-N, BR-24210346 Niteroi, RJ, Brazil; [Simoes, Jefferson Cardia] Univ Fed Rio Grande do Sul, Inst Geociencias, Ave Bento Goncalves 9500, BR-91501970 Porto Alegre, RS, Brazil</t>
  </si>
  <si>
    <t>Universidade Federal Fluminense; Universidade Federal do Rio Grande do Sul</t>
  </si>
  <si>
    <t>Costa, VDS (corresponding author), Univ Fed Fluminense, Inst Geociencias, Ave Gal Milton Tavares de Souza S-N, BR-24210346 Niteroi, RJ, Brazil.</t>
  </si>
  <si>
    <t>vanessacosta@id.uff.br; rosemaryvieira@id.uff.br; jefferson.simoes@ufrgs.br</t>
  </si>
  <si>
    <t>Simoes, Jefferson Cardia/D-7232-2013</t>
  </si>
  <si>
    <t>Simoes, Jefferson Cardia/0000-0001-5555-3401; Vieira, Rosemary/0000-0003-0312-2890</t>
  </si>
  <si>
    <t>Brazilian National Research Council for Scientific and Technological Development (CNPq); Brazilian Antarctic Program (PROANTAR); Research Support Foundation of the State of Rio de Janeiro (FAPERJ)</t>
  </si>
  <si>
    <t>Brazilian National Research Council for Scientific and Technological Development (CNPq)(Conselho Nacional de Desenvolvimento Cientifico e Tecnologico (CNPQ)Fundacao de Apoio a Pesquisa do Distrito Federal (FAPDF)); Brazilian Antarctic Program (PROANTAR); Research Support Foundation of the State of Rio de Janeiro (FAPERJ)(Fundacao Carlos Chagas Filho de Amparo a Pesquisa do Estado do Rio De Janeiro (FAPERJ))</t>
  </si>
  <si>
    <t>The field campaigns were funded by Brazilian National Research Council for Scientific and Technological Development (CNPq) and Brazilian Antarctic Program (PROANTAR). Antarctic Logistics and Expeditions (ALE) provided air transportation and logistic support in the field. Sediment analysis was completed at Fluminense Federal University. Research Support Foundation of the State of Rio de Janeiro (FAPERJ) supported laboratory equipment and students fellowships. ASTER images were offered by Jorge Arigony Neto (Rio Grande Federal University) and processed at Polar and Climate Centre, UFRGS, Brazil. Special thanks to the graduate students Thairiny Fonseca, Livia Aguiar, Joao Vitor Ramos, Marcos Aurelio Perroni, Matheus Goncalves and Joao Pedro Farias Santos for their support in the laboratory. Thanks also to Fabio Magrani for the English language revision.</t>
  </si>
  <si>
    <t>UNIAO GEOMORFOLOGIA BRASILEIRA</t>
  </si>
  <si>
    <t>UBERLANDIA, BRAZIL</t>
  </si>
  <si>
    <t>UNIV FEDERAL UBERLANDIA, AV JOAO NAVES AVILA 2160, UBERLANDIA, BRAZIL, 00000, BRAZIL</t>
  </si>
  <si>
    <t>1519-1540</t>
  </si>
  <si>
    <t>2236-5664</t>
  </si>
  <si>
    <t>REV BRAS GEOMORFOL</t>
  </si>
  <si>
    <t>Rev. Bras. Geomorfol.</t>
  </si>
  <si>
    <t>10.20502/rbg.v18i3.1246</t>
  </si>
  <si>
    <t>Geography, Physical</t>
  </si>
  <si>
    <t>Physical Geography</t>
  </si>
  <si>
    <t>FH9HR</t>
  </si>
  <si>
    <t>WOS:000411522100008</t>
  </si>
  <si>
    <t>Vianna, JA; Noll, D; Mura-Jornet, I; Valenzuela-Guerra, P; González-Acuña, D; Navarro, C; Loyola, DE; Dantas, GPM</t>
  </si>
  <si>
    <t>Vianna, Juliana A.; Noll, Daly; Mura-Jornet, Isidora; Valenzuela-Guerra, Paulina; Gonzalez-Acuna, Daniel; Navarro, Cristell; Loyola, David E.; Dantas, Gisele P. M.</t>
  </si>
  <si>
    <t>Comparative genome-wide polymorphic microsatellite markers in Antarctic penguins through next generation sequencing</t>
  </si>
  <si>
    <t>GENETICS AND MOLECULAR BIOLOGY</t>
  </si>
  <si>
    <t>microsatellite markers; penguin; genome; polymorphism; tetranucleotide</t>
  </si>
  <si>
    <t>CROSS-SPECIES UTILITY; GENETIC DIFFERENTIATION; HUMBOLDT PENGUIN; ADELIE PENGUINS; ANCIENT DNA; LOCI; EVOLUTION; COLONIES; IDENTIFICATION; DISPERSAL</t>
  </si>
  <si>
    <t>Microsatellites are valuable molecular markers for evolutionary and ecological studies. Next generation sequencing is responsible for the increasing number of microsatellites for non-model species. Penguins of the Pygoscelis genus are comprised of three species: Adelie (P. adeliae), Chinstrap (P. antarcticus) and Gentoo penguin (P. papua), all distributed around Antarctica and the sub-Antarctic. The species have been affected differently by climate change, and the use of microsatellite markers will be crucial to monitor population dynamics. We characterized a large set of genome-wide microsatellites and evaluated polymorphisms in all three species. SOLiD reads were generated from the libraries of each species, identifying a large amount of microsatellite loci: 33,677, 35,265 and 42,057 for P. adeliae, P. antarcticus and P. papua, respectively. A large number of dinucleotide (66,139), trinucleotide (29,490) and tetranucleotide (11,849) microsatellites are described. Microsatellite abundance, diversity and orthology were characterized in penguin genomes. We evaluated polymorphisms in 170 tetranucleotide loci, obtaining 34 polymorphic loci in at least one species and 15 polymorphic loci in all three species, which allow to perform comparative studies. Polymorphic markers presented here enable a number of ecological, population, individual identification, parentage and evolutionary studies of Pygoscelis, with potential use in other penguin species.</t>
  </si>
  <si>
    <t>[Vianna, Juliana A.; Noll, Daly; Mura-Jornet, Isidora; Valenzuela-Guerra, Paulina] Pontificia Univ Catolica Chile, Dept Ecosistemas &amp; Medio Ambiente, Santiago, Chile; [Vianna, Juliana A.] Ctr Cambio Global UC, Santiago, Chile; [Gonzalez-Acuna, Daniel] Univ Concepcion, Fac Ciencias Vet, Dept Ciencias Pecuarias, Chillan, Chile; [Navarro, Cristell; Loyola, David E.] Ctr Nacl Genom &amp; Bioinformat, Santiago, Chile; [Dantas, Gisele P. M.] Pontificia Univ Catolica Minas Gerais, Belo Horizonte, MG, Brazil</t>
  </si>
  <si>
    <t>Pontificia Universidad Catolica de Chile; Universidad de Concepcion; Pontificia Universidade Catolica de Minas Gerais</t>
  </si>
  <si>
    <t>Vianna, JA (corresponding author), Pontificia Univ Catolica Chile, Dept Ecosistemas &amp; Medio Ambiente, Fac Agron &amp; Ingn Forestal, Av Vicuna Mackenna 4860, Santiago, Chile.</t>
  </si>
  <si>
    <t>jvianna@uc.cl</t>
  </si>
  <si>
    <t>Dantas, Gisele PM/T-6782-2019; Vianna, Juliana/E-9847-2015</t>
  </si>
  <si>
    <t>Dantas, Gisele PM/0000-0001-5282-7577; Mura-Jornet, Isidora/0000-0003-2516-8590; Vianna, Juliana/0000-0003-2330-7825; Noll, Daly/0000-0003-3733-8817</t>
  </si>
  <si>
    <t>Fondecyt [11110060, 1150517]; Chilean Antarctic Institute [INACH T_12-13, G_06-11, RT_12-14]; CNPq [482501/2013-8]</t>
  </si>
  <si>
    <t>Fondecyt(Comision Nacional de Investigacion Cientifica y Tecnologica (CONICYT)CONICYT FONDECYT); Chilean Antarctic Institute; CNPq(Conselho Nacional de Desenvolvimento Cientifico e Tecnologico (CNPQ))</t>
  </si>
  <si>
    <t>We acknowledge the financial support of Fondecyt (No 11110060 and 1150517), the Chilean Antarctic Institute (INACH T_12-13, G_06-11, RT_12-14) and CNPq (482501/2013-8).</t>
  </si>
  <si>
    <t>SOC BRASIL GENETICA</t>
  </si>
  <si>
    <t>RIBEIRAO PRET</t>
  </si>
  <si>
    <t>RUA CAP ADELMIO NORBET DA SILVA, 736, ALTO DA BOA VISTA, 14025-670 RIBEIRAO PRET, BRAZIL</t>
  </si>
  <si>
    <t>1415-4757</t>
  </si>
  <si>
    <t>1678-4685</t>
  </si>
  <si>
    <t>GENET MOL BIOL</t>
  </si>
  <si>
    <t>Genet. Mol. Biol.</t>
  </si>
  <si>
    <t>10.1590/1678-4685-GMB-2016-0224</t>
  </si>
  <si>
    <t>FF9XL</t>
  </si>
  <si>
    <t>WOS:000409372000014</t>
  </si>
  <si>
    <t>Zhang, HQ; Xiao, SH</t>
  </si>
  <si>
    <t>Zhang, Huaqiao; Xiao, Shuhai</t>
  </si>
  <si>
    <t>Three-dimensionally phosphatized meiofaunal bivalved arthropods from the Upper Cambrian of Western Hunan, South China</t>
  </si>
  <si>
    <t>Orsten-type preservation; bivalved arthropods; meiofauna; Paibian Stage; Furongian Series; Wangcun Lagerstatte; South China</t>
  </si>
  <si>
    <t>SMALL CARBONACEOUS FOSSILS; ORSTEN-TYPE PRESERVATION; BURGESS SHALE; MIDDLE; MARKUELIA; BIOSTRATIGRAPHY; BIOGEOGRAPHY; AFFINITIES; TAPHONOMY; ANIMALS</t>
  </si>
  <si>
    <t>Meiofaunas are important ecological players in modern marine ecosystems, but their Cambrian fossil record is rather poor, even in some of the best-known Lagerstatten, such as the Burgess Shale biota, which are typically dominated by macroscopic animals. In this regard, the Upper Cambrian Wangcun Lagerstatte in South China is unusual in its richness in meiofaunal animals. Here, we described new material of three-dimensionally phosphatized meiofaunal bivalved arthropods from a single horizon in the Paibian Stage, Furongian Series of Wangcun section, Western Hunan, South China. New bivalved arthropods include Albrunnicola bengtsoni (bradoriid), Mengdongella elliptica gen. et sp. nov., and an indeterminate phosphatocopine Gen. et sp. indet. The new discovery extends the stratigraphic and geographic ranges of A. bengtsoni, which was previously only known from Lower Cambrian strata of Australia and Antarctic. The shield of A. bengtsoni bears pits that might have facilitated respiration or sensing. Mengdongella elliptica is a new bivalved arthropod of uncertain affinity, with antero-dorsal spines functioning as sensory organs. These new findings highlight the importance of the Orsten-type taphonomic window in revealing the diversity of meiofaunal ecdysozoans in Cambrian oceans.</t>
  </si>
  <si>
    <t>[Zhang, Huaqiao] Chinese Acad Sci, State Key Lab Palaeobiol &amp; Stratig, Nanjing Inst Geol &amp; Palaeontol, Nanjing 210008, Jiangsu, Peoples R China; [Xiao, Shuhai] Virginia Tech, Dept Geosci, Blacksburg, VA 24061 USA</t>
  </si>
  <si>
    <t>Chinese Academy of Sciences; Virginia Polytechnic Institute &amp; State University</t>
  </si>
  <si>
    <t>Zhang, HQ (corresponding author), Chinese Acad Sci, State Key Lab Palaeobiol &amp; Stratig, Nanjing Inst Geol &amp; Palaeontol, Nanjing 210008, Jiangsu, Peoples R China.</t>
  </si>
  <si>
    <t>hqzhang@nigpas.ac.cn</t>
  </si>
  <si>
    <t>Xiao, Shuhai/A-2190-2009</t>
  </si>
  <si>
    <t>Xiao, Shuhai/0000-0003-4655-2663</t>
  </si>
  <si>
    <t>Chinese Ministry of Science and Technology 973 Project [2013CB837100]; National Natural Science Foundation of China [41572007]; US National Science Foundation [EAR 1528553]; Youth Innovation Promotion Association, Chinese Academy of Sciences [2016283]; Directorate For Geosciences; Division Of Earth Sciences [1528553] Funding Source: National Science Foundation</t>
  </si>
  <si>
    <t>Chinese Ministry of Science and Technology 973 Project(Ministry of Science and Technology, ChinaNational Basic Research Program of China); National Natural Science Foundation of China(National Natural Science Foundation of China (NSFC)); US National Science Foundation(National Science Foundation (NSF)); Youth Innovation Promotion Association, Chinese Academy of Sciences; Directorate For Geosciences; Division Of Earth Sciences(National Science Foundation (NSF)NSF - Directorate for Geosciences (GEO))</t>
  </si>
  <si>
    <t>This work was supported by the Chinese Ministry of Science and Technology 973 Project (2013CB837100 to HZ), the National Natural Science Foundation of China (41572007 to HZ), the US National Science Foundation (EAR 1528553 to SX), and the Youth Innovation Promotion Association, Chinese Academy of Sciences (2016283 to HZ). PHILIP C.J. DONOGHUE (University of Bristol, UK) and an anonymous reviewer provided constructive comments to this paper. We thank XI-PING DONG (Peking University, Beijing) for field assistance, MARK WILLIAMS (University of Leicester, UK) and SHANCHI PENG (NIGP, Nanjing) for discussions.</t>
  </si>
  <si>
    <t>10.1127/njgpa/2017/0668</t>
  </si>
  <si>
    <t>FG6DS</t>
  </si>
  <si>
    <t>WOS:000410461900003</t>
  </si>
  <si>
    <t>Liu, CY; Wang, ZM; Cheng, C; Xia, RB; Li, BR; Xie, ZL</t>
  </si>
  <si>
    <t>Liu, Chengyan; Wang, Zhaomin; Cheng, Chen; Xia, Ruibin; Li, Bingrui; Xie, Zelin</t>
  </si>
  <si>
    <t>Modeling modified Circumpolar Deep Water intrusions onto the Prydz Bay continental shelf, East Antarctica</t>
  </si>
  <si>
    <t>AMERY-ICE-SHELF; BASAL MELT RATES; SEA-ICE; BOTTOM WATER; SOUTHERN-OCEAN; CAPE DARNLEY; CIRCULATION; BENEATH; VARIABILITY; REGION</t>
  </si>
  <si>
    <t>An eddy-resolving coupled regional ocean-sea ice-ice shelf model is employed to locate the hot spots where modified Circumpolar Deep Water (mCDW) intrudes onto the continental shelf within Prydz Bay, and locate the paths through which mCDW is transported to the Amery Ice Shelf (AIS) calving front. Evaluation of the model output is with satellite, hydrographic and borehole data. Two critical windows responsible for mCDW intrusions are identified. The first is the eastern branch of the cyclonic Prydz Bay gyre (PBG) that carries mCDW to the ice front line, accounting for an annual mean heat transport of similar to 8.7 x 10(11) J s(-1). The second is located to the east of the Four Ladies Bank (FLB) where mCDW is channeled through submarine troughs, accounting for an annual mean heat transport of similar to 16.2 x 10(11) J s(-1). The eddy-induced heat transport accounts for similar to 23% in the path of the PBG and similar to 52% in the path of the eastern coastal current, with respect to their total onshore heat transport. The seasonal pulsing of mCDW intrusions is greatly dependent on the seasonal cycle of the Antarctic Slope Current (ASC) that peaks with a maximum of similar to 29.3 Sv at 75 degrees E in June. In austral winter, mCDW is allowed to access the eastern flank of the AIS calving front with potential consequences for the basal mass balance of the AIS. The dynamic effects of small-scale troughs on the longshore ASC play an important role in the onshore mCDW transport.</t>
  </si>
  <si>
    <t>[Liu, Chengyan; Cheng, Chen; Xia, Ruibin; Xie, Zelin] Nanjing Univ Informat Sci &amp; Technol, Polar Climate Syst &amp; Global Change Lab, Nanjing, Jiangsu, Peoples R China; [Liu, Chengyan] Ctr Coastal Phys Oceanog, Norfolk, VA USA; [Wang, Zhaomin] Hohai Univ, Coll Oceanog, Nanjing, Jiangsu, Peoples R China; [Li, Bingrui] Polar Res Inst China, Shanghai, Peoples R China</t>
  </si>
  <si>
    <t>Nanjing University of Information Science &amp; Technology; Hohai University; Polar Research Institute of China</t>
  </si>
  <si>
    <t>Wang, ZM (corresponding author), Hohai Univ, Coll Oceanog, Nanjing, Jiangsu, Peoples R China.</t>
  </si>
  <si>
    <t>zhaomin.wang@hhu.edu.cn</t>
  </si>
  <si>
    <t>Major State Basic Research Development Program of China [2016YFA0601804]; China National Natural Science Foundation (NSFC) Project [41276200, 41306208, 41406214, 41376190, 41606217]; Fundamental Research Funds for the Central Universities [2017B04814]; Ocean Public Welfare Scientific Research Project [201405031]; Chinese Polar Environment Comprehensive Investigation &amp; Assessment Program [CHINARE-2016-01-01]; Special Program for China Meteorology Trade [GYHY201306020]; Program for Innovation Research and Entrepreneurship team in Jiangsu Province; Jiangsu Government Scholarship for Overseas Studies; China Scholarship Council [201504180026, 201708320046]; Priority Academic Program Development of Jiangsu Higher Education Institutions (PAPD)</t>
  </si>
  <si>
    <t>Major State Basic Research Development Program of China(National Basic Research Program of China); China National Natural Science Foundation (NSFC) Project; Fundamental Research Funds for the Central Universities(Fundamental Research Funds for the Central Universities); Ocean Public Welfare Scientific Research Project; Chinese Polar Environment Comprehensive Investigation &amp; Assessment Program; Special Program for China Meteorology Trade; Program for Innovation Research and Entrepreneurship team in Jiangsu Province; Jiangsu Government Scholarship for Overseas Studies; China Scholarship Council(China Scholarship Council); Priority Academic Program Development of Jiangsu Higher Education Institutions (PAPD)</t>
  </si>
  <si>
    <t>This work is supported by the Major State Basic Research Development Program of China (2016YFA0601804), by the China National Natural Science Foundation (NSFC) Project (41276200; 41306208; 41406214; 41376190; 41606217), by the Fundamental Research Funds for the Central Universities (2017B04814), by Ocean Public Welfare Scientific Research Project(201405031), by the Chinese Polar Environment Comprehensive Investigation &amp; Assessment Program (CHINARE-2016-01-01), by the Special Program for China Meteorology Trade (grant GYHY201306020), by Program for Innovation Research and Entrepreneurship team in Jiangsu Province, by the Jiangsu Government Scholarship for Overseas Studies, by the China Scholarship Council (201504180026; 201708320046), and by a project funded by the Priority Academic Program Development of Jiangsu Higher Education Institutions (PAPD). Data from the 29th CHINARE are available through the Chinese National Arctic and Antarctic Data Center (http://www.chinare.org.cn/en/difDetailPublicDataset/?id56725), and it is also available upon request to the corresponding author (Zhaomin Wang, zhaomin.wang@hhu.edu.cn). Hydrographic data from JARPA are available through the Institute of Cetacean Research (http://www.icrwhale.org/oceanograhicdata.html). Data from the boreholes are available through the Australia Antarctic Data Center(https://data.aad.gov.au/metadata/records/ASAC_1164). The instrumented southern elephant seal data are provided by the Integrated Marine Observing System (https://imos.aodn.org.au/imos123/home). The sea ice concentration data are provided by the National Snow and Ice Data Center (http://nsidc.org/data/NSIDC-0051#). Thanks to Benjamin Keith Galton-Fenzi (University of Tasmania, Australia) for advice on topography data, Dimitris Menemenlis (JPL, USA) for advice on using the MITgcm, and Andrew L. Stewart (UCLA, USA) for advice choosing on the momentum mixing parameterization scheme. We also thank Eileen Hofmann, John Klinck, Michael Dinniman and Pierre St-Laurent (CCPO, USA) for their constructive comments and discussions. The constructive comments of the two anonymous reviewers were greatly appreciated.</t>
  </si>
  <si>
    <t>10.1002/2016JC012336</t>
  </si>
  <si>
    <t>FG2DU</t>
  </si>
  <si>
    <t>WOS:000409893600001</t>
  </si>
  <si>
    <t>Couto, N; Martinson, DG; Kohut, J; Schofield, O</t>
  </si>
  <si>
    <t>Couto, Nicole; Martinson, Douglas G.; Kohut, Josh; Schofield, Oscar</t>
  </si>
  <si>
    <t>Distribution of Upper Circumpolar Deep Water on the warming continental shelf of the West Antarctic Peninsula</t>
  </si>
  <si>
    <t>SUBTHERMOCLINE EDDIES; PINE ISLAND; CIRCULATION; GLACIER; OCEAN; WIDESPREAD; EXCHANGE; RETREAT; MODEL</t>
  </si>
  <si>
    <t>We use autonomous underwater vehicles to characterize the spatial distribution of Upper Circumpolar Deep Water (UCDW) on the continental shelf of the West Antarctic Peninsula (WAP) and present the first near-synoptic measurements of mesoscale features (eddies) containing UCDW on the WAP. Thirty-three subsurface eddies with widths on the order of 10 km were detected during four glider deployments. Each eddy contributed an average of 5.8 x 10(16) J to the subpycnocline waters, where a cross-shelf heat flux of 1.37 x 10(19) J yr(-1) is required to balance the diffusive loss of heat to overlying winter water and to the near-coastal waters. Approximately two-thirds of the heat coming onto the shelf diffuses across the pycnocline and one-third diffuses to the coastal waters; long-term warming of the subpycnocline waters is a small residual of this balance. Sixty percent of the profiles that contained UCDW were part of a coherent eddy. Between 20% and 53% of the lateral onshore heat flux to the WAP can be attributed to eddies entering Marguerite Trough, a feature in the southern part of the shelf which is known to be an important conduit for UCDW. A northern trough is identified as additional important location for eddy intrusion.</t>
  </si>
  <si>
    <t>[Couto, Nicole; Kohut, Josh; Schofield, Oscar] Rutgers State Univ, Dept Marine &amp; Coastal Sci, New Brunswick, NJ 08901 USA; [Martinson, Douglas G.] Columbia Univ, Lamont Doherty Earth Observ, Palisades, NY USA</t>
  </si>
  <si>
    <t>Rutgers University System; Rutgers University New Brunswick; Columbia University</t>
  </si>
  <si>
    <t>Couto, N (corresponding author), Rutgers State Univ, Dept Marine &amp; Coastal Sci, New Brunswick, NJ 08901 USA.</t>
  </si>
  <si>
    <t>ncouto@marine.rutgers.edu</t>
  </si>
  <si>
    <t>Schofield, Oscar/H-4169-2018</t>
  </si>
  <si>
    <t>Schofield, Oscar/0000-0003-2359-4131</t>
  </si>
  <si>
    <t>National Science Foundation (NSF/PLR Award) [0823101]; Teledyne Webb Research; RUCOOL</t>
  </si>
  <si>
    <t>National Science Foundation (NSF/PLR Award)(National Science Foundation (NSF)); Teledyne Webb Research; RUCOOL</t>
  </si>
  <si>
    <t>Glider data used in this study are available through the Rutgers University Center for Ocean Observing Leadership (RUCOOL) webpage http://marine.rutgers.edu/cool/auvs/ and the MARACOOS assets page http://maracoos.org/data. Data sets are also available upon request to ncouto@marine.rutgers.edu. We gratefully acknowledge support from the National Science Foundation (NSF/PLR Award 0823101), from Teledyne Webb Research for providing graduate student funding and from the RUCOOL glider technicians and pilots for their tireless work during deployments. We would also like to thank Darren McKee for several productive conversations and our anonymous reviewers for their careful criticism that helped to improve the manuscript.</t>
  </si>
  <si>
    <t>10.1002/2017JC012840</t>
  </si>
  <si>
    <t>WOS:000409893600006</t>
  </si>
  <si>
    <t>Morioka, Y; Taguchi, B; Behera, SK</t>
  </si>
  <si>
    <t>Morioka, Yushi; Taguchi, Bunmei; Behera, Swadhin K.</t>
  </si>
  <si>
    <t>Eastward propagating decadal temperature variability in the South Atlantic and Indian Oceans</t>
  </si>
  <si>
    <t>FREQUENCY CLIMATE VARIABILITY; NORTH PACIFIC; MULTIDECADAL VARIABILITY; INTERDECADAL VARIABILITY; KUROSHIO EXTENSION; SYSTEM MODEL; HEAT-BALANCE; AFRICA; REGION; OSCILLATION</t>
  </si>
  <si>
    <t>The origin and structure of eastward propagating decadal temperature variability in the South Atlantic and Indian Oceans are investigated by using long-term output of coupled general circulation model. Composite analysis during the warm Southwest Indian Ocean (SWIO) years shows that decadal temperature anomalies in the SWIO region originate in the South Atlantic and are associated with density anomalies. Since the density anomalies propagate at the speed of a few cm s(-1), slower than the speed of the background eastward Antarctic Circumpolar Current, and exhibit a surface-intensified equivalent barotropic structure, the eastward propagation of the density anomalies may be attributed to quasi-stationary oceanic Rossby waves. The density anomalies are also accompanied with anomalous Ekman pumping, indicating an important contribution from the overlying atmospheric variability. The role of atmospheric variability is further examined by evaluating the mixed-layer heat balance. It is found that the warm temperature anomalies in the South Atlantic are due to anomalous entrainment and meridional advection. These results suggest that the atmospheric variability plays an important role through the ocean mixed layer in generating the eastward propagation of decadal temperature variability from the South Atlantic besides the internal ocean variability as suggested in previous studies.</t>
  </si>
  <si>
    <t>[Morioka, Yushi; Taguchi, Bunmei; Behera, Swadhin K.] JAMSTEC, Applicat Lab, Yokohama, Kanagawa, Japan; [Taguchi, Bunmei] Univ Tokyo, Res Ctr Adv Sci &amp; Technol, Tokyo, Japan</t>
  </si>
  <si>
    <t>Japan Agency for Marine-Earth Science &amp; Technology (JAMSTEC); University of Tokyo</t>
  </si>
  <si>
    <t>Morioka, Y (corresponding author), JAMSTEC, Applicat Lab, Yokohama, Kanagawa, Japan.</t>
  </si>
  <si>
    <t>morioka@jamstec.go.jp</t>
  </si>
  <si>
    <t>Taguchi, Bunmei/J-2109-2014; Morioka, Yushi/G-3431-2014; Behera, Swadhin K./B-7839-2009</t>
  </si>
  <si>
    <t>Taguchi, Bunmei/0000-0002-3537-4462; Morioka, Yushi/0000-0002-2709-4911; Behera, Swadhin K./0000-0001-8692-2388</t>
  </si>
  <si>
    <t>JSPS KAKENHI [15K17768, 24540476, 15K05284]; Japan Science and Technology Agency/Japan Agency for Medical Research and Development through Science and Technology Research Partnership for Sustainable Development (SATREPS); Arctic Challenge for Sustainability; Belmont Forum InterDec.; Grants-in-Aid for Scientific Research [15K05284, 24540476, 15K17768] Funding Source: KAKEN</t>
  </si>
  <si>
    <t>JSPS KAKENHI(Ministry of Education, Culture, Sports, Science and Technology, Japan (MEXT)Japan Society for the Promotion of ScienceGrants-in-Aid for Scientific Research (KAKENHI)); Japan Science and Technology Agency/Japan Agency for Medical Research and Development through Science and Technology Research Partnership for Sustainable Development (SATREPS)(Japan Agency for Medical Research and Development (AMED)); Arctic Challenge for Sustainability; Belmont Forum InterDec.; Grants-in-Aid for Scientific Research(Ministry of Education, Culture, Sports, Science and Technology, Japan (MEXT)Japan Society for the Promotion of ScienceGrants-in-Aid for Scientific Research (KAKENHI))</t>
  </si>
  <si>
    <t>The SINTEX-F2 was run on the Earth Simulator at the Japan Agency for Marine Earth Science and Technology (JAMSTEC). Constructive comments by Drs. Ryo Furue, Niklas Schneider, Erik van Sebille, and Bastien Dieppois are helpful for improving original manuscript. We also thank two anonymous reviewers for their constructive comments on the manuscript. The present research is supported by JSPS KAKENHI grants 15K17768, 24540476, and 15K05284, the Japan Science and Technology Agency/Japan Agency for Medical Research and Development through the Science and Technology Research Partnership for Sustainable Development (SATREPS). Bunmei Taguchi is supported by Arctic Challenge for Sustainability and Belmont Forum InterDec. The data used to create the figures are available upon request to the authors.</t>
  </si>
  <si>
    <t>10.1002/2017JC012706</t>
  </si>
  <si>
    <t>WOS:000409893600023</t>
  </si>
  <si>
    <t>Munday, DR; Meredith, MP</t>
  </si>
  <si>
    <t>Munday, D. R.; Meredith, M. P.</t>
  </si>
  <si>
    <t>On the dynamics of flow past a cylinder: Implications for CTD package motions and measurements</t>
  </si>
  <si>
    <t>OSCILLATING CIRCULAR-CYLINDER; KEULEGAN-CARPENTER NUMBERS; NUMERICAL-SIMULATION; REYNOLDS-NUMBERS; SPHERE; WAKE; BETA</t>
  </si>
  <si>
    <t>During the collection of ship-based observations, heaving of the vessel may lead to variation in the descent rate of a CTD package. This can result in the package being pulled upward through previously sampled water, leading to difficult to quantify errors due to the complex wake. To reduce this problem to one of manageable stature, we use the simple paradigm of two-dimensional flow past a cylinder. By using a tracer with a gradient along the flow, we quantify the effect of the cylinder on its distribution and the impact of postprocessing. At high Reynolds numbers, over 200, uniform translation leads to a small error in the tracer value. This error is likely negligible at the much higher Reynolds number of the ocean. When the flow is oscillated longitudinally, there are two main sources of error; attached vortices may propagate around the cylinder and/or shed vortices may translate into the path of the cylinder. Postprocessing by removing records from previous pressure levels removes much of the first error, due to it occurring as the package ascends. However, the second source of error is more difficult to remove, due to it occurring when the package is once again descending. In general, results indicate that long-period oscillations are preferable. While the magnitude of the errors are comparable to those from short-period oscillations, they are spread farther apart in time and space and the overall effect is to localize the errors in small regions of the final depth profile.</t>
  </si>
  <si>
    <t>[Munday, D. R.; Meredith, M. P.] British Antarctic Survey, Cambridge, England</t>
  </si>
  <si>
    <t>Munday, DR (corresponding author), British Antarctic Survey, Cambridge, England.</t>
  </si>
  <si>
    <t>danday@bas.ac.uk</t>
  </si>
  <si>
    <t>Munday, David R/R-1986-2016; Munday, David/Y-7052-2019</t>
  </si>
  <si>
    <t>Munday, David R/0000-0003-1920-708X; Meredith, Michael/0000-0002-7342-7756</t>
  </si>
  <si>
    <t>Natural Environment Research Council (ORCHESTRA) [NE/N018095/1]; NERC [NE/N018095/1, bas0100033] Funding Source: UKRI; Natural Environment Research Council [NE/N018095/1, bas0100033] Funding Source: researchfish</t>
  </si>
  <si>
    <t>Natural Environment Research Council (ORCHESTRA); NERC(UK Research &amp; Innovation (UKRI)Natural Environment Research Council (NERC)); Natural Environment Research Council(UK Research &amp; Innovation (UKRI)Natural Environment Research Council (NERC))</t>
  </si>
  <si>
    <t>With thanks to the crew of the James Clark Ross during cruise JR15006. D.R.M. acknowledges interesting and insightful discussions with Hugh Venables and Ben Moat. This work was supported by the Natural Environment Research Council (ORCHESTRA, grant NE/N018095/1). The authors thank an anonymous reviewer for their comments, which led to an improvement of the paper's presentation. The model output used in this paper is available from the Open Science Framework at https://osf.io/njmbd.</t>
  </si>
  <si>
    <t>10.1002/2017JC012708</t>
  </si>
  <si>
    <t>WOS:000409893600029</t>
  </si>
  <si>
    <t>Bromirski, PD; Chen, Z; Stephen, RA; Gerstoft, P; Arcas, D; Diez, A; Aster, RC; Wiens, DA; Nyblade, A</t>
  </si>
  <si>
    <t>Bromirski, P. D.; Chen, Z.; Stephen, R. A.; Gerstoft, P.; Arcas, D.; Diez, A.; Aster, R. C.; Wiens, D. A.; Nyblade, A.</t>
  </si>
  <si>
    <t>Tsunami and infragravity waves impacting Antarctic ice shelves</t>
  </si>
  <si>
    <t>2015 CHILE TSUNAMI; OCEAN WAVES; SHEET; STABILITY; PENINSULA; NOISE; COAST; FLOW</t>
  </si>
  <si>
    <t>The responses of the Ross Ice Shelf (RIS) to the 16 September 2015 8.3 (M-w) Chilean earthquake tsunami (&gt;75 s period) and to oceanic infragravity (IG) waves (50-300 s period) were recorded by a broadband seismic array deployed on the RIS from November 2014 to November 2016. Here we show that tsunami and IG-generated signals within the RIS propagate at gravity wave speeds (similar to 70 m/s) as water-ice coupled flexural-gravity waves. IG band signals show measureable attenuation away from the shelf front. The response of the RIS to Chilean tsunami arrivals is compared with modeled tsunami forcing to assess ice shelf flexural-gravity wave excitation by very long period (VLP; &gt;300 s) gravity waves. Displacements across the RIS are affected by gravity wave incident direction, bathymetry under and north of the shelf, and water layer and ice shelf thicknesses. Horizontal displacements are typically about 10 times larger than vertical displacements, producing dynamical extensional motions that may facilitate expansion of existing fractures. VLP excitation is continuously observed throughout the year, with horizontal displacements highest during the austral winter with amplitudes exceeding 20 cm. Because VLP flexural-gravity waves exhibit no discernable attenuation, this energy must propagate to the grounding zone. Both IG and VLP band flexural-gravity waves excite mechanical perturbations of the RIS that likely promote tabular iceberg calving, consequently affecting ice shelf evolution. Understanding these ocean-excited mechanical interactions is important to determine their effect on ice shelf stability to reduce uncertainty in the magnitude and rate of global sea level rise. Plain Language Summary A major source of the uncertainty in the magnitude and rate of global sea level rise is the contribution from Antarctica. Ice shelves buttress land ice, restraining land ice from reaching the sea. We present the analysis of seismic data collected with a broadband seismic array deployed on the Ross Ice Shelf, Antarctica. The characteristics of ocean gravity-wave-induced vibrations, that may expand existing fractures in the ice shelf and/or trigger iceberg calving or ice shelf collapse events, are described. The mechanical dynamic strains induced can potentially affect ice shelf integrity, and ultimately reduce or remove buttressing restraints, accelerating sea level rise.</t>
  </si>
  <si>
    <t>[Bromirski, P. D.; Chen, Z.; Gerstoft, P.] Univ Calif San Diego, Scripps Inst Oceanog, La Jolla, CA 92093 USA; [Stephen, R. A.] Woods Hole Oceanog Inst, Dept Geol &amp; Geophys, Woods Hole, MA 02543 USA; [Arcas, D.] Univ Washington, Natl Ocean &amp; Atmospher Adm Pacific Marine Environ, Seattle, WA USA; [Diez, A.] Norwegian Polar Res Inst, Sci Res Dept, Tromso, Norway; [Aster, R. C.] Colorado State Univ, Dept Geosci, Ft Collins, CO 80523 USA; [Aster, R. C.] Colorado State Univ, Warner Coll Nat Resources, Ft Collins, CO 80523 USA; [Wiens, D. A.] Washington Univ, Dept Earth &amp; Planetary Sci, St Louis, MO 63130 USA; [Nyblade, A.] Penn State Univ, Dept Geosci, University Pk, PA 16802 USA</t>
  </si>
  <si>
    <t>University of California System; University of California San Diego; Scripps Institution of Oceanography; Woods Hole Oceanographic Institution; University of Washington; University of Washington Seattle; Norwegian Polar Institute; Colorado State University; Colorado State University; Washington University (WUSTL); Pennsylvania Commonwealth System of Higher Education (PCSHE); Pennsylvania State University; Pennsylvania State University - University Park</t>
  </si>
  <si>
    <t>Bromirski, PD (corresponding author), Univ Calif San Diego, Scripps Inst Oceanog, La Jolla, CA 92093 USA.</t>
  </si>
  <si>
    <t>pbromirski@ucsd.edu</t>
  </si>
  <si>
    <t>Gerstoft, Peter/B-2842-2009; Aster, Richard/E-5067-2013; Wiens, Douglas/J-9259-2016; Stephen, Ralph/P-4057-2014</t>
  </si>
  <si>
    <t>Gerstoft, Peter/0000-0002-0471-062X; Aster, Richard/0000-0002-0821-4906; Wiens, Douglas/0000-0002-5169-4386; Diez, Anja/0000-0001-6443-6135; Stephen, Ralph/0000-0003-0937-2049</t>
  </si>
  <si>
    <t>NSF [PLR 1246151, PLR-1246416, PLR-1142518, 1141916, 1142126]; National Oceanic and Atmospheric Administration (NOAA) [4648]; Incorporated Research Institutions for Seismology (IRIS) through the PASSCAL Instrument Center at New Mexico Tech; National Science Foundation [EAR-1261681]; DOE National Nuclear Security Administration; Office of Polar Programs (OPP); Directorate For Geosciences [1142126] Funding Source: National Science Foundation; Office of Polar Programs (OPP); Directorate For Geosciences [1141916] Funding Source: National Science Foundation</t>
  </si>
  <si>
    <t>NSF(National Science Foundation (NSF)); National Oceanic and Atmospheric Administration (NOAA)(National Oceanic Atmospheric Admin (NOAA) - USA); Incorporated Research Institutions for Seismology (IRIS) through the PASSCAL Instrument Center at New Mexico Tech; National Science Foundation(National Science Foundation (NSF)); DOE National Nuclear Security Administration(National Nuclear Security AdministrationUnited States Department of Energy (DOE)); Office of Polar Programs (OPP); Directorate For Geosciences(National Science Foundation (NSF)NSF - Directorate for Geosciences (GEO)); Office of Polar Programs (OPP); Directorate For Geosciences(National Science Foundation (NSF)NSF - Directorate for Geosciences (GEO))</t>
  </si>
  <si>
    <t>Bromirski, Gerstoft, Chen, and Diez were supported by NSF grant PLR 1246151. Stephen was supported by NSF grant PLR-1246416. Wiens, Aster, and Nyblade were supported under NSF grants PLR-1142518, 1141916, and 1142126, respectively. Arcas was supported by the National Oceanic and Atmospheric Administration (NOAA), with this report being PMEL contribution 4648. Seismic instruments and on-ice installation support were provided by the Incorporated Research Institutions for Seismology (IRIS) through the PASSCAL Instrument Center at New Mexico Tech. The RIS seismic data are archived at the IRIS Data Management Center, http://ds.iris.edu/ds/nodes/dmc/. Tsunami model outputs are archived at the NOAA National Center for Environmental Information, https://data.noaa.gov/dataset. The facilities of the IRIS Consortium are supported by the National Science Foundation under Cooperative Agreement EAR-1261681 and the DOE National Nuclear Security Administration. O. Sergienko provided helpful discussions and comments. We thank Patrick Shore, Michael Baker, Cai Chen, Robert Anthony, Reinhard Flick, Jerry Wanetick, Weisen Shen, and Tsitsi Madziwa Nussinov for their help with field operations, and Tom Bolmer for map construction. Logistical support from the U.S. Antarctica Program in McMurdo is much appreciated.</t>
  </si>
  <si>
    <t>10.1002/2017JC012913</t>
  </si>
  <si>
    <t>WOS:000409893600033</t>
  </si>
  <si>
    <t>Miteva-Staleva, JG; Krumova, ET; Vassilev, SV; Angelova, MB</t>
  </si>
  <si>
    <t>Miteva-Staleva, Jeni G.; Krumova, Ekaterina T.; Vassilev, Spassen V.; Angelova, Maria B.</t>
  </si>
  <si>
    <t>Cold-stress response during the stationary-growth phase of Antarctic and temperate-climate Penicillium strains</t>
  </si>
  <si>
    <t>MICROBIOLOGY-SGM</t>
  </si>
  <si>
    <t>Antarctic fungi; cold stress; aging; antioxidant enzymes; carbonyl proteins; reserve carbohydrates</t>
  </si>
  <si>
    <t>OXIDATIVE STRESS; SACCHAROMYCES-CEREVISIAE; ANTIOXIDANT RESPONSE; SUPEROXIDE-DISMUTASE; FILAMENTOUS FUNGUS; YEAST; DAMAGE; METABOLISM; GLYCOGEN; COPPER</t>
  </si>
  <si>
    <t>Cold-induced oxidative stress during the aging of three Penicillium strains (two Antarctic and one from a temperate region) in stationary culture was documented and demonstrated a significant increase in the protein carbonyl content, the accumulation of glycogen and trehalose, and an increase in the activities of antioxidant enzymes (superoxide dismutase and catalase). The cell response to a temperature downshift depends on the degree of stress and the temperature characteristics of the strains. Our data give further support for the role of oxidative stress in the aging of fungi in stationary cultures. Comparing the present results for the stationary growth phase with our previous results for the exponential growth phase was informative concerning the relationship between the cold-stress response and age-related changes in the tested strains. Unlike the young cells, stationary-phase cultures demonstrated a more pronounced level of oxidative damage, as well as decreased antioxidant defence.</t>
  </si>
  <si>
    <t>[Miteva-Staleva, Jeni G.; Krumova, Ekaterina T.; Vassilev, Spassen V.; Angelova, Maria B.] Bulgarian Acad Sci, Stephan Angeloff Inst Microbiol, Acad G Bonchev 26, BU-1113 Sofia, Bulgaria</t>
  </si>
  <si>
    <t>Bulgarian Academy of Sciences; Stephan Angeloff Institute of Microbiology, Bulgarian Academy of Sciences</t>
  </si>
  <si>
    <t>Angelova, MB (corresponding author), Bulgarian Acad Sci, Stephan Angeloff Inst Microbiol, Acad G Bonchev 26, BU-1113 Sofia, Bulgaria.</t>
  </si>
  <si>
    <t>1350-0872</t>
  </si>
  <si>
    <t>1465-2080</t>
  </si>
  <si>
    <t>MICROBIOL-SGM</t>
  </si>
  <si>
    <t>Microbiology-(UK)</t>
  </si>
  <si>
    <t>10.1099/mic.0.000486</t>
  </si>
  <si>
    <t>FG1DK</t>
  </si>
  <si>
    <t>WOS:000409533400011</t>
  </si>
  <si>
    <t>Majewska, R; Adam, A; Mohammad-Noor, N; Convey, P; De Stefano, M; Marshall, DJ</t>
  </si>
  <si>
    <t>Majewska, Roksana; Adam, Aimimuliani; Mohammad-Noor, Normawaty; Convey, Peter; De Stefano, Mario; Marshall, David J.</t>
  </si>
  <si>
    <t>Spatio-temporal variation in phytoplankton communities along a salinity and pH gradient in a tropical estuary (Brunei, Borneo, South East Asia)</t>
  </si>
  <si>
    <t>TROPICAL ECOLOGY</t>
  </si>
  <si>
    <t>Acidification; diatom; eutrophic; monsoon; plankton; Sungai Brunei; turbid</t>
  </si>
  <si>
    <t>ACID-SULFATE SOILS; OCEAN ACIDIFICATION; MARINE-PHYTOPLANKTON; COASTAL WATERS; CARBON-DIOXIDE; RIVER ESTUARY; IMPACT; SYSTEM; GROWTH; EUTROPHICATION</t>
  </si>
  <si>
    <t>Tropical estuaries often have a low buffering capacity and may experience acidification, both naturally through microbial degradation and run-off from acid sulphate soils (ASS), or from various anthropogenic sources. Here, we describe phytoplankton communities from the turbid, acidified, and eutrophic Sungai Brunei and Brunei Bay estuarine system. Four sampling stations were selected, representing the full spectrum of the salinity (0.4-28.5 PSU) and pH (5.87-8.06) gradients associated with this system. A total of 25 microalgal families of phytoplankton (including 22 diatom and seven dinoflagellate genera) and one of ciliates were recorded in the survey, which was carried out between August 2011 and June 2012. Phytoplankton density ranged from 7 to 9107 cells ml(-1). Diatoms were a dominant component of the communities, with Nitzschia spp., Rhizosolenia spp., and Leptocylindrus sp. reaching the highest abundances. Phytoplankton communities present at the four sampling stations differed significantly in terms of both algal abundance and composition and were strongly influenced by the effect of season (30% of the total variance). The interactive effects of pH and salinity, and of pH and temperature, explained 16.7% and 17.5% of the total observed variation, respectively. A positive correlation between pH and the number of taxa found was detected. The functional diversity observed in phytoplankton from the Brunei River estuary was generally low with few taxa adapted well to the chronically low pH conditions. This study provides baseline data about structural and compositional changes in a tropical estuarine phytoplankton community associated with various levels of acidification of both natural and anthropogenic origins.</t>
  </si>
  <si>
    <t>[Majewska, Roksana] North West Univ, Unit Environm Sci &amp; Management, Sch Biol Sci, Private Bag X6001, ZA-2520 Potchefstroom, South Africa; [Majewska, Roksana] SAIAB, Private Bag 1015, ZA-6140 Grahamstown, South Africa; [Majewska, Roksana; De Stefano, Mario] Univ Campania Luigi Vanvitelli, Dept Environm Biol &amp; Pharmaceut Sci &amp; Technol, Via Vivaldi 43, I-81188 Caserta, Italy; [Adam, Aimimuliani; Marshall, David J.] Univ Brunei Darussalam, Fac Sci, Biol Dept, Jalan Tungku Link, BE-1410 Gadong, Brunei; [Adam, Aimimuliani; Mohammad-Noor, Normawaty] Int Islamic Univ Malasia, Dept Marine Sci, Kulliyyah Sci, Kuantan 25200, Pahang, Malaysia; [Convey, Peter] British Antarctic Survey, NERC, Madingley Rd, Cambridge CB3 0ET, England</t>
  </si>
  <si>
    <t>North West University - South Africa; National Research Foundation - South Africa; South African Institute for Aquatic Biodiversity; Universita della Campania Vanvitelli; University Brunei Darussalam; International Islamic University Malaysia; UK Research &amp; Innovation (UKRI); Natural Environment Research Council (NERC); NERC British Antarctic Survey</t>
  </si>
  <si>
    <t>Majewska, R (corresponding author), North West Univ, Unit Environm Sci &amp; Management, Sch Biol Sci, Private Bag X6001, ZA-2520 Potchefstroom, South Africa.;Majewska, R (corresponding author), SAIAB, Private Bag 1015, ZA-6140 Grahamstown, South Africa.;Majewska, R (corresponding author), Univ Campania Luigi Vanvitelli, Dept Environm Biol &amp; Pharmaceut Sci &amp; Technol, Via Vivaldi 43, I-81188 Caserta, Italy.</t>
  </si>
  <si>
    <t>roksana.majewska@nwu.ac.za</t>
  </si>
  <si>
    <t>Majewska, Roksana/P-1280-2015; Convey, Peter/AAV-5728-2020</t>
  </si>
  <si>
    <t>Majewska, Roksana/0000-0003-2681-4304; Convey, Peter/0000-0001-8497-9903; Marshall, David/0000-0003-3771-5950</t>
  </si>
  <si>
    <t>Brunei Research Council [UBD/ST/16]; Universiti Brunei Darussalam; NERC</t>
  </si>
  <si>
    <t>Brunei Research Council; Universiti Brunei Darussalam; NERC(UK Research &amp; Innovation (UKRI)Natural Environment Research Council (NERC))</t>
  </si>
  <si>
    <t>We thank our colleagues: Teddy Chua, Sorya Proum, and Lukasz Polanski for their technical support. A visit to Brunei by Mario De Stefano, as well as field and laboratory work for this study, were funded through a Brunei Research Council grant to David J. Marshall (UBD/S&amp;T/16). Aimi Adam received a Graduate Research Scholarship (GRS) from the Universiti Brunei Darussalam. Peter Convey was supported by NERC funding to the British Antarctic Survey's 'Biodiversity Evolution and Adaptation' Team.</t>
  </si>
  <si>
    <t>INT SOC TROPICAL ECOLOGY</t>
  </si>
  <si>
    <t>VARANASI</t>
  </si>
  <si>
    <t>DEPT BOTANY BENERAS HINDU UNIV, VARANASI 221 005, INDIA</t>
  </si>
  <si>
    <t>0564-3295</t>
  </si>
  <si>
    <t>TROP ECOL</t>
  </si>
  <si>
    <t>Trop. Ecol.</t>
  </si>
  <si>
    <t>FG0LS</t>
  </si>
  <si>
    <t>WOS:000409434700004</t>
  </si>
  <si>
    <t>Raschke, EA; Savelieva, LA</t>
  </si>
  <si>
    <t>Raschke, E. A.; Savelieva, L. A.</t>
  </si>
  <si>
    <t>Subrecent spore-pollen spectra and modern vegetation from the Lena River Delta, Russian Arctic</t>
  </si>
  <si>
    <t>CONTEMPORARY PROBLEMS OF ECOLOGY</t>
  </si>
  <si>
    <t>surface samples; long-distance transported pollen; modern vegetation; adequacy; Lena River Delta</t>
  </si>
  <si>
    <t>ICE-WEDGE POLYGON; NE SIBERIA; DEPOSITION; PALYNOMORPHS; PERMAFROST; PATTERNS; COMPLEX; REGION; ISLAND; TUNDRA</t>
  </si>
  <si>
    <t>This paper presents the results of a pollen analysis of 40 surface samples collected from various geomorphological levels such as low and high floodplains, surfaces and slopes of terraces, tops of island remnants, etc., in different parts of the Lena River Delta. The obtained spore-pollen spectra (SPS) were compared with the modern vegetation composition. The role of long-distance transported pollen and the pollen of local plant biocenoses in the subrecent SPS formation is shown. Modern vegetation is most adequately reflected in the spectra of samples from a height range from 11 to 52 m above river level. SPS of other samples contain up to 40% of long-distance transported pollen, mostly Pinus s/g Haploxylon. This results in a significant decrease in the percentage of local pollen. The data offer the possibility of improving the reliability of palaeoclimatic reconstructions based on palaeopalynological data for Arctic regions.</t>
  </si>
  <si>
    <t>[Raschke, E. A.] Helmholtz Ctr Polar &amp; Marine Res, Alfred Wegener Inst, Telegrafenberg A43, D-14473 Potsdam, Germany; [Raschke, E. A.] Arctic &amp; Antarctic Res Inst, St Petersburg 199397, Russia; [Savelieva, L. A.] St Petersburg State Univ, St Petersburg 199034, Russia</t>
  </si>
  <si>
    <t>Helmholtz Association; Alfred Wegener Institute, Helmholtz Centre for Polar &amp; Marine Research; Arctic &amp; Antarctic Research Institute; Saint Petersburg State University</t>
  </si>
  <si>
    <t>Raschke, EA (corresponding author), Helmholtz Ctr Polar &amp; Marine Res, Alfred Wegener Inst, Telegrafenberg A43, D-14473 Potsdam, Germany.;Raschke, EA (corresponding author), Arctic &amp; Antarctic Res Inst, St Petersburg 199397, Russia.</t>
  </si>
  <si>
    <t>elena.raschke@awi.de</t>
  </si>
  <si>
    <t>Savelieva, Larisa/H-9135-2013; Raschke, Elena/M-9982-2016</t>
  </si>
  <si>
    <t>Raschke, Elena/0000-0001-5247-8186</t>
  </si>
  <si>
    <t>1995-4255</t>
  </si>
  <si>
    <t>1995-4263</t>
  </si>
  <si>
    <t>CONTEMP PROBL ECOL+</t>
  </si>
  <si>
    <t>Contemp. Probl. Ecol.</t>
  </si>
  <si>
    <t>10.1134/S1995425517040084</t>
  </si>
  <si>
    <t>FE6TJ</t>
  </si>
  <si>
    <t>WOS:000408341500007</t>
  </si>
  <si>
    <t>Romaniuk, K; Krucon, T; Decewicz, P; Gorecki, A; Dziewit, L</t>
  </si>
  <si>
    <t>Romaniuk, Krzysztof; Krucon, Tomasz; Decewicz, Przemyslaw; Gorecki, Adrian; Dziewit, Lukasz</t>
  </si>
  <si>
    <t>Molecular characterization of the pA3J1 plasmid from the psychrotolerant Antarctic bacterium Pseudomonas sp ANT_J3</t>
  </si>
  <si>
    <t>PLASMID</t>
  </si>
  <si>
    <t>Pseudomonas sp ANT-J3; Psychrotolerant; Plasmid; Antarctica; Horizontal gene transfer</t>
  </si>
  <si>
    <t>ESCHERICHIA-COLI; DIVERSITY; GENES; RESISTANCE; CLASSIFICATION; TRANSFORMATION; MOBILIZATION; GENERATION; SEQUENCE; STRAINS</t>
  </si>
  <si>
    <t>The knowledge on plasmids of cold-active bacteria is highly limited. In this study, the molecular characterization of the pA3J1 plasmid of Antarctic psychrotolerant bacterium Pseudomonas sp. ANT_J3 was performed. Within this plasmid, thirteen putative open reading frames were identified. Nine of them encoded proteins involved in replication, partitioning, postsegregational elimination of plasmid-less cells (via a toxin-antitoxin system activity), multimer resolution and mobilization by conjugal transfer. These genes constitute the plasmid backbone. The functional analysis of the pA3J1 maintenance region revealed that it is a narrow host range replicon, stably maintained in the host cells by the combined activities of the partitioning and relBE-type toxin-antitoxin systems. It was also suggested that the replication system of the pA3J1 plasmid may be temperature-sensitive. Comparative analyses revealed the presence of 16 Pseudomonas plasmids encoding homologous replication proteins and 5 plasmids carrying mobA genes homologous to the corresponding gene of pA3J1. The relaxase (MobA) of the pA3J1 plasmid was classified into MOBQ family, and the phylogenetic analysis suggested that this may be a representative of a novel group (or subgroup) within this family. The structural and comparative analyses revealed that the arrangement of genetic modules in the pA3J1 plasmid is unique.</t>
  </si>
  <si>
    <t>[Romaniuk, Krzysztof; Krucon, Tomasz; Decewicz, Przemyslaw; Gorecki, Adrian; Dziewit, Lukasz] Univ Warsaw, Fac Biol, Inst Microbiol, Dept Bacterial Genet, Miecznikowa 1, PL-02096 Warsaw, Poland</t>
  </si>
  <si>
    <t>University of Warsaw</t>
  </si>
  <si>
    <t>Dziewit, L (corresponding author), Univ Warsaw, Fac Biol, Inst Microbiol, Dept Bacterial Genet, Miecznikowa 1, PL-02096 Warsaw, Poland.</t>
  </si>
  <si>
    <t>ldziewit@biol.uw.edu.pl</t>
  </si>
  <si>
    <t>Dziewit, Lukasz/L-1131-2016; Decewicz, Przemyslaw/ABE-4554-2020</t>
  </si>
  <si>
    <t>Dziewit, Lukasz/0000-0002-5057-2811; Decewicz, Przemyslaw/0000-0002-5621-7124; Gorecki, Adrian/0000-0003-4028-8136; Krucon, Tomasz/0000-0001-6366-5235</t>
  </si>
  <si>
    <t>National Science Centre, Poland [2013/09/D/NZ8/03046]</t>
  </si>
  <si>
    <t>National Science Centre, Poland(National Science Centre, Poland)</t>
  </si>
  <si>
    <t>This work was supported by the National Science Centre, Poland (grant no. 2013/09/D/NZ8/03046).</t>
  </si>
  <si>
    <t>0147-619X</t>
  </si>
  <si>
    <t>1095-9890</t>
  </si>
  <si>
    <t>Plasmid</t>
  </si>
  <si>
    <t>10.1016/j.plasmid.2017.08.001</t>
  </si>
  <si>
    <t>FF0OS</t>
  </si>
  <si>
    <t>WOS:000408601600008</t>
  </si>
  <si>
    <t>Si, OJ; Yang, HY; Hwang, CY; Kim, SJ; Choi, SB; Kim, JG; Jung, MY; Kim, SG; Roh, SW; Rhee, SK</t>
  </si>
  <si>
    <t>Si, Ok-Ja; Yang, Hye-Young; Hwang, Chung Yeon; Kim, So-Jeong; Choi, Sun-Bin; Kim, Jong-Geol; Jung, Man-Young; Kim, Song-Gun; Roh, Seong Woon; Rhee, Sung-Keun</t>
  </si>
  <si>
    <t>Kiloniella antarctica sp nov., isolated from a polynya of Amundsen Sea in Western Antarctic Sea</t>
  </si>
  <si>
    <t>polynya; carbohydrate utilization; enzyme activities</t>
  </si>
  <si>
    <t>TREES; MICROORGANISMS; LAMINARIAE</t>
  </si>
  <si>
    <t>A taxonomic study was conducted on strain soj2014(T), which was isolated from the surface water of a polynya in the Antarctic Sea. Comparative 16S rRNA gene sequence analysis showed that strain soj2014(T) belongs to the family Kiloniellaceae and is closely related to Kiloniella spongiae MEBiC09566(T), 'Kiloniella litopenaei' P1-1(T) and Kiloniella laminariae LD81(T) (98.0 %, 97.8% and 96.2% 16S rRNA gene sequence similarity, respectively). The DNA-DNA hybridization values between strain soj2014(T) and closely related strains were below 28.6 %. The G+C content of the genomic DNA of strain soj2014(T) was 45.5 mol%. The predominant cellular fatty acids were summed feature 8 (composed of C-18 : 1 omega 6c/C-18 : 1 omega 7c, 57.0 %) and summed feature 3 (composed of C-16 : 1 omega 6c/C-16 : 1 omega 7c, 23.5 %). Strain soj2014(T) was Gram-stain-negative, slightly curved, spiral-shaped, and motile with a single polar flagellum. The strain grew at 0-30 degrees C (optimum, 25 degrees C), in 1.5-5.1% (w/v) NaCl (optimum, 2.1-2.4 %) and at pH 5.5-9.5 (optimum, 7.5-8.0). It also had differential carbohydrate utilization traits and enzyme activities compared with closely related strains. Based on these phylogenetic, phenotypic and chemotaxonomic analyses, strain soj2014(T) represents a distinct species, separable from the reference strains, and is, therefore, proposed as a novel species, Kiloniella antarctica sp. nov. The type strain is soj2014(T) (=KCTC 42186(T)=JCM 30386(T)).</t>
  </si>
  <si>
    <t>[Si, Ok-Ja; Yang, Hye-Young; Choi, Sun-Bin; Kim, Jong-Geol; Rhee, Sung-Keun] Chungbuk Natl Univ, Dept Microbiol, Cheongju 28644, South Korea; [Hwang, Chung Yeon] Korea Polar Res Inst, Incheon 21999, South Korea; [Kim, So-Jeong] Korea Inst Geosci &amp; Mineral Resources, Geol Environm Res Div, Daejeon 34132, South Korea; [Jung, Man-Young] Univ Vienna, Div Microbial Ecol, Dept Microbiol &amp; Ecosyst Sci, Althanstr 14, A-1090 Vienna, Austria; [Kim, Song-Gun] Korea Res Inst Biosci &amp; Biotechnol, Microbial Resource Ctr KCTC, Jeongeup 56212, South Korea; [Roh, Seong Woon] World Inst Kimchi, Gwangju 61755, South Korea</t>
  </si>
  <si>
    <t>Chungbuk National University; Korea Polar Research Institute (KOPRI); Korea Institute of Geoscience &amp; Mineral Resources (KIGAM); University of Vienna; Korea Research Institute of Bioscience &amp; Biotechnology (KRIBB); World Institute of Kimchi</t>
  </si>
  <si>
    <t>Rhee, SK (corresponding author), Chungbuk Natl Univ, Dept Microbiol, Cheongju 28644, South Korea.</t>
  </si>
  <si>
    <t>rhees@chungbuk.ac.kr</t>
  </si>
  <si>
    <t>Roh, Seong Woon/C-7688-2011</t>
  </si>
  <si>
    <t>Roh, Seong Woon/0000-0003-0609-6130; Hwang, Chung/0000-0001-9861-0197</t>
  </si>
  <si>
    <t>National Research Foundation of Korea - Ministry of Science, ICT and Future Planning [NRF-2015R1A4A1041869, NRF-2015M3D3A1A01064881]; program 'Long-term change of structure and function in marine ecosystems of Korea' - Ministry of Oceans and Fisheries, Korea; Korea Polar Research Institute [PP16020]</t>
  </si>
  <si>
    <t>National Research Foundation of Korea - Ministry of Science, ICT and Future Planning(National Research Foundation of KoreaMinistry of Science, ICT &amp; Future Planning, Republic of Korea); program 'Long-term change of structure and function in marine ecosystems of Korea' - Ministry of Oceans and Fisheries, Korea; Korea Polar Research Institute(Korea Polar Research Institute of Marine Research Placement (KOPRI))</t>
  </si>
  <si>
    <t>This work was supported by the National Research Foundation of Korea grants (NRF-2015R1A4A1041869 and NRF-2015M3D3A1A01064881) funded by the Ministry of Science, ICT and Future Planning, the program 'Long-term change of structure and function in marine ecosystems of Korea', funded by the Ministry of Oceans and Fisheries, Korea, and the grant (PP16020) of the Korea Polar Research Institute.</t>
  </si>
  <si>
    <t>10.1099/ijsem.0.001968</t>
  </si>
  <si>
    <t>FE5PL</t>
  </si>
  <si>
    <t>WOS:000408263300055</t>
  </si>
  <si>
    <t>Meredith, NP; Horne, RB; Sandberg, I; Papadimitriou, C; Evans, HDR</t>
  </si>
  <si>
    <t>Meredith, Nigel P.; Horne, Richard B.; Sandberg, Ingmar; Papadimitriou, Constantinos; Evans, Hugh D. R.</t>
  </si>
  <si>
    <t>Extreme relativistic electron fluxes in the Earth's outer radiation belt: Analysis of INTEGRAL IREM data</t>
  </si>
  <si>
    <t>ORBIT ANALYSIS; ACCELERATION; ANOMALIES; ENERGIES; INNER</t>
  </si>
  <si>
    <t>Relativistic electrons (E &gt; 500 keV) cause internal charging and are an important space weather hazard. To assess the vulnerability of the satellite fleet to these so-called killer electrons, it is essential to estimate reasonable worst cases, and, in particular, to estimate the flux levels that may be reached once in 10 and once in 100 years. In this study we perform an extreme value analysis of the relativistic electron fluxes in the Earth's outer radiation belt as a function of energy and L*. We use data from the Radiation Environment Monitor (IREM) on board the International Gamma Ray Astrophysical Laboratory (INTEGRAL) spacecraft from 17 October 2002 to 31 December 2016. The 1 in 10 year flux at L* = 4.5, representative of equatorial medium Earth orbit, decreases with increasing energy ranging from 1.36 x 10(7) cm(-2) s(-1) sr(-1) MeV-1 at E = 0.69 MeV to 5.34 x 10(5) cm(-2) s(-1) sr(-1) MeV-1 at E = 2.05 MeV. The 1 in 100 year flux at L* = 4.5 is generally a factor of 1.1 to 1.2 larger than the corresponding 1 in 10 year flux. The 1 in 10 year flux at L* = 6.0, representative of geosynchronous orbit, decreases with increasing energy ranging from 4.35 x 10(6) cm(-2) s(-1) sr(-1) MeV-1 at E = 0.69 MeV to 1.16 x 10(5) cm(-2) s(-1) sr(-1) MeV-1 at E = 2.05 MeV. The 1 in 100 year flux at L* = 6.0 is generally a factor of 1.1 to 1.4 larger than the corresponding 1 in 10 year flux. The ratio of the 1 in 10 year flux at L* = 4.5 to that at L* = 6.0 increases with increasing energy ranging from 3.1 at E = 0.69 MeV to 4.6 at E = 2.05 MeV.</t>
  </si>
  <si>
    <t>[Meredith, Nigel P.; Horne, Richard B.] British Antarctic Survey, Nat Environm Res Council, Cambridge, England; [Sandberg, Ingmar; Papadimitriou, Constantinos] Space Applicat &amp; Res Consultancy, Athens, Greece; [Sandberg, Ingmar] Inst Accelerating Syst &amp; Applicat, Athens, Greece; [Evans, Hugh D. R.] European Space Agcy, European Space Res &amp; Technol Ctr, Noordwijk, Netherlands</t>
  </si>
  <si>
    <t>UK Research &amp; Innovation (UKRI); Natural Environment Research Council (NERC); NERC British Antarctic Survey; European Space Agency</t>
  </si>
  <si>
    <t>Meredith, NP (corresponding author), British Antarctic Survey, Nat Environm Res Council, Cambridge, England.</t>
  </si>
  <si>
    <t>nmer@bas.ac.uk</t>
  </si>
  <si>
    <t>Sandberg, Ingmar/O-6994-2019; Sandberg, Ingmar/C-6053-2014; Meredith, Nigel P/C-5806-2018; Horne, Richard B/U-3764-2019; Papadimitriou, Constantinos/M-4061-2013</t>
  </si>
  <si>
    <t>Sandberg, Ingmar/0000-0001-9716-608X; Sandberg, Ingmar/0000-0001-9716-608X; Horne, Richard B/0000-0002-0412-6407; Papadimitriou, Constantinos/0000-0002-5191-0149; Meredith, Nigel/0000-0001-5032-3463</t>
  </si>
  <si>
    <t>European Union Seventh Framework Programme (FP7) [606716]; Natural Environment Research Council; ESA/ESTEC [4000111777/14/NL/HK]; Belgian Institute for Space Aeronomy under ESA/GSTP funding; NERC [bas0100031, NE/P01738X/1] Funding Source: UKRI; Natural Environment Research Council [bas0100031, NE/P01738X/1] Funding Source: researchfish</t>
  </si>
  <si>
    <t>European Union Seventh Framework Programme (FP7)(European Union (EU)); Natural Environment Research Council(UK Research &amp; Innovation (UKRI)Natural Environment Research Council (NERC)); ESA/ESTEC(European Space Agency); Belgian Institute for Space Aeronomy under ESA/GSTP funding; NERC(UK Research &amp; Innovation (UKRI)Natural Environment Research Council (NERC)); Natural Environment Research Council(UK Research &amp; Innovation (UKRI)Natural Environment Research Council (NERC))</t>
  </si>
  <si>
    <t>We would like to thank David Pitchford, Justin Likar, and David Wade for useful discussions. We also thank NASA/GSFC's Space Physics Data Facility's OMNIWeb service for provision of the solar wind and geophysical parameters used in this study. The research leading to these results has received funding from the European Union Seventh Framework Programme (FP7/2007-2013) under grant agreement 606716 (SPACESTORM) and the Natural Environment Research Council. Part of this work has been supported by ESA/ESTEC contract4000111777/14/NL/HK. The UNILIB library used in this study was developed by the Belgian Institute for Space Aeronomy under ESA/GSTP funding and is available at http://www.mag-unilib.eu/. For the cross calibrations we used the MAGEIS data (Release 03, Level 2, Version 4.X) from RBSP-B available from https://rbsp-ect.lanl.gov/data_pub/rbspb/mageis/level2/sectors/. The GOES data used in the production of Figure 2 are available from https://satdat.ngdc.noaa.gov/sem/goes/data/new_avg. The CRRES MEA data used in this study were provided by Al Vampola and Daniel Heynderickx and are available on request. The IREM proton and electron fluxes, unfolded (as Level 1) and cross-calibrated (as Level 2) will become available from http://srem.web.psi.ch within the next couple of months. The data used to generate the plots in this paper are available on request.</t>
  </si>
  <si>
    <t>10.1002/2017SW001651</t>
  </si>
  <si>
    <t>FE0RQ</t>
  </si>
  <si>
    <t>WOS:000407927800007</t>
  </si>
  <si>
    <t>Huck, CE; van de Flierdt, T; Bohaty, SM; Hammond, SJ</t>
  </si>
  <si>
    <t>Huck, Claire E.; van de Flierdt, Tina; Bohaty, Steven M.; Hammond, Samantha J.</t>
  </si>
  <si>
    <t>Antarctic climate, Southern Ocean circulation patterns, and deep water formation during the Eocene</t>
  </si>
  <si>
    <t>Eocene; Southern Ocean; Antarctica; neodymium; Tasman Gateway</t>
  </si>
  <si>
    <t>RARE-EARTH-ELEMENTS; FOSSIL FISH TEETH; PACIFIC-OCEAN; SOUTHWEST PACIFIC; LATE PALEOCENE; BOTTOM-WATER; ICE-SHEET; ISOTOPE EVOLUTION; SECULAR VARIATION; MARINE-SEDIMENTS</t>
  </si>
  <si>
    <t>We assess early-to-middle Eocene seawater neodymium (Nd) isotope records from seven Southern Ocean deep-sea drill sites to evaluate the role of Southern Ocean circulation in long-term Cenozoic climate change. Our study sites are strategically located on either side of the Tasman Gateway and are positioned at a range of shallow (&lt;500m) to intermediate/deep (similar to 1000-2500m) paleowater depths. Unradiogenic seawater Nd isotopic compositions, reconstructed from fish teeth at intermediate/deep Indian Ocean pelagic sites (Ocean Drilling Program (ODP) Sites 738 and 757 and Deep Sea Drilling Project (DSDP) Site 264), indicate a dominant Southern Ocean-sourced contribution to regional deep waters (epsilon(Nd(t))=-9.31.5). IODP Site U1356 off the coast of Adelie Land, a locus of modern-day Antarctic Bottom Water production, is identified as a site of persistent deep water formation from the early Eocene to the Oligocene. East of the Tasman Gateway an additional local source of intermediate/deep water formation is inferred at ODP Site 277 in the SW Pacific Ocean (epsilon(Nd(t))=-8.71.5). Antarctic-proximal shelf sites (ODP Site 1171 and Site U1356) reveal a pronounced erosional event between 49 and 48Ma, manifested by similar to 2 epsilon(Nd) unit negative excursions in seawater chemistry toward the composition of bulk sediments at these sites. This erosional event coincides with the termination of peak global warmth following the Early Eocene Climatic Optimum and is associated with documented cooling across the study region and increased export of Antarctic deep waters, highlighting the complexity and importance of Southern Ocean circulation in the greenhouse climate of the Eocene.</t>
  </si>
  <si>
    <t>[Huck, Claire E.; van de Flierdt, Tina] Imperial Coll London, Dept Earth Sci &amp; Engn, London, England; [Huck, Claire E.; Bohaty, Steven M.] Univ Southampton, Natl Oceanog Ctr Southampton, Ocean &amp; Earth Sci, Southampton, Hants, England; [Hammond, Samantha J.] Open Univ, Environm Earth &amp; Ecosyst Dept, Milton Keynes, Bucks, England</t>
  </si>
  <si>
    <t>Imperial College London; University of Southampton; NERC National Oceanography Centre; Open University - UK</t>
  </si>
  <si>
    <t>Huck, CE (corresponding author), Imperial Coll London, Dept Earth Sci &amp; Engn, London, England.;Huck, CE (corresponding author), Univ Southampton, Natl Oceanog Ctr Southampton, Ocean &amp; Earth Sci, Southampton, Hants, England.</t>
  </si>
  <si>
    <t>c.e.huck@soton.ac.uk</t>
  </si>
  <si>
    <t>van de Flierdt, Tina/0000-0001-7176-9755; Hammond, Samantha/0000-0002-7097-0075</t>
  </si>
  <si>
    <t>NERC [NE/L004607/1, NE/I006257/1]; ECORD Research Grant; NERC [NE/L004607/1, NE/L007452/1, NE/I006257/1, NE/P019080/1, NE/H025162/1] Funding Source: UKRI; Natural Environment Research Council [NE/P019080/1, NE/L004607/1, NE/I006257/1, NE/L007452/1, NE/H025162/1] Funding Source: researchfish</t>
  </si>
  <si>
    <t>NERC(UK Research &amp; Innovation (UKRI)Natural Environment Research Council (NERC)); ECORD Research Grant; NERC(UK Research &amp; Innovation (UKRI)Natural Environment Research Council (NERC)); Natural Environment Research Council(UK Research &amp; Innovation (UKRI)Natural Environment Research Council (NERC))</t>
  </si>
  <si>
    <t>We gratefully acknowledge K. Kreissig and B. Coles for laboratory and technical support and Diederik Liebrand for many helpful discussions. We thank the Editor and reviewers for their constructive feedback, which has improved this manuscript. This research used samples and data provided by IODP. Funding for this research was provided by NERC grants awarded to T.v.d.F. (NE/L004607/1) and T.v.d.F. and S.M.B. (NE/I006257/1) and an ECORD Research Grant awarded to C.E.H. All data used for this study are available in the supporting information, cited references, and on the Pangaea database (www.pangaea.de). The authors declare no conflicting interests.</t>
  </si>
  <si>
    <t>10.1002/2017PA003135</t>
  </si>
  <si>
    <t>FD8WW</t>
  </si>
  <si>
    <t>WOS:000407805800001</t>
  </si>
  <si>
    <t>Matsui, H; Nishi, H; Kuroyanagi, A; Hayashi, H; Ikehara, M; Takashima, R</t>
  </si>
  <si>
    <t>Matsui, Hiroki; Nishi, Hiroshi; Kuroyanagi, Azumi; Hayashi, Hiroki; Ikehara, Minoru; Takashima, Reishi</t>
  </si>
  <si>
    <t>Vertical thermal gradient history in the eastern equatorial Pacific during the early to middle Miocene: Implications for the equatorial thermocline development</t>
  </si>
  <si>
    <t>vertical gradient; thermocline; equatorial Pacific; Miocene; planktic foraminifera; oxygen-carbon isotope ratio</t>
  </si>
  <si>
    <t>OXYGEN ISOTOPIC COMPOSITION; ATMOSPHERIC CARBON-DIOXIDE; TROPICAL PACIFIC; PLANKTONIC-FORAMINIFERA; STABLE-ISOTOPES; EVOLUTION; OCEAN; SEA; OLIGOCENE; SURFACE</t>
  </si>
  <si>
    <t>Knowledge of the equatorial thermocline is essential for understanding climate changes in the tropical Pacific. Multispecies planktic foraminiferal analyses provide a way to examine temperature distributions and thus the structure of the thermocline. Although the secular thermocline development has been documented back to the late Miocene, the early to middle Miocene interval has rarely been examined. In addition, relationships with the dynamic Antarctic ice sheets remain unclear. Here we investigate the vertical thermal gradient in the upper water column at Integrated Ocean Drilling Program Site U1337 in the eastern equatorial Pacific (EEP) throughout the early to middle Miocene (23.1 to 11.7Ma). The gradient increased over the Miocene Climatic Optimum, whereas it decreased during the East Antarctic Ice Sheet Expansion (EAIE). Comparison of the EEP record with its western equatorial Pacific (WEP) counterpart suggests that sea surface temperature was more stable in the WEP than in the EEP. We further estimated equatorial thermocline from two diagonal gradients between the EEP and the WEP: thermocline shoaled from 16.7 to 15.7Ma and tilt weakened between 16.5 and 13.8Ma. The onset of the Monterey Excursion and the reduced Antarctic ice sheet volume would have affected thermocline depth and tilt, respectively. Thermocline depth was likely much deeper compared to Pliocene-to-modern conditions. Furthermore, a 4-point-based distribution of isotherms (4DI index) was used as a metric of the evenness or unevenness of the isotherm distributions. The 4DI index considerably reduced at around the EAIE and other Mi-events, reflecting the evenly distributed isotherms under a more glaciated Antarctica.</t>
  </si>
  <si>
    <t>[Matsui, Hiroki] Tohoku Univ, Inst Geol &amp; Paleontol, Grad Sch Sci, Sendai, Miyagi, Japan; [Nishi, Hiroshi; Kuroyanagi, Azumi; Takashima, Reishi] Tohoku Univ, Tohoku Univ Museum, Ctr Acad Resources &amp; Arch, Sendai, Miyagi, Japan; [Hayashi, Hiroki] Shimane Univ, Interdisciplinary Fac Sci &amp; Engn, Matsue, Shimane, Japan; [Ikehara, Minoru] Kochi Univ, Ctr Adv Marine Core Res, Nankoku, Kochi, Japan</t>
  </si>
  <si>
    <t>Tohoku University; Tohoku University; Shimane University; Kochi University</t>
  </si>
  <si>
    <t>Matsui, H (corresponding author), Tohoku Univ, Inst Geol &amp; Paleontol, Grad Sch Sci, Sendai, Miyagi, Japan.</t>
  </si>
  <si>
    <t>hmatsui@dc.tohoku.ac.jp</t>
  </si>
  <si>
    <t>kuroyanagi, azumi/ABA-4382-2021; Takashima, Reishi/B-7058-2009; KUROYANAGI, Azumi/H-2408-2015; Matsui, Hiroki/Q-2041-2016</t>
  </si>
  <si>
    <t>KUROYANAGI, Azumi/0000-0003-2997-4864; Matsui, Hiroki/0000-0002-6985-7083; Ikehara, Minoru/0000-0002-2695-4713; Hayashi, Hiroki/0000-0002-7080-0885; Takashima, Reishi/0000-0003-1830-6887</t>
  </si>
  <si>
    <t>Center for Advanced Marine Core Research at Kochi University [14A033]; Japan Society for the Promotion of Science KAKENHI [24244082, 25287130]; Global Center of Excellence Program of Earth and Planetary Science, Tohoku University, Japan; Grants-in-Aid for Scientific Research [25287130, 15K05311] Funding Source: KAKEN</t>
  </si>
  <si>
    <t>Center for Advanced Marine Core Research at Kochi University; Japan Society for the Promotion of Science KAKENHI(Ministry of Education, Culture, Sports, Science and Technology, Japan (MEXT)Japan Society for the Promotion of ScienceGrants-in-Aid for Scientific Research (KAKENHI)); Global Center of Excellence Program of Earth and Planetary Science, Tohoku University, Japan; Grants-in-Aid for Scientific Research(Ministry of Education, Culture, Sports, Science and Technology, Japan (MEXT)Japan Society for the Promotion of ScienceGrants-in-Aid for Scientific Research (KAKENHI))</t>
  </si>
  <si>
    <t>We thank H. Takayanagi and Y. Iryu for their support during the stable isotope measurements. We thank S. Kamikuri and T. Yamaguchi for interactive suggestions. We are also grateful to the scientists from the Integrated Ocean Drilling Program (IODP) Expeditions 320 and 321. The manuscript has been improved with the help of constructive comments by the Editor (E. Thomas), the Associate Editor (M. T. Chen), and the reviewers (R. M. Leckie and anonymous one). This work used samples provided by the IODP (request ID = 288IODP). The work was performed under a cooperative research program of the Center for Advanced Marine Core Research at Kochi University (14A033). It was supported partly by Japan Society for the Promotion of Science KAKENHI (Grant-in-Aid for Scientific Research) grant 24244082 (to H. N.) and 25287130 (to R. T.) and by the Global Center of Excellence Program of Earth and Planetary Science, Tohoku University, Japan. Supporting data are included as three figures and three tables in the supporting information; any additional data may be obtained from H. M. (e-mail: hmatsui@dc.tohoku.ac.jp).</t>
  </si>
  <si>
    <t>10.1002/2016PA003058</t>
  </si>
  <si>
    <t>WOS:000407805800004</t>
  </si>
  <si>
    <t>Leary, D</t>
  </si>
  <si>
    <t>Leary, David</t>
  </si>
  <si>
    <t>Drones on ice: an assessment of the legal implications of the use of unmanned aerial vehicles in scientific research and by the tourist industry in Antarctica</t>
  </si>
  <si>
    <t>Unmanned aerial vehicles (UAVs), also known as drones, are used in scientific research and a diverse range of other applications across the globe. They are also being used increasingly for scientific research in Antarctica and to a lesser extent by tourists visiting the world's last great frontier tourist destination. Their use in scientific research in Antarctica offers many benefits to science and if used responsibly may be less invasive than other research techniques, offering a rich source of new scientific data. For tourists, UAVs also offer unique aerial photographic perspectives on Antarctica the ultimate holiday snap shot. Concerns have been raised about the safety of drone use in the harsh and unpredictable Antarctic conditions, as well as possible environmental impacts. This paper considers these issues and the emerging regulatory response to drone use in Antarctica focusing on the Antarctic Unmanned Aerial Systems (UAS) Operator's Handbook, which provides guidelines to national Antarctic programmes on the use of UAVs in the Antarctic Treaty area, and the temporary ban on use of drones by tourists imposed by the International Association of Antarctica Tour Operators (IAATO). Both measures arguably constitute a good first response to this emerging issue, although more still needs to be done.</t>
  </si>
  <si>
    <t>[Leary, David] Univ Technol Sydney, Fac Law, POB 123, Broadway, NSW 2007, Australia</t>
  </si>
  <si>
    <t>University of Technology Sydney</t>
  </si>
  <si>
    <t>Leary, D (corresponding author), Univ Technol Sydney, Fac Law, POB 123, Broadway, NSW 2007, Australia.</t>
  </si>
  <si>
    <t>david.leary@uts.edu.au</t>
  </si>
  <si>
    <t>Leary, David/0000-0003-3852-4769</t>
  </si>
  <si>
    <t>University of Technology Sydney Research Re-Establishment Grant</t>
  </si>
  <si>
    <t>This work was supported by a University of Technology Sydney Research Re-Establishment Grant.</t>
  </si>
  <si>
    <t>10.1017/S0032247417000262</t>
  </si>
  <si>
    <t>FD7OC</t>
  </si>
  <si>
    <t>WOS:000407714400001</t>
  </si>
  <si>
    <t>Hospitaleche, CA; Hagström, J; Reguero, M; Mörs, T</t>
  </si>
  <si>
    <t>Acosta Hospitaleche, Carolina; Hagstrom, Jonas; Reguero, Marcelo; Mors, Thomas</t>
  </si>
  <si>
    <t>Historical perspective of Otto Nordenskjold's Antarctic penguin fossil collection and Carl Wiman's contribution</t>
  </si>
  <si>
    <t>LA MESETA FORMATION; SEYMOUR ISLAND; FORMATION EOCENE; STRATIGRAPHY; PENINSULA; EVOLUTION; CLIMATE; BASINS</t>
  </si>
  <si>
    <t>The early explorer and scientist Otto Nordenskjold, leader of the Swedish South Polar Expedition of 1901-1903, was the first to collect Antarctic penguin fossils. The site is situated in the northeastern region of Seymour Island and constitutes one of the most important localities in the study of fossilised penguins. The task of describing these specimens together with fossilised whale remains was given to Professor Carl Wiman (1867-1944) at Uppsala University, Sweden. Although the paradigm for the systematic study of penguins has changed considerably over recent years, Wiman's contributions are still remarkable. His establishment of grouping by size as a basis for classification was a novel approach that allowed them to deal with an unexpectedly high morphological diversity and limited knowledge of penguin skeletal anatomy. In the past, it was useful to provide a basic framework for the group that today could be used as 'taxon free' categories. First, it was important to define new species, and then to establish a classification based on size and robustness. This laid the foundation for the first attempts to use morphometric parameters for the classification of isolated penguin bones. The Nordenskjold materials constitute an invaluable collection for comparative purposes, and every year researchers from different countries visit this collection.</t>
  </si>
  <si>
    <t>[Acosta Hospitaleche, Carolina; Reguero, Marcelo] Museo La Plata, Div Paleontol Vertebrados, Paseo Bosque S-N,B1900FWA, La Plata, Buenos Aires, Argentina; [Hagstrom, Jonas; Mors, Thomas] Swedish Museum Nat Hist, Dept Palaeobiol, POB 50007, S-10405 Stockholm, Sweden; [Reguero, Marcelo] Direcc Nacl Antartico, Inst Antartico Argentino, 25 Mayo 1143, San Martin, Argentina</t>
  </si>
  <si>
    <t>National University of La Plata; Museo La Plata; Swedish Museum of Natural History; Instituto Antartico Argentino</t>
  </si>
  <si>
    <t>Hospitaleche, CA (corresponding author), Museo La Plata, Div Paleontol Vertebrados, Paseo Bosque S-N,B1900FWA, La Plata, Buenos Aires, Argentina.</t>
  </si>
  <si>
    <t>acostacaro@fcnym.unlp.edu.ar</t>
  </si>
  <si>
    <t>Reguero, Marcelo A./JHS-4893-2023; Acosta Hospitaleche, Carolina/E-5740-2017</t>
  </si>
  <si>
    <t>Acosta Hospitaleche, Carolina/0000-0002-2614-1448</t>
  </si>
  <si>
    <t>10.1017/S0032247417000249</t>
  </si>
  <si>
    <t>WOS:000407714400003</t>
  </si>
  <si>
    <t>Uryupova, E; Spiridonov, V</t>
  </si>
  <si>
    <t>Uryupova, Ekaterina; Spiridonov, Vasily</t>
  </si>
  <si>
    <t>Russia and the environmental protection of Antarctica: the 25th anniversary of the Madrid Protocol</t>
  </si>
  <si>
    <t>In 2016, we marked the 25th anniversary of the signing of the Protocol on the Environmental Protection to the Antarctic Treaty, or the Madrid Protocol. The Protocol signalled a commitment to address issues of climate change and the protection of the Antarctic resources. Russia exerted appropriate efforts pursuant to scientific research programmes, tourism and all other governmental and non-governmental activities. In the light of the commemoration of the anniversary, this paper highlights major steps of the Russian Federation toward the implementation of the international agreement and application of scientific principles for environmental protection and management in Antarctica.</t>
  </si>
  <si>
    <t>[Uryupova, Ekaterina] Secretariat Antarctic Treaty, Maipu St 757,C1006ACI, Buenos Aires, DF, Argentina; [Spiridonov, Vasily] RAS, PP Shirshov Inst Oceanol, Nakhimovskiy Pr 36, Moscow 117218, Russia</t>
  </si>
  <si>
    <t>Russian Academy of Sciences; Shirshov Institute of Oceanology</t>
  </si>
  <si>
    <t>Uryupova, E (corresponding author), Secretariat Antarctic Treaty, Maipu St 757,C1006ACI, Buenos Aires, DF, Argentina.</t>
  </si>
  <si>
    <t>uryupova@gmail.com</t>
  </si>
  <si>
    <t>Spiridonov, Vasily/ABF-6114-2021; Uryupova, Ekaterina/AAL-6138-2020</t>
  </si>
  <si>
    <t>Spiridonov, Vasily/0000-0002-1092-5109; Uryupova, Ekaterina/0000-0002-1335-1673</t>
  </si>
  <si>
    <t>Secretariat of the Antarctic Treaty</t>
  </si>
  <si>
    <t>This work was supported by the Secretariat of the Antarctic Treaty. E. Uryupova would like to thank Dr Manfred Reinke for the opportunity to intern at the organisation. She is also thankful to Jose Maria Acero and the Secretariat team for their help, and thoughtful and constructive comments which improved the manuscript.</t>
  </si>
  <si>
    <t>10.1017/S0032247417000250</t>
  </si>
  <si>
    <t>WOS:000407714400004</t>
  </si>
  <si>
    <t>Morten, P</t>
  </si>
  <si>
    <t>Morten, Peter</t>
  </si>
  <si>
    <t>The evolution of New Zealand's Antarctic research programme since 1957</t>
  </si>
  <si>
    <t>New Zealand's Antarctic research began during the 1957/1958 International Geophysical Year. This analysis explains how and why it has evolved. There have been two phases: 1957 until 1991, when the Department of Scientific and Industrial Research and the universities were the key research organisations, and after 1991, when the publicly funded research sector became more diverse. International collaborations have been important throughout. Funding decision processes have progressed from a bottom-up curiosity-driven approach to a more complex system of regular contests. Since 1991, the focus has been on coherent strategies and the outcomes sought. Funding criteria are well-defined and contests are widely accepted as fair and transparent. Reviews and evaluations have been positive. Collaborative organisational interactions dominated decision-making during the early period. Bureaucratic politics is most evident in post-1991 organisational changes. The quality of the research strategies has improved in terms of defining outcomes sought and appropriate measures of progress towards them. However, New Zealand's Antarctic research funding is currently dispersed. It needs better coordination. Collaborative research should be emphasised in areas where New Zealand has established a strong reputation taking account of both national and global priorities if New Zealand's international research standing is to be maintained and enhanced.</t>
  </si>
  <si>
    <t>[Morten, Peter] Univ Canterbury, Gateway Antarctica, Private Bag 4800, Christchurch, New Zealand</t>
  </si>
  <si>
    <t>University of Canterbury</t>
  </si>
  <si>
    <t>Morten, P (corresponding author), Univ Canterbury, Gateway Antarctica, Private Bag 4800, Christchurch, New Zealand.</t>
  </si>
  <si>
    <t>rachelpeter@gmail.com</t>
  </si>
  <si>
    <t>10.1017/S0032247417000286</t>
  </si>
  <si>
    <t>WOS:000407714400005</t>
  </si>
  <si>
    <t>Rowe, S</t>
  </si>
  <si>
    <t>Rowe, Sophie</t>
  </si>
  <si>
    <t>On the provenance of a historic sledge shoe fragment, said to have been collected by Edward Wilson at the South Pole in 1912</t>
  </si>
  <si>
    <t>This paper discusses the authentication of a metal sledge shoe fragment, believed by the owner to have been collected by Edward Wilson close to the South Pole on 18 January 1912. Microscopic and elemental analysis show that the object is made from 'German silver', a copper alloy used only on Norwegian Nansen-style sledges in the late nineteenth and early twentieth century, and that it was used to clad a tapering sledge runner end about 10 mm thick. By comparing related objects, including sledges used by Amundsen and Scott in their South Pole journeys and a sledge from the Discovery Expedition, we show that the object cannot have come from an English sledge, but would have fitted one of Amundsen's modified sledges. Written sources have been extensively searched, but no direct written provenance for the object exists. However, contemporary Norwegian and British accounts explain specific features of the object and exclude other possible provenances. We conclude that it is most likely that the proposed provenance and history attached to this artefact are correct.</t>
  </si>
  <si>
    <t>[Rowe, Sophie] Univ Cambridge, Scott Polar Res Inst, Lensfield Rd, Cambridge CB2 1ER, England</t>
  </si>
  <si>
    <t>University of Cambridge</t>
  </si>
  <si>
    <t>Rowe, S (corresponding author), Univ Cambridge, Scott Polar Res Inst, Lensfield Rd, Cambridge CB2 1ER, England.</t>
  </si>
  <si>
    <t>rswr2@cam.ac.uk</t>
  </si>
  <si>
    <t>Rowe, Sophie/0000-0001-6693-2394</t>
  </si>
  <si>
    <t>United Kingdom Antarctic Heritage Trust</t>
  </si>
  <si>
    <t>The author is supported by the United Kingdom Antarctic Heritage Trust. The research received no specific grant from any funding agency, commercial or not-for-profit sectors.</t>
  </si>
  <si>
    <t>10.1017/S0032247417000365</t>
  </si>
  <si>
    <t>WOS:000407714400008</t>
  </si>
  <si>
    <t>Chong, W</t>
  </si>
  <si>
    <t>Chong, Wygene</t>
  </si>
  <si>
    <t>Thawing the ice: a contemporary solution to Antarctic sovereignty</t>
  </si>
  <si>
    <t>UNITED-NATIONS; QUESTION</t>
  </si>
  <si>
    <t>The Antarctic Treaty System (ATS) has provided a peaceful framework for governing the continent over many decades, in spite of seven extant territorial claims. However, its method of freezing these claims has been criticised for being short-sighted and ineffective in providing a long-term solution. This paper argues to the contrary. It undertakes a brisk analysis of different categories of alternatives: global commons, absolute sovereignty, restricted sovereignty and shared sovereignty. After dismissing each category for various reasons, it promotes the reform of the existing ATS, in which a long-term vision and modified chairmanship structure provide stronger leadership and more effective implementation. Essentially, it holds that the primary reason there is criticism of the system is because it is not functioning as well as it might be. The paper not only contends that a developed ATS is an achievable aim, but that it could eventually develop into a restricted, shared sovereignty governance framework. That form of governance, which would emerge over time, could be a more durable solution that resolves the competing territorial claims. In this way, the paper charts a potential pathway for the future of Antarctic governance. This path begins, however, with a reformed ATS.</t>
  </si>
  <si>
    <t>[Chong, Wygene] Univ Western Australia, Law Sch, 35 Stirling Highway, Crawley, WA 6009, Australia</t>
  </si>
  <si>
    <t>University of Western Australia</t>
  </si>
  <si>
    <t>Chong, W (corresponding author), Univ Western Australia, Law Sch, 35 Stirling Highway, Crawley, WA 6009, Australia.</t>
  </si>
  <si>
    <t>wygene.chong@uwa.edu.au</t>
  </si>
  <si>
    <t>10.1017/S0032247417000389</t>
  </si>
  <si>
    <t>WOS:000407714400010</t>
  </si>
  <si>
    <t>Boulart, C; Briais, A; Chavagnac, V; Révillon, S; Ceuleneer, G; Donval, JP; Guyader, V; Barrere, F; Ferreira, N; Hanan, B; Hémond, C; Macleod, S; Maia, M; Maillard, A; Merkuryev, S; Park, SH; Ruellan, E; Schohn, A; Watson, S; Yang, YS</t>
  </si>
  <si>
    <t>Boulart, Cedric; Briais, Anne; Chavagnac, Valerie; Revillon, Sidonie; Ceuleneer, Georges; Donval, Jean-Pierre; Guyader, Vivien; Barrere, Fabienne; Ferreira, Nicolas; Hanan, Barry; Hemond, Christophe; Macleod, Sarah; Maia, Marcia; Maillard, Agnes; Merkuryev, Sergey; Park, Sung-Hyun; Ruellan, Etienne; Schohn, Alexandre; Watson, Sally; Yang, Yun-Seok</t>
  </si>
  <si>
    <t>Contrasted hydrothermal activity along the South-East Indian Ridge (130°E-140°E): From crustal to ultramafic circulation</t>
  </si>
  <si>
    <t>hydrothermal plumes; mid-ocean ridges; South-East Indian Ridge</t>
  </si>
  <si>
    <t>AUSTRALIAN-ANTARCTIC DISCORDANCE; SPREADING CENTER; PACIFIC RISE; VENT FLUIDS; METHANE; MANTLE; FIELD; PLUMES; FLUXES; OCEAN</t>
  </si>
  <si>
    <t>Using a combined approach of seafloor mapping, MAPR and CTD survey, we report evidence for active hydrothermal venting along the 130 degrees-140 degrees E section of the poorly-known South-East Indian Ridge (SEIR) from the Australia-Antarctic Discordance (AAD) to the George V Fracture Zone (FZ). Along the latter, we report Eh and CH4 anomalies in the water column above a serpentinite massif, which unambiguously testify for ultramafic-related fluid flow. This is the first time that such circulation is observed on an intermediate-spreading ridge. The ridge axis itself is characterized by numerous off-axis volcanoes, suggesting a high magma supply. The water column survey indicates the presence of at least ten distinct hydrothermal plumes along the axis. The CH4:Mn ratios of the plumes vary from 0.37 to 0.65 denoting different underlying processes, from typical basalt-hosted to ultramafic-hosted high-temperature hydrothermal circulation. Our data suggest that the change of mantle temperature along the SEIR not only regulates the magma supply, but also the hydrothermal activity. The distribution of hydrothermal plumes from a ridge segment to another implies secondary controls such as the presence of fractures and faults along the axis or in the axial discontinuities. We conclude from these results that hydrothermal activity along the SEIR is controlled by magmatic processes at the regional scale and by the tectonics at the segment scale, which influences the type of hydrothermal circulation and leads to various chemical compositions. Such variety may impact global biogeochemical cycles, especially in the Southern Ocean where hydrothermal venting might be the only source of nutrients.</t>
  </si>
  <si>
    <t>[Boulart, Cedric; Donval, Jean-Pierre; Guyader, Vivien] IFREMER, Geosci Marines, Plouzane, France; [Briais, Anne; Chavagnac, Valerie; Ceuleneer, Georges; Barrere, Fabienne; Maillard, Agnes; Ruellan, Etienne] CNES, IRD, Geosci Environm Toulouse, UMR5563,CNRS,UPS, Toulouse, France; [Revillon, Sidonie] IUEM, Sedisor Lab Domaines Ocean, Brest, France; [Ferreira, Nicolas; Hemond, Christophe; Maia, Marcia; Schohn, Alexandre] Inst Univ Europeen Mer, CNRS, Domaines Ocean, Plouzane, France; [Hanan, Barry] San Diego State Univ, Dept Geol Sci, San Diego, CA 92182 USA; [Macleod, Sarah] Univ Sydney, Sch Geol Sci, Sydney, NSW, Australia; [Merkuryev, Sergey] IZMIRAN, St Petersburg, Russia; [Park, Sung-Hyun; Yang, Yun-Seok] Korea Polar Res Inst, Incheon, South Korea; [Watson, Sally] Univ Tasmania, IMAS, Hobart, Tas, Australia</t>
  </si>
  <si>
    <t>Universite Paris Cite; Ifremer; Universite de Toulouse; Universite Toulouse III - Paul Sabatier; Centre National de la Recherche Scientifique (CNRS); Institut de Recherche pour le Developpement (IRD); CNRS - National Institute for Earth Sciences &amp; Astronomy (INSU); Universite de Bretagne Occidentale; Institut Universitaire Europeen de la Mer (IUEM); Centre National de la Recherche Scientifique (CNRS); Universite de Bretagne Occidentale; Institut Universitaire Europeen de la Mer (IUEM); California State University System; San Diego State University; University of Sydney; Korea Polar Research Institute (KOPRI); University of Tasmania</t>
  </si>
  <si>
    <t>Boulart, C (corresponding author), IFREMER, Geosci Marines, Plouzane, France.</t>
  </si>
  <si>
    <t>cedric.boulart@ifremer.fr</t>
  </si>
  <si>
    <t>Maia, Marcia/A-7076-2010; Briais, Anne/I-1492-2017; Merkuryev, Sergey/K-1202-2015</t>
  </si>
  <si>
    <t>Briais, Anne/0000-0002-0040-6348; Merkuryev, Sergey/0000-0002-1520-110X; Hanan, Barry/0000-0002-8240-2200; Park, Hyun/0000-0002-8055-2010</t>
  </si>
  <si>
    <t>CNRS/INSU STORM Cruise Program; French National Research Agency (ANR) HOTPLUME grant [ANR-13-PDOC-0020]; Agence Nationale de la Recherche (ANR) [ANR-13-PDOC-0020] Funding Source: Agence Nationale de la Recherche (ANR)</t>
  </si>
  <si>
    <t>CNRS/INSU STORM Cruise Program; French National Research Agency (ANR) HOTPLUME grant(Agence Nationale de la Recherche (ANR)); Agence Nationale de la Recherche (ANR)(Agence Nationale de la Recherche (ANR))</t>
  </si>
  <si>
    <t>This work was funded by CNRS/INSU STORM Cruise Program (PI A. Briais). Participation of C. Boulart, water sampling, chemical analyses, and deployment of the In Situ Mass Spectrometer were supported by the French National Research Agency (ANR) HOTPLUME grant (ANR-13-PDOC-0020). The authors thank Peter Guirgis and Charles Vidoudez (Harvard University) for their help in the optimization of the In Situ Mass Spectrometer for water column measurements. Real-time control of the ISMS and its adaptation on the CTD-rosette were possible thanks to Michel Lunven, Anne Guillemot, Dominique Birot, and Jonathan Perchoc (Ifremer). The authors also thank Sharon Walker and Ed Baker (NOAA) for MAPR expertise as well as Cecile Cathalot and Cecile Konn (Ifremer) for their useful comments on the manuscript. This work would not have been possible without the support and help of the Captain and crew of RV L'Atalante in the challenging conditions of the Furious Fifties. Finally, the authors thank the anonymous reviewer and C. R. German for their constructive reviews, which greatly improved the initial manuscript. Locations for MAPR profiles can be found in supporting information Table S1. CTD locations, Mn and CH4 concentrations are given in supporting information Table S2. Complementary MAPR and CTD profiles as well as chemical data are available by request to CB and additional data for bathymetry by request to AB.</t>
  </si>
  <si>
    <t>10.1002/2016GC006683</t>
  </si>
  <si>
    <t>FD4CB</t>
  </si>
  <si>
    <t>Green Accepted, Green Published, Green Submitted, hybrid</t>
  </si>
  <si>
    <t>WOS:000407477800003</t>
  </si>
  <si>
    <t>Dziadek, R; Gohl, K; Diehl, A; Kaul, N</t>
  </si>
  <si>
    <t>Dziadek, R.; Gohl, K.; Diehl, A.; Kaul, N.</t>
  </si>
  <si>
    <t>Geothermal heat flux in the Amundsen Sea sector of West Antarctica: New insights from temperature measurements, depth to the bottom of the magnetic source estimation, and thermal modeling</t>
  </si>
  <si>
    <t>geothermal heat flux; West Antarctica; Amundsen Sea Embayment</t>
  </si>
  <si>
    <t>MARIE-BYRD-LAND; PINE ISLAND BAY; ICE-SHEET; CRUSTAL STRUCTURE; AEROMAGNETIC DATA; EMBAYMENT SHELF; BENEATH; EXTENSION; SURFACE; EAST</t>
  </si>
  <si>
    <t>Focused research on the Pine Island and Thwaites glaciers, which drain the West Antarctic Ice Shelf (WAIS) into the Amundsen Sea Embayment (ASE), revealed strong signs of instability in recent decades that result from variety of reasons, such as inflow of warmer ocean currents and reverse bedrock topography, and has been established as the Marine Ice Sheet Instability hypothesis. Geothermal heat flux (GHF) is a poorly constrained parameter in Antarctica and suspected to affect basal conditions of ice sheets, i.e., basal melting and subglacial hydrology. Thermomechanical models demonstrate the influential boundary condition of geothermal heat flux for (paleo) ice sheet stability. Due to a complex tectonic and magmatic history of West Antarctica, the region is suspected to exhibit strong heterogeneous geothermal heat flux variations. We present an approach to investigate ranges of realistic heat fluxes in the ASE by different methods, discuss direct observations, and 3-D numerical models that incorporate boundary conditions derived from various geophysical studies, including our new Depth to the Bottom of the Magnetic Source (DBMS) estimates. Our in situ temperature measurements at 26 sites in the ASE more than triples the number of direct GHF observations in West Antarctica. We demonstrate by our numerical 3-D models that GHF spatially varies from 68 up to 110 mW m(-2).</t>
  </si>
  <si>
    <t>[Dziadek, R.; Gohl, K.] Alfred Wegener Inst, Helmholtz Ctr Polar &amp; Marine Res, Bremerhaven, Germany; [Diehl, A.; Kaul, N.] Univ Bremen, Dept Geosci, Bremen, Germany</t>
  </si>
  <si>
    <t>Dziadek, R (corresponding author), Alfred Wegener Inst, Helmholtz Ctr Polar &amp; Marine Res, Bremerhaven, Germany.</t>
  </si>
  <si>
    <t>ricarda.dziadek@awi.de</t>
  </si>
  <si>
    <t>Kaul, Norbert/AAU-1861-2021; Diehl, Alexander/GZK-2552-2022</t>
  </si>
  <si>
    <t>Kaul, Norbert/0000-0001-6844-0318; Diehl, Alexander/0000-0001-8875-8796; Dziadek, Ricarda/0000-0001-8689-9181; Gohl, Karsten/0000-0002-9558-2116</t>
  </si>
  <si>
    <t>Deutsche Forschungsgemeinschaft (DFG) [GO 724/14-1]; AWI Research Program PACES-II and its Workpackage 3.2.</t>
  </si>
  <si>
    <t>Deutsche Forschungsgemeinschaft (DFG)(German Research Foundation (DFG)); AWI Research Program PACES-II and its Workpackage 3.2.</t>
  </si>
  <si>
    <t>This work was supported by the Deutsche Forschungsgemeinschaft (DFG) in the framework of the priority program Antarctic research with comparative investigations in Arctic ice areas by grant GO 724/14-1. Additional funds were contributed by the AWI Research Program PACES-II and its Workpackage 3.2. The study contributes to the Scientific Program Past Antarctic Ice Sheet Dynamics (PAIS) of the Scientific Committee for Antarctic Research (SCAR). We would like to express our gratitude to H. Villinger for helpful discussions and comments on earlier versions of the manuscript. We thank Fausto Ferraccioli and an anonymous reviewer for their constructive comments which improved the manuscript considerably. The data sets computed for this study will be available at Pangea database (https://doi.org/10.1594/PANGAEA.877683) after publication or from the authors upon request (ricarda.dziadek@awi.de).</t>
  </si>
  <si>
    <t>10.1002/2016GC006755</t>
  </si>
  <si>
    <t>WOS:000407477800016</t>
  </si>
  <si>
    <t>Mitnik, LM; Kuleshov, VP; Mitnik, ML; Streltsov, AM; Chernyavsky, GM; Cherny, IV</t>
  </si>
  <si>
    <t>Mitnik, Leonid M.; Kuleshov, Vladimir P.; Mitnik, Maia L.; Streltsov, Andrey M.; Chernyavsky, Grigory M.; Cherny, Igor V.</t>
  </si>
  <si>
    <t>Microwave Scanner-Sounder MTVZA-GY on New Russian Meteorological Satellite Meteor-M No. 2: Modeling, Calibration, and Measurements</t>
  </si>
  <si>
    <t>14th Specialist Meeting on Microwave Radiometry and Remote Sensing of the Environment (MicroRad)</t>
  </si>
  <si>
    <t>APR 11-14, 2016</t>
  </si>
  <si>
    <t>Aalto Univ, Sch Elect Engn, Dept Radio Sci &amp; Engn, Espoo, FINLAND</t>
  </si>
  <si>
    <t>Aalto Univ, Sch Elect Engn, Dept Radio Sci &amp; Engn</t>
  </si>
  <si>
    <t>Atmospheric measurements; calibration; microwave radiometry; remote sensing; satellites; sea surface; stability</t>
  </si>
  <si>
    <t>BRIGHTNESS TEMPERATURE; OCEAN SURFACE; EMISSIVITY; WATER; ANTARCTICA; RETRIEVAL; WEATHER; WIND; LAND; ICE</t>
  </si>
  <si>
    <t>On July 8, 2014 meteorological satellite Meteor-M no. 2 with a module of temperature and humidity atmospheric sensing MTVZA-GY was launched on a circular sun-synchronous orbit. Microwave radiometer MTVZA-GY has 16 imaging channels at frequencies of 10.65, 18.7, 23.8, 31.5, 36.5, 42.0, 48.0, and 91.65 GHz and 13 sounder channels at frequencies in the ranges of 52-57 and 176-191 GHz and carries out conical scanning of the Earth at the angle of incidence 65 degrees. Swath width is 1500 km. The brightness temperatures TBs were computed by numerical integration of microwave radiative transfer equation using the radiosonde and reanalysis atmospheric profiles as the input information. The TBs for the Amazon forest and the calm Ocean under clear sky served for the vicarious calibration of MTVZA channels. The long-term stability of MTVZA-GY operation was examined by the analysis of time series of TBs measured over the test areas around the Eastern Antarctic Dome C station, Greenland GEOSummit station and Amazon rainforest. TBs time series obtained by the GCOM-W1 AMSR2 radiometer for the same test areas served as a reference and were used for a comparison with MTVZA-GY time series. Examples are given of the global MTVZA-GY measurements.</t>
  </si>
  <si>
    <t>[Mitnik, Leonid M.; Kuleshov, Vladimir P.; Mitnik, Maia L.] Russian Acad Sci, VI Ilichev Pacific Oceanol Inst, Far Eastern Branch, Satellite Oceanol Dept, Vladivostok 690041, Russia; [Streltsov, Andrey M.; Chernyavsky, Grigory M.; Cherny, Igor V.] Joint Stock Co Russian Space Syst, Sci Technol Ctr Kosmonit, Moscow 117997, Russia</t>
  </si>
  <si>
    <t>Russian Academy of Sciences; Ilichev Pacific Oceanological Institute; Roscosmos; United Rocket &amp; Space Corporation; Russian Space Systems</t>
  </si>
  <si>
    <t>Mitnik, LM (corresponding author), Russian Acad Sci, VI Ilichev Pacific Oceanol Inst, Far Eastern Branch, Satellite Oceanol Dept, Vladivostok 690041, Russia.</t>
  </si>
  <si>
    <t>lm_mitnik@mail.ru; 986022@mail.ru; maia_mitnik@mail.ru; sam@cpi.space.ru; gmch@cpi.space.ru; icherny@cpi.space.ru</t>
  </si>
  <si>
    <t>Vladimir, Kuleshov/HKW-1811-2023</t>
  </si>
  <si>
    <t>Vladimir, Kuleshov/0000-0003-0098-5754</t>
  </si>
  <si>
    <t>Far Eastern Branch, Russian Academy of Sciences Research [15-I-1009-o]; Japan Aerospace Exploration Agency [F12]; Austrian Science Fund (FWF) [F12] Funding Source: Austrian Science Fund (FWF)</t>
  </si>
  <si>
    <t>Far Eastern Branch, Russian Academy of Sciences Research(Russian Academy of Sciences); Japan Aerospace Exploration Agency; Austrian Science Fund (FWF)(Austrian Science Fund (FWF))</t>
  </si>
  <si>
    <t>This work was supported in part by the Far Eastern Branch, Russian Academy of Sciences Research project 15-I-1009-o and in part by the Japan Aerospace Exploration Agency Project F12.</t>
  </si>
  <si>
    <t>10.1109/JSTARS.2017.2695224</t>
  </si>
  <si>
    <t>FD2JC</t>
  </si>
  <si>
    <t>WOS:000407360200002</t>
  </si>
  <si>
    <t>Sasmal, S; Basak, T; Chakraborty, S; Palit, S; Chakrabarti, SK</t>
  </si>
  <si>
    <t>Sasmal, Sudipta; Basak, Tamal; Chakraborty, Suman; Palit, Sourav; Chakrabarti, Sandip K.</t>
  </si>
  <si>
    <t>Modeling of temporal variation of very low frequency radio waves over long paths as observed from Indian Antarctic stations</t>
  </si>
  <si>
    <t>D-REGION IONOSPHERE; SOLAR ZENITH ANGLE; TWEEK ATMOSPHERICS; LOW-LATITUDE; VLF; PROPAGATION; AMPLITUDE; SIGNALS; FLARES</t>
  </si>
  <si>
    <t>Characteristics of very low frequency (VLF) signal depends on solar illumination across the propagation path. For a long path, solar zenith angle varies widely over the path and this has a significant influence on the propagation characteristics. To study the effect, Indian Centre for Space Physics participated in the 27th and 35th Scientific Expedition to Antarctica. VLF signals transmitted from the transmitters, namely, VTX (18.2 kHz), Vijayanarayanam, India, and NWC (19.8 kHz), North West Cape, Australia, were recorded simultaneously at Indian permanent stations Maitri and Bharati having respective geographic coordinates 70.75 degrees S, 11.67 degrees E, and 69.4 degrees S, 76.17 degrees E. A very stable diurnal variation of the signal has been obtained from both the stations. We reproduced the signal variations of VLF signal using solar zenith angle model coupled with long wavelength propagation capability (LWPC) code. We divided the whole path into several segments and computed the solar zenith angle (chi) profile. We assumed a linear relationship between the Wait's exponential model parameters effective reflection height (h'), steepness parameter (beta), and solar zenith angle. The h' and beta values were later used in the LWPC code to obtain the VLF signal amplitude at a particular time. The same procedure was repeated to obtain the whole day signal. Nature of the whole day signal variation from the theoretical modeling is also found to match with our observation to some extent.</t>
  </si>
  <si>
    <t>[Sasmal, Sudipta; Basak, Tamal; Chakraborty, Suman; Palit, Sourav; Chakrabarti, Sandip K.] Indian Ctr Space Phys, Kolkata, W Bengal, India; [Chakrabarti, Sandip K.] SN Bose Natl Ctr Basic Sci, Kolkata, W Bengal, India</t>
  </si>
  <si>
    <t>Department of Science &amp; Technology (India); SN Bose National Centre for Basic Science (SNBNCBS)</t>
  </si>
  <si>
    <t>Sasmal, S (corresponding author), Indian Ctr Space Phys, Kolkata, W Bengal, India.</t>
  </si>
  <si>
    <t>meet2ss25@gmail.com</t>
  </si>
  <si>
    <t>Sasmal, Sudipta/ABH-2752-2021; Chakraborty, Suman/GOV-5149-2022; Basak, Tamal/ABF-6186-2020</t>
  </si>
  <si>
    <t>Basak, Tamal/0000-0001-9088-9779; Chakraborty, Suman/0000-0003-3432-1163</t>
  </si>
  <si>
    <t>National Centre for Antarctic and Ocean Research (NCAOR); Ministry of Earth Sciences (MoES)</t>
  </si>
  <si>
    <t>The authors acknowledge National Centre for Antarctic and Ocean Research (NCAOR) and Ministry of Earth Sciences (MoES) for providing financial and logistics supports. The authors also thank Soujan Ghosh and James Brundell for their scientific support. The VLF data can be available in the website of Indian Centre for Space Physics (http://csp.res.in) for scientific research.</t>
  </si>
  <si>
    <t>10.1002/2016JA023812</t>
  </si>
  <si>
    <t>FD6GN</t>
  </si>
  <si>
    <t>WOS:000407627100052</t>
  </si>
  <si>
    <t>Conte, JF; Chau, JL; Stober, G; Pedatella, N; Maute, A; Hoffmann, P; Janches, D; Fritts, D; Murphy, DJ</t>
  </si>
  <si>
    <t>Conte, J. Federico; Chau, Jorge L.; Stober, Gunter; Pedatella, Nicholas; Maute, Astrid; Hoffmann, Peter; Janches, Diego; Fritts, David; Murphy, Damian J.</t>
  </si>
  <si>
    <t>Climatology of semidiurnal lunar and solar tides at middle and high latitudes: Interhemispheric comparison</t>
  </si>
  <si>
    <t>STRATOSPHERIC WARMING EVENTS; LATENT-HEAT RELEASE; LOWER THERMOSPHERE; ATMOSPHERIC TIDES; METEOR RADARS; MESOSPHERE; VARIABILITY; COMPONENT; DYNAMICS; MODEL</t>
  </si>
  <si>
    <t>The semidiurnal lunar and solar tides obtained from meteor radar measurements spanning from 2009 to 2013 observed at Davis (69 degrees S) and Rio Grande (54 degrees S) are presented and compared to the Northern Hemisphere ones at Andenes (69 degrees N) and Juliusruh (54 degrees N). Mean tidal differences for both intrahemispheric and interhemispheric scenarios are analyzed. Tidal behavior is also compared against numerical simulations during 2009 and 2013 sudden stratospheric warming (SSW) time periods. Possible influences in the Southern Hemisphere from the local stratosphere are also investigated using Modern Era Retrospective analysis for Research and Applications, version 2 (MERRA 2) data sets. The main features of the mean zonal wind are similar in both hemispheres, i.e., stronger amplitudes over midlatitude locations, eastward winds during winter and westward below 90 km with eastward higher up during corresponding summer times. On the other hand, the semidiurnal solar tides observed in the Southern Hemisphere show clear differences when compared to the Northern Hemisphere and between middle- and high-latitude locations at the same hemisphere. These differences are even larger for the semidiurnal lunar tide, which shows stronger amplitudes from October to March and March to October, over Davis and Rio Grande, respectively. Our results indicate that the lunar tides over the Southern Hemisphere midlatitudes are more prone to react to the Northern Hemisphere stratospheric polar vortex influences, in agreement with numerical simulations, particularly for the time of the 2013 SSW.</t>
  </si>
  <si>
    <t>[Conte, J. Federico; Chau, Jorge L.; Stober, Gunter; Hoffmann, Peter] Univ Rostock, Leibniz Inst Atmospher Phys, Kuhlungsborn, Germany; [Pedatella, Nicholas; Maute, Astrid] Natl Ctr Atmospher Res, High Altitude Observ, Pob 3000, Boulder, CO 80307 USA; [Janches, Diego] NASA Goddard Space Flight Ctr, Space Weather Lab, Greenbelt, MD USA; [Fritts, David] GATS Inc, Boulder, CO USA; [Murphy, Damian J.] Australian Antarct Div, Kingston, Tas, Australia</t>
  </si>
  <si>
    <t>University of Rostock; Leibniz Institut fur Atmospharenphysik e.V. an der Universitat Rostock (IAP); National Center Atmospheric Research (NCAR) - USA; National Aeronautics &amp; Space Administration (NASA); NASA Goddard Space Flight Center; Australian Antarctic Division</t>
  </si>
  <si>
    <t>Conte, JF (corresponding author), Univ Rostock, Leibniz Inst Atmospher Phys, Kuhlungsborn, Germany.</t>
  </si>
  <si>
    <t>conte@iap-kborn.de</t>
  </si>
  <si>
    <t>Janches, Diego/D-4674-2012; Chau, Jorge/C-7568-2013; Pedatella, Nicholas/Q-2242-2015</t>
  </si>
  <si>
    <t>Chau, Jorge/0000-0002-2364-8892; Conte, Juan Federico/0000-0002-9247-702X; Murphy, Damian/0000-0003-1738-5560; Pedatella, Nicholas/0000-0002-8878-5126; Fritts, Dave/0000-0002-6402-105X; Stober, Gunter/0000-0002-7909-6345</t>
  </si>
  <si>
    <t>Deutsche Forschungsgemeinschaft (DFG, German Research Foundation) [SPP 1788, CH 1482/1-1]; WATILA Project [SAW-2015-IAP-1 383]; U.S. National Science Foundation; Australian Antarctic Science Project [2668, 4025]</t>
  </si>
  <si>
    <t>Deutsche Forschungsgemeinschaft (DFG, German Research Foundation)(German Research Foundation (DFG)); WATILA Project; U.S. National Science Foundation(National Science Foundation (NSF)); Australian Antarctic Science Project</t>
  </si>
  <si>
    <t>This work was supported by the Deutsche Forschungsgemeinschaft (DFG, German Research Foundation) under SPP 1788 (DynamicEarth)-CH 1482/1-1 (DYNAMITE) and by the WATILA Project (SAW-2015-IAP-1 383). The National Center for Atmospheric Research is supported by the U.S. National Science Foundation. We acknowledge the International Space Science Institute for supporting an international team A threedimensional ground-to-space understanding of sudden stratospheric warmings through a combination of numerical models, satellite, and ground-based observations, which facilitated discussion related to the present study. Operation of the Davis meteor radar was supported by Australian Antarctic Science Projects 2668 and 4025. We thank the Davis engineers for their efforts in maintaining the radar. The MERRA 2 data sets used for this study have been provided by the Global Modeling and Assimilation Office (GMAO) at NASA Goddard Space Flight Center. We thank Fazlul Laskar for retrieving MERRA 2 data sets. The tidal information can be obtained from J.F.C., while the wind values from each of the radars can be obtained from D.M., D.J., G.S., and G.S. for Davis, Rio Grande, Juliusruh, and Andenes, respectively.</t>
  </si>
  <si>
    <t>10.1002/2017JA024396</t>
  </si>
  <si>
    <t>WOS:000407627100056</t>
  </si>
  <si>
    <t>Deshmukh, A</t>
  </si>
  <si>
    <t>Deshmukh, Abhay</t>
  </si>
  <si>
    <t>Control of bioluminescence in Myctophid fishes</t>
  </si>
  <si>
    <t>INDIAN JOURNAL OF GEO-MARINE SCIENCES</t>
  </si>
  <si>
    <t>Bioluminescence; Myctophid; photophores; mesopelagic; fish</t>
  </si>
  <si>
    <t>NITRIC-OXIDE; ARGYROPELECUS-HEMIGYMNUS; LANTERNFISH MYCTOPHIDAE; WIDESPREAD OCCURRENCE; PORICHTHYS-NOTATUS; STOMIIFORM FISHES; DEEP-SEA; LUMINESCENCE; PHOTOPHORES; COELENTERAZINE</t>
  </si>
  <si>
    <t>Bioluminescence crosses all oceanic dimensions and has evolved many times from bacteria to fish to powerfully influence behavioral and ecosystem dynamics. Luminous fishes make up a major portion of the oceans' mid- and deep-water fauna. However, in only a few of these the mechanism of luminescence well understood. Myctophids, or lanternfishes, are among the most abundant group of mesopelagic fishes in the World's oceans. They range from the Arctic to the Antarctic and, as a result of their diurnal migrations, can be found from the surface waters down to depths exceeding 2000 m. They have small photophores pointed downward and to the side, as well as large photophores on the tail, which can produce bright, fast flashes. In spite of the vast quantity of research directed towards myctophids, there are still few or no firm results regarding control of bioluminescence in myctophids.</t>
  </si>
  <si>
    <t>[Deshmukh, Abhay] CMLRE, Kochi 682037, Kerala, India</t>
  </si>
  <si>
    <t>Ministry of Earth Sciences (MoES) - India; Centre for Marine Living Resources &amp; Ecology (CMLRE)</t>
  </si>
  <si>
    <t>Deshmukh, A (corresponding author), CMLRE, Kochi 682037, Kerala, India.</t>
  </si>
  <si>
    <t>adeshmukh0110@gmail.com</t>
  </si>
  <si>
    <t>Centre for Marine Living Resources and Ecology (CMLRE), Ministry of Earth Sciences (MoES)</t>
  </si>
  <si>
    <t>Authors are thankful to the Director, CMLRE for his constant help and encouragement. The financial and logistical support from the Centre for Marine Living Resources and Ecology (CMLRE), Ministry of Earth Sciences (MoES), is thankfully acknowledged.</t>
  </si>
  <si>
    <t>NATL INST SCIENCE COMMUNICATION-NISCAIR</t>
  </si>
  <si>
    <t>DR K S KRISHNAN MARG, PUSA CAMPUS, NEW DELHI 110 012, INDIA</t>
  </si>
  <si>
    <t>0379-5136</t>
  </si>
  <si>
    <t>0975-1033</t>
  </si>
  <si>
    <t>INDIAN J GEO-MAR SCI</t>
  </si>
  <si>
    <t>Indian J. Geo-Mar. Sci.</t>
  </si>
  <si>
    <t>FC5PR</t>
  </si>
  <si>
    <t>WOS:000406894700026</t>
  </si>
  <si>
    <t>Salam, S; Lekshmi, S; Silvester, R; Krishnan, KP; Saramma, AV; Hatha, AAM</t>
  </si>
  <si>
    <t>Salam, S.; Lekshmi, S.; Silvester, R.; Krishnan, K. P.; Saramma, A. V.; Hatha, A. A. M.</t>
  </si>
  <si>
    <t>Effect of environmental factors on growth and enzyme production of cold adapted bacteria from water and sediment of Kongsjord, Ny-Alesund, Arctic</t>
  </si>
  <si>
    <t>JOURNAL OF ENVIRONMENTAL BIOLOGY</t>
  </si>
  <si>
    <t>Bio-prospecting; Cold-adapted bacteria; Hydrolytic enzymes; Psychrotolerant bacteria</t>
  </si>
  <si>
    <t>ACTIVE ENZYMES; DIVERSITY; KONGSFJORDEN; PROTEINS; STRAIN</t>
  </si>
  <si>
    <t>Aim: The Arctic region has several distinct habitats which makes Arctic a potential region for identifying novel microbial extremophiles. The main objective of the study was to find out the effect of environmental factors such as temperature, pH and salinity on the growth and hydrolytic enzyme production capabilities of psychrotrophic bacteria from the water and sediment of Kongsfjord, Arctic. Methodology : One hundred and twenty two bacterial isolates from water and sediment of Kongsfjord (79 degrees 58'N, 12 degrees E) was obtained for the study. Bacterial isolates were inoculated on ZoBell's Marine medium to study the effect of temperature (4 degrees C, 20 degrees C and 37 degrees C), pH(2-13) and salinity (0.5-4 M) on growth. Effect of temperature on production of extracellular enzymes such as amylase, gelatinase and lipase were checked by plate assay. Results: All the isolates showed growth at 4 degrees C, 20 degrees C and 37 degrees C; signifying that these isolates were psychrotolerants rather than true psychrophiles. More than 50% of isolates from both water and sediment samples showed growth at wide pH (2-11) range. Salinity tolerance for majority of isolates (54%) of water was 3M and that from sediment varied from 0.5 M to 4 M. Majority of the isolates were capable of producing lipase, followed by gelatinase and amylase. Nearly, all the isolates from water and sediment showed lipolytic activity at 37 degrees C and more than 70% of isolates at 4 degrees C. Interpretation: All the isolates produced one or more enzymes; amylase, lipase or protease at 4 degrees C and (or) 37 degrees C and showed growth at wide pH range and exhibited high salinity tolerance. Thus, the bacteria present in water and sediments of Kongsford are a potential source of novel hydrolytic enzymes, especially lipase that have wide applications in biotechnology, medicine, agriculture, etc.</t>
  </si>
  <si>
    <t>[Salam, S.; Lekshmi, S.; Silvester, R.; Saramma, A. V.; Hatha, A. A. M.] Cochin Univ Sci &amp; Technol, Dept Marine Biol Microbiol &amp; Biochem, Cochin 682022, Kerala, India; [Krishnan, K. P.] Natl Ctr Antartic &amp; Ocean Res, Vasco Da Gama 403804, Goa, India</t>
  </si>
  <si>
    <t>Cochin University Science &amp; Technology; Ministry of Earth Sciences (MoES) - India; National Centre for Polar and Ocean Research (NCPOR)</t>
  </si>
  <si>
    <t>Silvester, R (corresponding author), Cochin Univ Sci &amp; Technol, Dept Marine Biol Microbiol &amp; Biochem, Cochin 682022, Kerala, India.</t>
  </si>
  <si>
    <t>sanasilvester@gmail.com</t>
  </si>
  <si>
    <t>P, Krishnan K/ABF-8783-2020; Silvester, Reshma/H-3520-2019</t>
  </si>
  <si>
    <t>Silvester, Reshma/0000-0001-6182-6031; Abdulla, Mohamed Hatha/0000-0003-0136-2911</t>
  </si>
  <si>
    <t>National Centre for Antarctic and Ocean Research and the Ministry of Earth Sciences, Government of India</t>
  </si>
  <si>
    <t>The authors would like to thank the Director, National Centre for Antarctic and Ocean Research and the Ministry of Earth Sciences, Government of India for the financial and logistic support for the Arctic expedition.</t>
  </si>
  <si>
    <t>TRIVENI ENTERPRISES</t>
  </si>
  <si>
    <t>LUCKNOW</t>
  </si>
  <si>
    <t>C/O KIRAN DALELA, 1/206 VIKAS NAGAR, KURSI RD, LUCKNOW 226 022, INDIA</t>
  </si>
  <si>
    <t>0254-8704</t>
  </si>
  <si>
    <t>J ENVIRON BIOL</t>
  </si>
  <si>
    <t>J.Environ.Biol.</t>
  </si>
  <si>
    <t>10.22438/jeb/38/4/MS-237</t>
  </si>
  <si>
    <t>EZ6LG</t>
  </si>
  <si>
    <t>WOS:000404828800008</t>
  </si>
  <si>
    <t>Bedritskii, AI; Danilov, AI</t>
  </si>
  <si>
    <t>Bedritskii, A. I.; Danilov, A. I.</t>
  </si>
  <si>
    <t>Environmental Research and Provision of Hydrometeorological Safety in High-latitude and Polar Regions</t>
  </si>
  <si>
    <t>RUSSIAN METEOROLOGY AND HYDROLOGY</t>
  </si>
  <si>
    <t>The Arctic; Antarctica; International Polar Year 2007-2008; hydrometeorological safety</t>
  </si>
  <si>
    <t>The information is presented on the activity of Roshydromet in high-latitude and polar regions for providing the hydrometeorological safety of population and economy in the Arctic and presence in Antarctica as well as on its development and modernization since the 2000s and on the contribution of Roshydromet to Russian studies and works in the framework of the International Polar Year 2007-2008.</t>
  </si>
  <si>
    <t>[Bedritskii, A. I.] Presidential Adm Russia, Staraya Pl 4, Moscow 103132, Russia; [Danilov, A. I.] Arctic &amp; Antarctic Res Inst, Ul Beringa 38, St Petersburg 199397, Russia</t>
  </si>
  <si>
    <t>Danilov, AI (corresponding author), Arctic &amp; Antarctic Res Inst, Ul Beringa 38, St Petersburg 199397, Russia.</t>
  </si>
  <si>
    <t>aid@aari.ru</t>
  </si>
  <si>
    <t>1068-3739</t>
  </si>
  <si>
    <t>1934-8096</t>
  </si>
  <si>
    <t>RUSS METEOROL HYDRO+</t>
  </si>
  <si>
    <t>Russ. Meteorol. Hydrol.</t>
  </si>
  <si>
    <t>10.3103/S1068373917070020</t>
  </si>
  <si>
    <t>FC6TV</t>
  </si>
  <si>
    <t>WOS:000406975500002</t>
  </si>
  <si>
    <t>Parker, RWR; Gardner, C; Green, BS; Hartmann, K; Watson, RA</t>
  </si>
  <si>
    <t>Parker, Robert W. R.; Gardner, Caleb; Green, Bridget S.; Hartmann, Klaas; Watson, Reg A.</t>
  </si>
  <si>
    <t>Drivers of fuel use in rock lobster fisheries</t>
  </si>
  <si>
    <t>energy; fisheries; fuel; greenhouse gas emissions; lobster</t>
  </si>
  <si>
    <t>LIFE-CYCLE ASSESSMENT; ENERGY EFFICIENCY; FISHING VESSELS; PERFORMANCE; OPTIMIZATION; CONSUMPTION; REDUCTION; FOOTPRINT; IMPACTS; FLEETS</t>
  </si>
  <si>
    <t>Fuel consumption is a leading cost to fishers and the primary source of greenhouse gas emissions from the global fishing industry. Fuel performance varies substantially between and within fisheries, but the drivers behind this variation are unclear and inconsistent across studies. We surveyed rock lobster fishers in Australia and New Zealand to measure rates of fuel use and assess the influence of technological (e.g. vessel size, engine power), behavioural (e.g. distance travelled, speed), and managerial (e.g. catch per unit effort, fishery capacity) factors. Weighted fuel use intensity across the region was 1,890 l/t. Managerial factors were the most influential drivers of fuel use in single day trips while technological factors heavily influenced multi-day trips. Catch per unit effort was the only significant driver present across both types of fishing trips. The vast majority of surveyed fishers identified fuel use as an important aspect of fishing operations, and nearly half had already implemented changes to try to reduce consumption. Our results suggest that efforts to reduce fuel consumption, costs, and emissions in fisheries need to be tailored to the nature of individual fisheries, as the relative roles of technology, behaviour, and management vary.</t>
  </si>
  <si>
    <t>[Parker, Robert W. R.; Gardner, Caleb; Green, Bridget S.; Hartmann, Klaas; Watson, Reg A.] Univ Tasmania, Inst Marine &amp; Antarctic Studies, 15-21 Nubeena Crescent, Taroona, Tas 7053, Australia; [Parker, Robert W. R.] Univ British Columbia, Inst Oceans &amp; Fisheries, AERL, 2202 Main Mall, Vancouver, BC V6T 1Z4, Canada; [Watson, Reg A.] Univ Tasmania, Ctr Marine Socioecol, GPO Box 252-49, Hobart, Tas 7001, Australia</t>
  </si>
  <si>
    <t>University of Tasmania; University of British Columbia; University of Tasmania</t>
  </si>
  <si>
    <t>Parker, RWR (corresponding author), Univ Tasmania, Inst Marine &amp; Antarctic Studies, 15-21 Nubeena Crescent, Taroona, Tas 7053, Australia.;Parker, RWR (corresponding author), Univ British Columbia, Inst Oceans &amp; Fisheries, AERL, 2202 Main Mall, Vancouver, BC V6T 1Z4, Canada.</t>
  </si>
  <si>
    <t>r.parker@oceans.ubc.ca</t>
  </si>
  <si>
    <t>Green, Bridget S/G-3368-2014; Watson, Reg A/F-4850-2012; Hartmann, Klaas/B-3991-2008; Parker, Robert/J-4476-2012; Gardner, Caleb/I-7086-2013</t>
  </si>
  <si>
    <t>Watson, Reg A/0000-0001-7201-8865; Parker, Robert/0000-0003-1910-8081; Gardner, Caleb/0000-0003-0324-4337</t>
  </si>
  <si>
    <t>Australian Seafood Cooperative Research Center [100596]; Australian Research Council [DP140101377]</t>
  </si>
  <si>
    <t>Australian Seafood Cooperative Research Center; Australian Research Council(Australian Research Council)</t>
  </si>
  <si>
    <t>Funding for this research was provided by the Australian Seafood Cooperative Research Center (Project 100596). The authors would like to acknowledge the fishers who participated in the survey as well as the fishery managers and industry representatives that assisted in survey development and distribution, including: Daryl Sykes, Helen Regan, Malcolm Lawson, and Larnce Wichman in New Zealand; Nick Giles in New South Wales; Justin Phillips and Julian Morison in South Australia; John McMath and Neil MacGuffie in Western Australia; Daniel George in Canberra; and Hillary Revill and Julie Martin in Tasmania. R.A.W. acknowledges support from the Australian Research Council (Discovery project DP140101377).</t>
  </si>
  <si>
    <t>JUL-AUG</t>
  </si>
  <si>
    <t>10.1093/icesjms/fsx024</t>
  </si>
  <si>
    <t>FC1LK</t>
  </si>
  <si>
    <t>WOS:000406598500019</t>
  </si>
  <si>
    <t>Poncet, S; Wolfaardt, AC; Black, A; Browning, S; Lawton, K; Lee, J; Passfield, K; Strange, G; Phillips, RA</t>
  </si>
  <si>
    <t>Poncet, Sally; Wolfaardt, Anton C.; Black, Andy; Browning, Sarah; Lawton, Kieran; Lee, Jennifer; Passfield, Ken; Strange, Georgina; Phillips, Richard A.</t>
  </si>
  <si>
    <t>Recent trends in numbers of wandering (Diomedea exulans), black-browed (Thalassarche melanophris) and grey-headed (T-chrysostoma) albatrosses breeding at South Georgia</t>
  </si>
  <si>
    <t>Conservation; Fisheries bycatch; Long term monitoring; Climate change</t>
  </si>
  <si>
    <t>PELAGIC LONGLINE FISHERY; POPULATION-DYNAMICS; SEABIRD MORTALITY; LINE FISHERIES; INDIAN-OCEAN; CONSERVATION; PETRELS; ISLAND; CLIMATE; BYCATCH</t>
  </si>
  <si>
    <t>South Georgia supports globally important populations of seabirds, including the wandering albatross Diomedea exulans, black-browed albatross Thalassarche melanophris and grey-headed albatross T. chrysostoma, currently classified by the world Conservation Union (IUCN) as vulnerable, near threatened and endangered, respectively. Surveys of these species at South Georgia were conducted during the incubation stage in November 2014 to January 2015, repeating previous surveys conducted in the 2003/2004 season. Numbers of wandering albatrosses breeding annually at South Georgia decreased by 18% (1.8% per year) from 1553 pairs in 2003/2004 to an estimated 1278 pairs in 2014/2015. Over the same period, black-browed and grey-headed albatrosses decreased by 19% (1.9% per year) and 43% (5% per year), respectively. These represent a continuation of negative trends at South Georgia since the 1970s and are in contrast to some populations elsewhere, which have shown signs of recent recovery. Given the importance of South Georgia for these species, the ongoing population declines, and in the case of grey-headed albatrosses, an acceleration of the decline is of major conservation concern. Incidental fisheries mortality (bycatch) is currently considered to be the main threat. Although seabird bycatch has been reduced to negligible levels in the fisheries operating around South Georgia, wider implementation of effective seabird bycatch mitigation measures is required to improve the conservation status of the South Georgia populations of wandering, black-browed and grey-headed albatrosses. In addition, more research is required to investigate the respective roles of bycatch and climate change in driving these population trends.</t>
  </si>
  <si>
    <t>[Poncet, Sally; Black, Andy; Browning, Sarah; Lee, Jennifer; Passfield, Ken; Strange, Georgina] Govt South Georgia &amp; South Sandwich Islands, Govt House,Stanley FIQQ 1ZZ, Port Howard, Falkland Island; [Poncet, Sally; Passfield, Ken] South Georgia Surveys, POB 538,Stanley FIQQ 1ZZ, Port Howard, Falkland Island; [Wolfaardt, Anton C.] POB 2276,Plettenberg Bay 6600, Western Cape, South Africa; [Lawton, Kieran] Skadia Pty Ltd, Horsham, Vic 3409, Australia; [Phillips, Richard A.] NERC, British Antarct Survey, Madingley Rd, Cambridge CB3 0ET, England</t>
  </si>
  <si>
    <t>Wolfaardt, AC (corresponding author), POB 2276,Plettenberg Bay 6600, Western Cape, South Africa.</t>
  </si>
  <si>
    <t>acwolfaardt@gmail.com</t>
  </si>
  <si>
    <t>Joint Nature Conservation Committee (JNCC); Cheesemans' Ecological Safaris; Natural Environment Research Council (NERC); NERC [bas0100035, bas0100025] Funding Source: UKRI; Natural Environment Research Council [bas0100035, bas0100025] Funding Source: researchfish</t>
  </si>
  <si>
    <t>Joint Nature Conservation Committee (JNCC); Cheesemans' Ecological Safaris; 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</si>
  <si>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We thank the officers and crew of the MV Pharos SG and the MV Hans Hansson for their support of the fieldwork. Thanks are also extended to the Joint Nature Conservation Committee (JNCC), who provided funding for photographic equipment, and to Cheesemans' Ecological Safaris who contributed funding towards the charter of the MV Hans Hansson. We are very grateful to Lucy Quinn and Jessica Walkup for carrying out surveys and monitoring at Bird Island. This study represents a contribution to the Ecosystems Component of the British Antarctic Survey Polar Science for Planet Earth Programme, funded by the Natural Environment Research Council (NERC). We thank three anonymous reviewers for valuable comments on an earlier version of the manuscript.</t>
  </si>
  <si>
    <t>10.1007/s00300-016-2057-0</t>
  </si>
  <si>
    <t>FB7RX</t>
  </si>
  <si>
    <t>WOS:000406338800002</t>
  </si>
  <si>
    <t>Aumack, CF; Lowe, AT; Amsler, CD; Amsler, MO; McClintock, JB; Baker, BJ</t>
  </si>
  <si>
    <t>Aumack, Craig F.; Lowe, Alexander T.; Amsler, Charles D.; Amsler, Margaret O.; McClintock, James B.; Baker, Bill J.</t>
  </si>
  <si>
    <t>Gut content, fatty acid, and stable isotope analyses reveal dietary sources of macroalgal-associated amphipods along the western Antarctic Peninsula</t>
  </si>
  <si>
    <t>Amphipods; Fatty acid analysis; Food webs; Gut contents; Macroalgae; Stable isotopes; Western Antarctic Peninsula</t>
  </si>
  <si>
    <t>EASTERN WEDDELL SEA; KING-GEORGE ISLAND; TROPHIC POSITION; FOOD-WEB; SUBTIDAL MACROALGAE; SPECIES COMPOSITION; CHEMICAL DEFENSES; BENTHIC AMPHIPODS; INVERTEBRATES; PALATABILITY</t>
  </si>
  <si>
    <t>Shallow water subtidal marine communities along the western Antarctic Peninsula are characterized by dense beds of macroalgae and strikingly dense assemblages of associated amphipods. However, direct grazing by amphipods on the dominant macroalgae is unlikely as most of these algae elaborate secondary metabolites known to be herbivore feeding deterrents. What resources, then, support this vast macroalgal-associated amphipod assemblage? We addressed this question by analyzing the gut contents, fatty acids, and stable isotopic ratios of 15 different amphipod species associated with the macrophyte community. The delta N-15 and delta C-13 stable isotope values revealed that most of the abundant species of amphipods are primary consumers whose ultimate carbon source is derived from some combination of brown macroalgae, epiphytic diatoms, and endo/epiphytic filamentous algae. Gut contents revealed that a large percentage of the amphipod diets are comprised of diatoms and macroalgal tissues, both filamentous and multiseriate. Fatty acid analysis corroborated our conclusions based on stable isotope and gut content data, demonstrating the importance of diatoms to assimilated material, but also highlighting the rich diversity of diets within the macroalgal-associated amphipod assemblage. Our findings suggest that amphipods routinely clean their host macrophytes of potentially harmful epiphytes, including both diatoms and emergent filaments from brown algal endophytes. Some prominent species of amphipods may also derive a small percentage of their carbon from palatable and, in one case, unpalatable, chemically defended red algae. These results, combined with previous studies showing that the amphipods gain refuge from predators by associating with unpalatable macroalgae, support the hypothesis that amphipods along the western Antarctic Peninsula are living in mutualism with their macrophyte hosts rather than consuming the host directly.</t>
  </si>
  <si>
    <t>[Aumack, Craig F.; Amsler, Charles D.; Amsler, Margaret O.; McClintock, James B.] Univ Alabama Birmingham, Dept Biol, Birmingham, AL 35294 USA; [Lowe, Alexander T.] Univ Washington, Dept Biol, Seattle, WA 98195 USA; [Baker, Bill J.] Univ S Florida, Dept Chem, Tampa, FL 33620 USA; [Aumack, Craig F.] Georgia Southern Univ, Dept Biol, Statesboro, GA 30460 USA</t>
  </si>
  <si>
    <t>University of Alabama System; University of Alabama Birmingham; University of Washington; University of Washington Seattle; State University System of Florida; University of South Florida; University System of Georgia; Georgia Southern University</t>
  </si>
  <si>
    <t>Aumack, CF (corresponding author), Univ Alabama Birmingham, Dept Biol, Birmingham, AL 35294 USA.;Aumack, CF (corresponding author), Georgia Southern Univ, Dept Biol, Statesboro, GA 30460 USA.</t>
  </si>
  <si>
    <t>caumack@georgiasouthern.edu</t>
  </si>
  <si>
    <t>Baker, Bill/N-4312-2019</t>
  </si>
  <si>
    <t>National Science Foundation from the Antarctic Organisms and Ecosystems program [OPP-0442769, ANT-1041022, OPP-0442857]; National Science Foundation from the Biological Oceanography program [OCE-0925718]; Directorate For Geosciences; Office of Polar Programs (OPP) [1341339] Funding Source: National Science Foundation</t>
  </si>
  <si>
    <t>National Science Foundation from the Antarctic Organisms and Ecosystems program(National Science Foundation (NSF)NSF - Directorate for Geosciences (GEO)); National Science Foundation from the Biological Oceanography program; Directorate For Geosciences; Office of Polar Programs (OPP)(National Science Foundation (NSF)NSF - Directorate for Geosciences (GEO))</t>
  </si>
  <si>
    <t>We thank our 2007, 2008, and 2012 Antarctic field team colleagues for their field and laboratory assistance. This project would not have been possible without the hard work and outstanding logistical support in Antarctica from the employees and subcontractors of Raytheon Polar Services Company and Antarctic Support Contract. We are grateful to R. Angus, K. Dunton, and three anonymous reviewers for constructive comments on earlier versions of the manuscript. This work was supported by National Science Foundation awards OPP-0442769 and ANT-1041022 (CDA, JBM) and OPP-0442857 (BJB) from the Antarctic Organisms and Ecosystems program. Fatty acid extractions were conducted at the Friday Harbor Laboratories with support from National Science Foundation award OCE-0925718 from the Biological Oceanography program to David Duggins and colleagues.</t>
  </si>
  <si>
    <t>10.1007/s00300-016-2061-4</t>
  </si>
  <si>
    <t>WOS:000406338800004</t>
  </si>
  <si>
    <t>da Silva, AC; Rachid, CTCD; de Jesus, HE; Rosado, AS; Peixoto, RS</t>
  </si>
  <si>
    <t>da Silva, Aike Costa; Coelho da Costa Rachid, Caio Tavora; de Jesus, Hugo Emiliano; Rosado, Alexandre Soares; Peixoto, Raquel Silva</t>
  </si>
  <si>
    <t>Predicting the biotechnological potential of bacteria isolated from Antarctic soils, including the rhizosphere of vascular plants</t>
  </si>
  <si>
    <t>Antarctic soils; PICRUS; Enzymes; 16S rRNA; Admiralty bay</t>
  </si>
  <si>
    <t>KING GEORGE ISLAND; GREAT WALL STATION; SP NOV.; PSYCHROTOLERANT BACTERIUM; ADMIRALTY BAY; CLASSIFICATION; MICROORGANISMS; COMMUNITIES; NITROGEN; VICINITY</t>
  </si>
  <si>
    <t>Although there is great interest in cultivable Antarctic microorganisms for potential biotechnology applications, little is known about the microbial diversity and the metabolic potential of samples from Antarctic environments. Two hundred and fifty bacterial isolates were obtained from Antarctic soil and from rhizosphere samples of the Antarctic plants Colobanthus quitensis and Deschampsia antarctica. The samples were screened using amplified ribosomal DNA restriction analysis (ARDRA) and identified by 16S rRNA sequencing. Their metabolic potential was predicted in silico using the Phylogenetic Investigation of Communities by Reconstruction of Unobserved States (PICRUS) tool. Additionally, the strains were screened for the production of amylases, proteases, cellulases and chitinases at 4, 12 and 25 A degrees C. The bacterial isolates obtained were classified into the phyla Proteobacteria, Arthrobacter, Firmicutes and Bacteroidetes. The species belonging to the genus Pseudomonas were predominant in all the soil and rhizosphere samples. Twenty-one different Operational Taxonomic Units (OTUs) were detected, and the functional profile of each OTU indicated that most of the predicted genes were related to metabolic functions. Among the OTUs, one affiliated with the genus Rhodococcus sp. (OTU 7) and one affiliated with the genus Rhizobium sp. (OTU 18) showed the largest numbers of predicted genes for amino acid and carbohydrate metabolism and for xenobiotics. The traditional enzyme screening indicated that only proteases were produced by all the bacterial isolates and that the bacterial isolates with greatest predicted metabolic potential (OTUs 7 and 18) also presented the greatest diversity of enzyme production. The results suggested that gene prediction might reflect, at some level, the real metabolic plasticity of the microorganisms and provide a tool for screening promising biotechnological strains, including strains producing multiple enzymes.</t>
  </si>
  <si>
    <t>[da Silva, Aike Costa; Coelho da Costa Rachid, Caio Tavora; de Jesus, Hugo Emiliano; Rosado, Alexandre Soares; Peixoto, Raquel Silva] Fed Univ Rio Janeiro, Inst Microbiol Paulo de Goes, Lab Mol Microbial Ecol, CCS, Cidade Univ,Bloco E, BR-21941590 Rio De Janeiro, Brazil</t>
  </si>
  <si>
    <t>Peixoto, RS (corresponding author), Fed Univ Rio Janeiro, Inst Microbiol Paulo de Goes, Lab Mol Microbial Ecol, CCS, Cidade Univ,Bloco E, BR-21941590 Rio De Janeiro, Brazil.</t>
  </si>
  <si>
    <t>raquelpeixoto@micro.ufrj.br</t>
  </si>
  <si>
    <t>Peixoto, Raquel/V-2554-2019; Rosado, Alexandre Soares/G-1955-2012; Tavora Coelho da Costa Rachid, Caio/J-5001-2016</t>
  </si>
  <si>
    <t>Rosado, Alexandre Soares/0000-0001-5135-1394; Tavora Coelho da Costa Rachid, Caio/0000-0003-3115-5702; Peixoto, Raquel/0000-0002-9536-3132</t>
  </si>
  <si>
    <t>Brazilian Ministries of Science, Technology and Innovation (MCTI), of Environment (MMA); Inter-Ministry Commission for Sea Resources (CIRM); Brazilian Navy; National Council for Scientific and Technological Development (CNPq); National Council for the Improvement of Higher Education (CAPES); Carlos Chagas Filho Foundation for Research Support of Rio de Janeiro State (FAPERJ)</t>
  </si>
  <si>
    <t>Brazilian Ministries of Science, Technology and Innovation (MCTI), of Environment (MMA); Inter-Ministry Commission for Sea Resources (CIRM); Brazilian Navy; National Council for Scientific and Technological Development (CNPq)(Conselho Nacional de Desenvolvimento Cientifico e Tecnologico (CNPQ)); National Council for the Improvement of Higher Education (CAPES)(Coordenacao de Aperfeicoamento de Pessoal de Nivel Superior (CAPES)); Carlos Chagas Filho Foundation for Research Support of Rio de Janeiro State (FAPERJ)(Fundacao Carlos Chagas Filho de Amparo a Pesquisa do Estado do Rio De Janeiro (FAPERJ))</t>
  </si>
  <si>
    <t>The authors thank the support of the Brazilian Ministries of Science, Technology and Innovation (MCTI), of Environment (MMA), Inter-Ministry Commission for Sea Resources (CIRM) and the Brazilian Navy that supported our research in the Comandante Ferraz Station. We also thank the National Council for Scientific and Technological Development (CNPq), the National Council for the Improvement of Higher Education (CAPES), and the Carlos Chagas Filho Foundation for Research Support of Rio de Janeiro State (FAPERJ) for supporting this work.</t>
  </si>
  <si>
    <t>10.1007/s00300-016-2065-0</t>
  </si>
  <si>
    <t>WOS:000406338800006</t>
  </si>
  <si>
    <t>Calì, F; Riginella, E; La Mesa, M; Mazzoldi, C</t>
  </si>
  <si>
    <t>Cali, Federico; Riginella, Emilio; La Mesa, Mario; Mazzoldi, Carlotta</t>
  </si>
  <si>
    <t>Life history traits of Notothenia rossii and N-coriiceps along the southern Scotia Arc</t>
  </si>
  <si>
    <t>Fecundity; Gonad; Reproduction; Otoliths; Age structure; Nototheniidae</t>
  </si>
  <si>
    <t>TERRA-NOVA BAY; ANTARCTIC FISH; SHETLAND ISLANDS; POTTER COVE; GOBIONOTOTHEN-GIBBERIFRONS; HISTOLOGICAL ANALYSIS; REPRODUCTIVE-BIOLOGY; ADAPTIVE RADIATION; AGE-DETERMINATION; GENUS TREMATOMUS</t>
  </si>
  <si>
    <t>Notothenia coriiceps and Notothenia rossii are two widespread nototheniid fishes, that live sympatrically along the southern Scotia Arc from South Georgia to the South Shetland Islands. In this sector of the Southern Ocean, they experienced different exploitation rates in the past and exhibit different habitat and food preferences as adult. Aiming to evaluate the influence of these factors in shaping life history traits of these species, we compare the reproductive investment and the age structure between the species and in N. rossii, between populations inhabiting different areas. Based on histological analyses, the two species share the same pattern of gamete development in both sexes. The potential fecundity was similar and was positively related to fish size in both species, being relatively high with respect to other notothenioids and in terms of egg size at deposition. Based on sagittal otolith readings, the growth rate and maximum age recorded differed significantly between the two species. Notothenia rossii exhibited a higher growth rate and a comparatively lower maximum age than N. coriiceps. Similarly, N. rossii attained sexual maturity at the same age but at a larger size than N. coriiceps. At the intraspecific level, no differences in life history traits were observed between the populations of N. rossii collected from different areas. Consistent with the different levels of fishing pressure exerted on these species and their low resilience, a recent significant decrease over time in the maximum fish size and related reproductive potential has been observed only in the overexploited populations of N. rossii.</t>
  </si>
  <si>
    <t>[Cali, Federico; Riginella, Emilio; Mazzoldi, Carlotta] Univ Padua, Dept Biol, Via U Bassi 58-B, I-35131 Padua, Italy; [Riginella, Emilio; La Mesa, Mario] CNR, UOS Ancona, Inst Marine Sci, ISMAR, Largo Fiera Pesca 1, I-60125 Ancona, Italy</t>
  </si>
  <si>
    <t>University of Padua; Consiglio Nazionale delle Ricerche (CNR); Istituto di Scienze Marine (ISMAR-CNR)</t>
  </si>
  <si>
    <t>Mazzoldi, C (corresponding author), Univ Padua, Dept Biol, Via U Bassi 58-B, I-35131 Padua, Italy.</t>
  </si>
  <si>
    <t>carlotta.mazzoldi@unipd.it</t>
  </si>
  <si>
    <t>Riginella, Emilio/Q-2987-2019; Mazzoldi, Carlotta/AAU-8628-2020</t>
  </si>
  <si>
    <t>Riginella, Emilio/0000-0002-1442-8310; MAZZOLDI, CARLOTTA/0000-0002-2798-3030; CALI', FEDERICO/0000-0001-6970-2607</t>
  </si>
  <si>
    <t>Italian National Program for Antarctic Research (PNRA); MIUR (Ministero dell'Istruzione, dell'Universita e della Ricerca)</t>
  </si>
  <si>
    <t>Italian National Program for Antarctic Research (PNRA); MIUR (Ministero dell'Istruzione, dell'Universita e della Ricerca)(Ministry of Education, Universities and Research (MIUR))</t>
  </si>
  <si>
    <t>We are very grateful to Alfred-Wegener-Institut, Helmholtz-Zentrum fur Polar- und Meeresforschung that provided us the opportunity to collect samples during two RV Polarstern expeditions, ANT-XXVII/3 and ANT-XXVIII/4. Thanks to all the scientific staff, crew members and personnel aboard the RV Polarstern for their essential support in sampling activities. A special thanks to F. Giomi and F. Bartolini for providing gonad and otolith samples of N. rossii from South Georgia (ANT XXVII/3). We are in debit with C. Papetti for her valuable help during samples collection in South Shetland Islands, with C. Sands, P. Brickle and two anonymous referees for the helpful revision of the manuscript. This research was supported by the Italian National Program for Antarctic Research (PNRA) to MLM and MIUR (Ministero dell'Istruzione, dell'Universita e della Ricerca) to CM.</t>
  </si>
  <si>
    <t>10.1007/s00300-016-2066-z</t>
  </si>
  <si>
    <t>WOS:000406338800007</t>
  </si>
  <si>
    <t>La Mesa, M; Riginella, E; Catalano, B; Jones, CD; Mazzoldi, C</t>
  </si>
  <si>
    <t>La Mesa, Mario; Riginella, Emilio; Catalano, Barbara; Jones, Christopher D.; Mazzoldi, Carlotta</t>
  </si>
  <si>
    <t>Maternal contribution to spawning and early life-history strategies of the genus Lepidonotothen (Nototheniidae, Perciformes) along the southern Scotia Arc</t>
  </si>
  <si>
    <t>Reproductive effort; Larval traits; Nototheniid fish; Antarctic Peninsula</t>
  </si>
  <si>
    <t>REPRODUCTION; GROWTH; AGE</t>
  </si>
  <si>
    <t>The coastal fish community of the southern Scotia Arc, including the South Shetland Islands and the Bransfield Strait, is composed of the genus Lepidonotothen, which consists of three widely overlapping species such as L. kempi, L. larseni and L. nudifrons. The life-history strategies of these species driven by environmental and inter-specific interactions remain poorly known. In this paper, we estimate the maternal contribution to spawning of adult females in terms of fecundity and egg size through macroscopic and histological analyses of gonads. We further investigate the size and timing of hatching, growth rate and duration of the larval stage through microstructure analysis of sagittal otoliths collected from larval samples. All three species produced eggs of relatively small size at hatching, showing a trade-off between egg size and fecundity. Total fecundity was positively related to fish size during growth, as well as to maximum size. Female gonad investment was comparable among the species, as they all start spawning at about 65% of their maximum size with a similar gonadosomatic index. All species generated small larvae (altricial) which hatched over widely different periods, resulting in a temporal succession of larval occurrence. Compared to L. kempi, the other two species had relatively slow-growing larvae. Only L. kempi and L. larseni produced overwintering larvae. Differences in maternal contribution to spawning and early life-history traits of these species contribute to reduce interspecific competition for food through ecological niche partitioning.</t>
  </si>
  <si>
    <t>[La Mesa, Mario; Riginella, Emilio] CNR, Inst Marine Sci, UOS Ancona, I-60125 Ancona, Italy; [Riginella, Emilio; Mazzoldi, Carlotta] Univ Padua, Dept Biol, Via U Bassi 58-B, I-35131 Padua, Italy; [Catalano, Barbara] Italian Natl Inst Environm Protect &amp; Res, ISPRA, Via Brancati 48, I-00144 Ispra, Italy; [Jones, Christopher D.] NOAA, Southwest Fisheries Sci Ctr, Natl Marine Fisheries Serv, 8901 La Jolla Shores Dr, La Jolla, CA 92037 USA</t>
  </si>
  <si>
    <t>Consiglio Nazionale delle Ricerche (CNR); Istituto di Scienze Marine (ISMAR-CNR); University of Padua; European Commission Joint Research Centre; EC JRC ISPRA Site; Italian Institute for Environmental Protection &amp; Research (ISPRA); National Oceanic Atmospheric Admin (NOAA) - USA</t>
  </si>
  <si>
    <t>La Mesa, M (corresponding author), CNR, Inst Marine Sci, UOS Ancona, I-60125 Ancona, Italy.</t>
  </si>
  <si>
    <t>Catalano, Barbara/GRR-7882-2022; Mazzoldi, Carlotta/AAU-8628-2020; Riginella, Emilio/Q-2987-2019</t>
  </si>
  <si>
    <t>Riginella, Emilio/0000-0002-1442-8310; MAZZOLDI, CARLOTTA/0000-0002-2798-3030</t>
  </si>
  <si>
    <t>Italian National Program for Antarctic Research (PNRA)</t>
  </si>
  <si>
    <t>We thank the Alfred Wegener Institut fur Polar und Meeresforschung for giving us the opportunity to collect adult fish samples during the ANT-XXVIII/4 2012 Polarstern cruise. We wish to thank also the Southwest Fisheries Science Center for giving us the opportunity to collect fish larvae during the cruises aboard the RV Moana Wave and RV Nathaniel Palmer. We are much indebted to all scientific staff, crew members and personnel aboard the vessels for their essential support in sampling activities. This study was financially supported by the Italian National Program for Antarctic Research (PNRA). The early draft of manuscript was significantly improved by the comments of three anonymous reviewers.</t>
  </si>
  <si>
    <t>10.1007/s00300-016-2068-x</t>
  </si>
  <si>
    <t>WOS:000406338800009</t>
  </si>
  <si>
    <t>Cuba-Díaz, M; Cerda, G; Rivera, C; Gómez, A</t>
  </si>
  <si>
    <t>Cuba-Diaz, Marely; Cerda, Gustavo; Rivera, Claudia; Gomez, Anibal</t>
  </si>
  <si>
    <t>Genome size comparison in Colobanthus quitensis populations show differences in species ploidy</t>
  </si>
  <si>
    <t>2C DNA content; Flow cytometry; Colobanthus quitensis populations; Genome size; Ploidy levels</t>
  </si>
  <si>
    <t>DNA FLOW-CYTOMETRY; NATURAL-POPULATIONS; C-VALUE; ANDES; DIFFERENTIATION; TEMPERATURE; POLYPLOIDY; RESPONSES; PLANTS</t>
  </si>
  <si>
    <t>Colobanthus quitensis is the only native dicotyledoneae in the Antarctic; therefore, it is the object of ample research regarding tolerance mechanisms to its extreme habitat. This species also represents a wide geographical distribution, from 68 degrees S to 17 degrees N and from 0 m a.s.l. in the south to 4200 m a.s.l. in the north of its distribution area. As the described habitats for different populations coincide in their extreme abiotic characteristics, there has been increasing interest in studying different populations in recent years, as well as the existence of phenotypic or genetic variability among them. In contrast, very little is known about its genome; knowledge of genome size and ploidy levels allows the development of strategies to generate information in population studies related to structure, gene flow and genetic diversity in order to describe phenotypic characteristics. Several studies have related genome size to the ecological requirements of the species distributed through an ample environmental gradient. For several years now, flow cytometry has become a simple method to determine genome size in a wide variety of species. In this paper, we determine genome size for three C. quitensis populations. The populations of Arctowski and La Marisma (Punta Arenas) have 2C = 1.95 pg, while the Conguillio population reported 2C = 0.84 pg, approximately half as much. This may evidence different ploidy levels between the populations, creating new questions with regard to the number of chromosomes and the possible existence of endopoliploidy. This would be related to the distribution and the adaptive mechanisms of this species throughout its wide distribution.</t>
  </si>
  <si>
    <t>[Cuba-Diaz, Marely; Rivera, Claudia; Gomez, Anibal] Univ Concepcion, Lab Biotecnol &amp; Estudios Ambientales, Escuela Ciencias &amp; Tecnol, Campus Los Angeles, Juan Antonio Coloma 0201, Los Angeles, Chile; [Cerda, Gustavo] Univ Concepcion, CMA Biobio, Ctr Microscopia Avanzada, Barrio Univ S-N,Edificio Ennio Vivaldi 2do Piso, Concepcion, Chile</t>
  </si>
  <si>
    <t>Cuba-Díaz, M (corresponding author), Univ Concepcion, Lab Biotecnol &amp; Estudios Ambientales, Escuela Ciencias &amp; Tecnol, Campus Los Angeles, Juan Antonio Coloma 0201, Los Angeles, Chile.</t>
  </si>
  <si>
    <t>Gomez, Anibal/0000-0002-8158-2019; , Claudia Rivera-Mora/0000-0001-6258-2366; Cuba-Diaz, Marely/0000-0002-2981-0328</t>
  </si>
  <si>
    <t>INACH (Chilean Antarctic Institute) [INACH RG_02-13]; Departamento de Ciencias y Tecnologia Vegetal, Campus Los Angeles, Universidad de Concepcion</t>
  </si>
  <si>
    <t>INACH (Chilean Antarctic Institute); Departamento de Ciencias y Tecnologia Vegetal, Campus Los Angeles, Universidad de Concepcion</t>
  </si>
  <si>
    <t>This research was funded with contributions by INACH (Chilean Antarctic Institute) INACH RG_02-13 project and by the Departamento de Ciencias y Tecnologia Vegetal, Campus Los Angeles, Universidad de Concepcion. The authors wish to acknowledge the helpful suggestions made by D. Navarrete in order to achieve better accelerated growing conditions for A. thaliana. We would also like to thank International Journal Revisions (http://www.journalrevisions.com) for their English revision. Furthermore, we would like to acknowledge the reviewers for helping us to make this study a more robust work.</t>
  </si>
  <si>
    <t>10.1007/s00300-016-2058-z</t>
  </si>
  <si>
    <t>WOS:000406338800013</t>
  </si>
  <si>
    <t>Potenza, MAC; Cremonesi, L; Delmonte, B; Sanvito, T; Paroli, B; Pullia, A; Baccolo, G; Maggi, V</t>
  </si>
  <si>
    <t>Potenza, M. A. C.; Cremonesi, L.; Delmonte, B.; Sanvito, T.; Paroli, B.; Pullia, A.; Baccolo, G.; Maggi, V.</t>
  </si>
  <si>
    <t>Single-Particle Extinction and Scattering Method Allows for Detection and Characterization of Aggregates of Aeolian Dust Grains in Ice Cores</t>
  </si>
  <si>
    <t>ACS EARTH AND SPACE CHEMISTRY</t>
  </si>
  <si>
    <t>dust; optical properties; ice core analysis; aggregates; light scattering</t>
  </si>
  <si>
    <t>MINERAL DUST; SIZE</t>
  </si>
  <si>
    <t>Mineral dust aerosol in ice cores is one of the most important proxies for paleoclimate research. Under certain conditions, in the deeper part of ice cores, the pristine paleoclimate signal can be altered by in situ formation of dust aggregates, following the relocation of the impurities. Thus, aggregate detection is a critical indication for post-depositional processes. Clues for the presence of aggregates have been provided by anomalously large dust size distributions, while small aggregates were basically invisible to conventional dust analysis techniques. In this paper, we propose an optical approach to this problem based on the single-particle extinction and scattering (SPES) method, which allows researchers to distinguish between compact and non-compact particles through the analysis of samples populated by isometric particles contained in the core samples. This method can potentially be used during continuous flow analyses of ice cores. It allows for the detection of even the tiniest aggregates, falling within the typical size interval of aeolian mineral aerosol. This approach will potentially provide key evidence for assessing the integrity of paleoclimate records.</t>
  </si>
  <si>
    <t>[Potenza, M. A. C.; Cremonesi, L.; Paroli, B.; Pullia, A.] Univ Milan, Dept Phys, Via Celoria 16, I-20133 Milan, Italy; [Potenza, M. A. C.; Cremonesi, L.; Paroli, B.; Pullia, A.] Natl Inst Nucl Phys INFN, Via Celoria 16, I-20133 Milan, Italy; [Delmonte, B.; Baccolo, G.; Maggi, V.] Univ Milano Bicocca, Dept Earth &amp; Environm Sci, Piazza Sci 1, I-20126 Milan, Italy; [Sanvito, T.] EOS Srl, Viale Ortles 22-4, I-20139 Milan, Italy; [Baccolo, G.] Univ Siena, Grad Sch Polar Sci, Via Laterina 8, I-53100 Siena, Italy</t>
  </si>
  <si>
    <t>University of Milan; Istituto Nazionale di Fisica Nucleare (INFN); Gran Sasso Science Institute (GSSI); University of Milano-Bicocca; University of Siena</t>
  </si>
  <si>
    <t>Potenza, MAC (corresponding author), Univ Milan, Dept Phys, Via Celoria 16, I-20133 Milan, Italy.;Potenza, MAC (corresponding author), Natl Inst Nucl Phys INFN, Via Celoria 16, I-20133 Milan, Italy.</t>
  </si>
  <si>
    <t>marco.potenza@unimi.it</t>
  </si>
  <si>
    <t>Baccolo, Giovanni/J-9543-2019; Delmonte, Barbara/L-2555-2015; Maggi, Valter/E-1878-2014; Cremonesi, Llorenc/IUP-4805-2023; Maggi, Valter/AAX-5728-2020</t>
  </si>
  <si>
    <t>Baccolo, Giovanni/0000-0002-1246-8968; Delmonte, Barbara/0000-0002-9074-2061; Cremonesi, Llorenc/0000-0002-4276-0660; Maggi, Valter/0000-0001-6287-1213; Potenza, Marco/0000-0002-9379-6540; Pullia, Alberto/0000-0002-6393-747X</t>
  </si>
  <si>
    <t>European Union (EU)</t>
  </si>
  <si>
    <t>European Union (EU)(European Union (EU)CGIAR)</t>
  </si>
  <si>
    <t>This work is a contribution to the EPICA, a joint European Science Foundation/European Commission scientific programme, funded by the European Union (EU) and national contributions from Belgium, Denmark, France, Germany, Italy, the Netherlands, Norway, Sweden, Switzerland, and the United Kingdom. The main logistic support was provided by the French Polar Institute Paul-Emile Victor (IPEV) and National Antarctic Research Program (PNRA) (at Dome C) and Alfred Wegener Institute (AWI) (at Dronning Maud Land). This is EPICA publication 308.</t>
  </si>
  <si>
    <t>2472-3452</t>
  </si>
  <si>
    <t>ACS EARTH SPACE CHEM</t>
  </si>
  <si>
    <t>ACS Earth Space Chem.</t>
  </si>
  <si>
    <t>10.1021/acsearthspacechem.7b00018</t>
  </si>
  <si>
    <t>Chemistry, Multidisciplinary; Geochemistry &amp; Geophysics</t>
  </si>
  <si>
    <t>Chemistry; Geochemistry &amp; Geophysics</t>
  </si>
  <si>
    <t>FB7YV</t>
  </si>
  <si>
    <t>WOS:000406356800004</t>
  </si>
  <si>
    <t>Proemse, BC; Murray, AE; Schallenberg, C; McKiernan, B; Glazer, BT; Young, SA; Ostrom, NE; Bowie, AR; Wieser, ME; Kenig, F; Doran, PT; Edwards, R</t>
  </si>
  <si>
    <t>Proemse, Bernadette C.; Murray, Alison E.; Schallenberg, Christina; McKiernan, Breege; Glazer, Brian T.; Young, Seth A.; Ostrom, Nathaniel E.; Bowie, Andrew R.; Wieser, Michael E.; Kenig, Fabien; Doran, Peter T.; Edwards, Ross</t>
  </si>
  <si>
    <t>Iron cycling in the anoxic cryo-ecosystem of Antarctic Lake Vida</t>
  </si>
  <si>
    <t>BIOGEOCHEMISTRY</t>
  </si>
  <si>
    <t>McMurdo dry valleys; Lake Vida; Iron; Redox</t>
  </si>
  <si>
    <t>MCMURDO DRY VALLEYS; ISOTOPE FRACTIONATION; ICE COVER; REDUCTION; BRINE; OXIDATION; SEDIMENTS; BACTERIA; SEAWATER; MARINE</t>
  </si>
  <si>
    <t>Iron redox cycling in metal-rich, hypersaline, anoxic brines plays a central role in the biogeochemical evolution of life on Earth, and similar brines with the potential to harbor life are thought to exist elsewhere in the solar system. To investigate iron biogeochemical cycling in a terrestrial analog we determined the iron redox chemistry and isotopic signatures in the cryoencapsulated liquid brines found in frozen Lake Vida, East Antarctica. We used both in situ voltammetry and the spectrophotometric ferrozine method to determine iron speciation in Lake Vida brine (LVBr). Our results show that iron speciation in the anoxic LVBr was, unexpectedly, not free Fe(II). Iron isotope analysis revealed highly depleted values of -2.5aEuro degrees for the ferric iron of LVBr that are similar to iron isotopic signatures of Fe(II) produced by dissimilatory iron reduction. The presence of Fe(III) in LVBr therefore indicates dynamic iron redox cycling beyond iron reduction. Furthermore, extremely low delta O-18-SO4 (2-) values (-9.7aEuro degrees) support microbial iron-sulfur cycling reactions. In combination with evidence for chemodenitrification resulting in iron oxidation, we conclude that coupled abiotic and biotic redox reactions are driving the iron cycle in Lake Vida brine. Our findings challenge the current state of knowledge of anoxic brine chemistry and may serve as an analogue for icy brines found in the outer reaches of the solar system.</t>
  </si>
  <si>
    <t>[Proemse, Bernadette C.] Univ Tasmania, Sch Biol Sci, Private Bag 55, Hobart, Tas 7001, Australia; [Murray, Alison E.] Desert Res Inst, Div Earth &amp; Ecosyst Sci, 2215 Raggio Pkwy, Reno, NV 89512 USA; [Schallenberg, Christina] Univ Victoria, Sch Earth &amp; Ocean Sci, POB 1700 Stn CSC, Victoria, BC V8W 2Y2, Canada; [Schallenberg, Christina; Bowie, Andrew R.] Univ Tasmania, Antarctic Climate &amp; Ecosyst CRC, Private Bag 80, Hobart, Tas 7001, Australia; [Schallenberg, Christina; Bowie, Andrew R.] Univ Tasmania, Inst Marine &amp; Antarctic Studies, Private Bag 80, Hobart, Tas 7001, Australia; [McKiernan, Breege; Wieser, Michael E.] Univ Calgary, Dept Phys &amp; Astron, 2500 Univ Dr NW, Calgary, AB T2N 1N4, Canada; [Glazer, Brian T.] Univ Hawaii, Dept Oceanog, 1000 Pope Rd, Honolulu, HI 96822 USA; [Young, Seth A.] Florida State Univ, Dept Earth Ocean &amp; Atmospher Sci, Tallahassee, FL 32306 USA; [Ostrom, Nathaniel E.] Michigan State Univ, Dept Integrat Biol, 288 Farm Lane, E Lansing, MI 48824 USA; [Ostrom, Nathaniel E.] Michigan State Univ, DOE Great Lakes Bioenergy Res Ctr, 288 Farm Lane, E Lansing, MI 48824 USA; [Kenig, Fabien] Univ Illinois, Dept Earth &amp; Environm Sci, 845 West Taylor St, Chicago, IL 60607 USA; [Doran, Peter T.] Louisiana State Univ, Dept Geol &amp; Geophys, E235 Howe Russell Geosci Complex, Baton Rouge, LA 70803 USA; [Edwards, Ross] Curtin Univ, Phys &amp; Astron, Kent St, Bentley, WA 6102, Australia</t>
  </si>
  <si>
    <t>University of Tasmania; Nevada System of Higher Education (NSHE); Desert Research Institute NSHE; University of Victoria; University of Tasmania; University of Tasmania; University of Calgary; University of Hawaii System; State University System of Florida; Florida State University; Michigan State University; United States Department of Energy (DOE); Michigan State University; University of Illinois System; University of Illinois Chicago; University of Illinois Chicago Hospital; Louisiana State University System; Louisiana State University; Curtin University</t>
  </si>
  <si>
    <t>Murray, AE (corresponding author), Desert Res Inst, Div Earth &amp; Ecosyst Sci, 2215 Raggio Pkwy, Reno, NV 89512 USA.</t>
  </si>
  <si>
    <t>alison.murray@dri.edu</t>
  </si>
  <si>
    <t>Kenig, Fabien/A-4961-2008; Schallenberg, Christina/N-4187-2017; Bowie, Andrew/C-8677-2013; Proemse, Bernadette/N-8956-2017; Edwards, Ross/B-1433-2013</t>
  </si>
  <si>
    <t>Schallenberg, Christina/0000-0002-3073-7500; Bowie, Andrew/0000-0002-5144-7799; Wieser, Michael/0000-0002-1037-0772; Proemse, Bernadette/0000-0002-6630-6892; Edwards, Ross/0000-0002-9233-8775</t>
  </si>
  <si>
    <t>National Science Foundation [ANT-0739681, ANT-0739698]; NSF Geobiology and Low Temperature Geochemistry program [1053432, 1348935]; DOE Great Lakes Bioenergy Research Center (DOE Office of Science) [BER DE-FCO2-07ER64494]; NASA-NASA Astrobiology Institutes Icy Worlds; Water and Astrobiology at the University of Hawaii; National Science Foundation McMurdo LTER Award [ANT-1041742]; Directorate For Geosciences; Division Of Earth Sciences [1348935] Funding Source: National Science Foundation; Division Of Earth Sciences; Directorate For Geosciences [1053432, 1456430] Funding Source: National Science Foundation</t>
  </si>
  <si>
    <t>National Science Foundation(National Science Foundation (NSF)); NSF Geobiology and Low Temperature Geochemistry program(National Science Foundation (NSF)NSF - Directorate for Geosciences (GEO)); DOE Great Lakes Bioenergy Research Center (DOE Office of Science)(United States Department of Energy (DOE)); NASA-NASA Astrobiology Institutes Icy Worlds; Water and Astrobiology at the University of Hawaii; National Science Foundation McMurdo LTER Award(National Science Foundation (NSF)); Directorate For Geosciences; Division Of Earth Sciences(National Science Foundation (NSF)NSF - Directorate for Geosciences (GEO)); Division Of Earth Sciences; Directorate For Geosciences(National Science Foundation (NSF)NSF - Directorate for Geosciences (GEO))</t>
  </si>
  <si>
    <t>Financial support for this research is gratefully acknowledged from National Science Foundation Awards ANT-0739681 (to A.E.M.) and ANT-0739698 (to P.T.D. and F.K.). N.E.O. gratefully acknowledges support from the NSF Geobiology and Low Temperature Geochemistry program (Grants 1053432 and 1348935). This work was also funded in part by the DOE Great Lakes Bioenergy Research Center (DOE Office of Science BER DE-FCO2-07ER64494) to N.E.O. Additional support was provided by NASA-NASA Astrobiology Institutes Icy Worlds (to A.E.M.) and Water and Astrobiology at the University of Hawaii (to B.T.G.). Lastly, the National Science Foundation McMurdo LTER Award (ANT-1041742, to P.T.D.) supported the Lake Hoare voltammetry research.</t>
  </si>
  <si>
    <t>0168-2563</t>
  </si>
  <si>
    <t>1573-515X</t>
  </si>
  <si>
    <t>Biogeochemistry</t>
  </si>
  <si>
    <t>10.1007/s10533-017-0346-5</t>
  </si>
  <si>
    <t>Environmental Sciences; Geosciences, Multidisciplinary</t>
  </si>
  <si>
    <t>FB5OI</t>
  </si>
  <si>
    <t>WOS:000406191000003</t>
  </si>
  <si>
    <t>Park, KM; Jung, JH; Min, GS; Kim, S</t>
  </si>
  <si>
    <t>Park, Kyung-Min; Jung, Jae-Ho; Min, Gi-Sik; Kim, Sanghee</t>
  </si>
  <si>
    <t>Pseudonotohymena antarctica n. g., n. sp (Ciliophora, Hypotricha), a New Species from Antarctic Soil</t>
  </si>
  <si>
    <t>JOURNAL OF EUKARYOTIC MICROBIOLOGY</t>
  </si>
  <si>
    <t>18S phylogeny; cell division; ciliary pattern; Dorsomarginalia; morphology; taxonomy</t>
  </si>
  <si>
    <t>MOLECULAR PHYLOGENY; GEN. NOV.; MORPHOGENESIS; PROTOZOA; SEQUENCES; TAXONOMY; ECOLOGY; CILIATE</t>
  </si>
  <si>
    <t>A new soil ciliate, Pseudonotohymena antarctica n. g., n. sp., from King George Island, Antarctica, is described based on live observation, protargol impregnation, and its 18S rRNA gene. The new genus Pseudonotohymena is morphologically similar to the genus Notohymena Blatterer and Foissner in the following characteristics: 18 fronto-ventral-transverse cirri, a flexible body, undulating membranes, dorsomarginal kineties, and the number of cirri in the marginal rows. However, Pseudonotohymena differs from Notohymena particularly in the dorsal ciliature, that is, in possessing a nonfragmented dorsal kinety (vs. fragmented). In addition, the molecular phylogenetic relationship of the new species differs from that of Notohymena species. On the basis of the morphological features, the genetic data, and morphogenesis, we establish P.antarctica n. g., n. sp. In addition, the cyst morphology of this species is described.</t>
  </si>
  <si>
    <t>[Park, Kyung-Min; Jung, Jae-Ho; Kim, Sanghee] Korea Polar Res Inst, Div Life Sci, Incheon 21990, South Korea; [Park, Kyung-Min; Min, Gi-Sik] Inha Univ, Dept Biol Sci, Incheon 22212, South Korea; [Jung, Jae-Ho] Gangneung Wonju Natl Univ, Dept Biol, Kangnung 25457, South Korea</t>
  </si>
  <si>
    <t>Korea Polar Research Institute (KOPRI); Inha University; Kangnung Wonju National University</t>
  </si>
  <si>
    <t>Kim, S (corresponding author), Korea Polar Res Inst, Div Life Sci, Incheon 21990, South Korea.</t>
  </si>
  <si>
    <t>sangheekim@kopri.re.kr</t>
  </si>
  <si>
    <t>Jung, Jae-Ho/L-2849-2016</t>
  </si>
  <si>
    <t>Jung, Jae-Ho/0000-0001-5497-8678</t>
  </si>
  <si>
    <t>Korea Polar Research Institute [PE16020, PM15050]</t>
  </si>
  <si>
    <t>The authors wish to thank E. Potvin for assistance. This study was supported by the Korea Polar Research Institute (research grant PE16020 and PM15050). The authors also want to thank two anonymous reviewers and the associate editor for useful comments which improved the paper significantly.</t>
  </si>
  <si>
    <t>1066-5234</t>
  </si>
  <si>
    <t>1550-7408</t>
  </si>
  <si>
    <t>J EUKARYOT MICROBIOL</t>
  </si>
  <si>
    <t>J. Eukaryot. Microbiol.</t>
  </si>
  <si>
    <t>10.1111/jeu.12381</t>
  </si>
  <si>
    <t>FB4HI</t>
  </si>
  <si>
    <t>WOS:000406102000004</t>
  </si>
  <si>
    <t>Samui, G; Antony, R; Mahalinganathan, K; Thamban, M</t>
  </si>
  <si>
    <t>Samui, Gautami; Antony, Runa; Mahalinganathan, Kanthanathan; Thamban, Meloth</t>
  </si>
  <si>
    <t>Spatial variability and possible sources of acetate and formate in the surface snow of East Antarctica</t>
  </si>
  <si>
    <t>JOURNAL OF ENVIRONMENTAL SCIENCES</t>
  </si>
  <si>
    <t>Monocarboxylate ions; Snowpack; Antarctica</t>
  </si>
  <si>
    <t>LIGHT CARBOXYLIC-ACIDS; SAO-PAULO CITY; DEEP ICE-CORE; ACETIC-ACIDS; ORGANIC-MATTER; ION CHROMATOGRAPHY; CARBONYL-COMPOUNDS; HYDROGEN-PEROXIDE; URBAN ATMOSPHERE; BOUNDARY-LAYER</t>
  </si>
  <si>
    <t>Spatial trends of acetate (Ac-) and formate (Fo(-)) were determined in surface snow samples along a coastal(-)inland transect (180 km) in the ice cap region at Princess Elizabeth Land and along a coastal transect in the Amery Ice Shelf (130 km), East Antarctica. Variations in both AC(-) and Fo(-) seem to be unrelated to the acidity of snow. Ionic balance determined for the snow samples indicate the availability of HNO3 that could undergo photolysis to produce hydroxyl radical (OH), one of the major reactants involved in oxidation reactions with organic matter. The strong positive correlations between AC(-) and NO3- in snow from both regions indicate that N% mediated OH-oxidation of organic compounds in snow could be an important source of AC(-) within the snowpack. On the other hand, negative correlation between Fo(-) and NO3- might indicate that sources other than O-H-oxidation of organic matter may be dominant in the case of Fo(-). Higher AC(-) concentrations in the ice cap compared to the ice shelf correspond with long-range transport of biomass burning emissions to the ice cap region. Interaction of AC(-) and Fo(-) with alkaline minerals could lead to their stability in the snowpack and minimize their loss from the snow surface. Resident microbial communities could also influence the budget of the carboxylic acids in snow. (C) 2017 The Research Center for Eco-Environmental Sciences, Chinese Academy of Sciences. Published by Elsevier B.V.</t>
  </si>
  <si>
    <t>[Samui, Gautami; Antony, Runa; Mahalinganathan, Kanthanathan; Thamban, Meloth] Natl Ctr Antarct &amp; Ocean Res, Vasco Da Gama 403804, Goa, India</t>
  </si>
  <si>
    <t>Samui, G (corresponding author), Natl Ctr Antarct &amp; Ocean Res, Vasco Da Gama 403804, Goa, India.</t>
  </si>
  <si>
    <t>gautami@ncaor.gov.in</t>
  </si>
  <si>
    <t>Samui, Gautami/AGM-8337-2022</t>
  </si>
  <si>
    <t>Samui, Gautami/0000-0001-5869-5296; Thamban, Meloth/0000-0003-3379-8189; Kanthanathan, Mahalinganathan/0000-0003-3407-3972; Antony, Runa/0000-0003-4829-4207</t>
  </si>
  <si>
    <t>National Centre for Antarctic and Ocean Research; Ministry of Earth Sciences</t>
  </si>
  <si>
    <t>We thank the director of National Centre for Antarctic and Ocean Research for his encouragement and the Ministry of Earth Sciences for financial support. We are grateful for the support from the members and logistic crew of the 28th and 33rd Indian Scientific Expedition to Antarctica. B.L. Redkar, Ashish Painginkar and Riya Naik are thanked for laboratory support. Many thanks to Dr. Rahul Mohan for extending the facility for epifluorescence microscopy and to Sahina Gazi for help with scanning electron microscopy. We thank the Norwegian Polar Institute for the Quantarctica QGIS package. This is NCAOR contribution no. 06/2017.</t>
  </si>
  <si>
    <t>1001-0742</t>
  </si>
  <si>
    <t>1878-7320</t>
  </si>
  <si>
    <t>J ENVIRON SCI-CHINA</t>
  </si>
  <si>
    <t>J. Environ. Sci.</t>
  </si>
  <si>
    <t>JUL 1</t>
  </si>
  <si>
    <t>10.1016/j.jes.2017.02.003</t>
  </si>
  <si>
    <t>FB2KL</t>
  </si>
  <si>
    <t>WOS:000405972600028</t>
  </si>
  <si>
    <t>Hamilton, V; Evans, K; Hindell, MA</t>
  </si>
  <si>
    <t>Hamilton, Vicki; Evans, Karen; Hindell, Mark A.</t>
  </si>
  <si>
    <t>From the forests to teeth: Visual crossdating to refine age estimates in marine mammals</t>
  </si>
  <si>
    <t>GROWTH; DOLPHINS; TREE; VALIDATION; STENELLA; PACIFIC; LAYERS</t>
  </si>
  <si>
    <t>[Hamilton, Vicki; Evans, Karen; Hindell, Mark A.] Univ Tasmania, Inst Marine &amp; Antarctic Studies, Private Bag 129, Hobart, Tas 7001, Australia; [Evans, Karen] CSIRO Oceans &amp; Atmosphere, GPO Box 1538, Hobart, Tas 7001, Australia</t>
  </si>
  <si>
    <t>University of Tasmania; Commonwealth Scientific &amp; Industrial Research Organisation (CSIRO)</t>
  </si>
  <si>
    <t>Hamilton, V (corresponding author), Univ Tasmania, Inst Marine &amp; Antarctic Studies, Private Bag 129, Hobart, Tas 7001, Australia.</t>
  </si>
  <si>
    <t>vicki.hamilton@utas.edu.au</t>
  </si>
  <si>
    <t>Hindell, Mark A/K-1131-2013; evans, karen/D-7110-2012</t>
  </si>
  <si>
    <t>Evans, Karen/0000-0003-2205-4264; Hindell, Mark/0000-0002-7823-7185</t>
  </si>
  <si>
    <t>Winifred Violet Scott Charitable Trust; Australian Geographic Society</t>
  </si>
  <si>
    <t>This research was supported by funding from the Winifred Violet Scott Charitable Trust and the Australian Geographic Society. Sperm whale tooth samples were provided by the Department of Primary Industries, Parks, Water and Environment (DPIPWE) Tasmania under permit FA 12276. Kris Carlyon (DPIPWE) is thanked for assistance and access to samples. Sam Thalmann (DPIPWE) is acknowledged for contributing to the preparation of sperm whale teeth. We also thank the Associate Editor, three anonymous reviewers, and Christopher Underwood for helpful comments on an earlier version of this manuscript.</t>
  </si>
  <si>
    <t>10.1111/mms.12392</t>
  </si>
  <si>
    <t>FB3YJ</t>
  </si>
  <si>
    <t>WOS:000406078400011</t>
  </si>
  <si>
    <t>Two Novel Bioactive Peptides from Antarctic Krill with Dual Angiotensin Converting Enzyme and Dipeptidyl Peptidase IV Inhibitory Activities</t>
  </si>
  <si>
    <t>JOURNAL OF FOOD SCIENCE</t>
  </si>
  <si>
    <t>ACE; dual inhibitory peptides; DPP-IV; purification; TOF-MS/MS</t>
  </si>
  <si>
    <t>SALMON SALMO-SALAR; SKIN GELATIN; GLYCEMIC CONTROL; EGG-WHITE; PROTEIN; IDENTIFICATION; PURIFICATION; HYPERTENSION; ANTIOXIDANT; HYDROLYSATE</t>
  </si>
  <si>
    <t>Inhibition of dipeptidyl peptidase IV (DPP-IV) and angiotensin converting enzyme (ACE) are considered useful in managing 2 often associated conditions: diabetes and hypertension. In this study, corolase PP was used to hydrolyze Antarctic krill protein. The hydrolysate (AKH) was isolated by ultrafiltration and purified by size-exclusion chromatography, ion exchange chromatography and reversed-phase high-performance liquid chromatography (RP-HPLC) sequentially. The in vitro inhibitory activities of all AKHs and several fractions obtained against ACE and DPP-IV were assessed. Two peptides, purified with dual-strength inhibitory activity against ACE and DPP-IV, were identified by TOF-MS/MS. Results indicated that not all fractions exhibited dual inhibitory activities of ACE and DPP-IV. The purified peptide Lys-Val-Glu-Pro-Leu-Pro had half-maximal inhibitory concentrations (IC50) of 0.93 +/- 0.05 and 0.73 +/- 0.04 mg/mL against ACE and DPP-IV, respectively. The other peptide Pro-Ala-Leu had IC50 values of 0.64 +/- 0.05 and 0.88 +/- 0.03 mg/mL against ACE and DPP-IV, respectively. This study firstly reported the sequences of dual bioactive peptides from Antarctic krill proteins, further provided new insights into the bioactive peptides responsible for the ACE and DPP-IV inhibitory activities from the Antarctic krill protein hydrolysate to manage hypertension and diabetes.</t>
  </si>
  <si>
    <t>[Ji, Wei; Zhang, Chaohua; Ji, Hongwu] Guangdong Ocean Univ, Coll Food Sci &amp; Technol, Zhanjiang, Peoples R China; [Zhang, Chaohua; Ji, Hongwu] Guangdong Prov Key Lab Aquat Prod Proc &amp; Safety, Zhanjiang, Peoples R China; [Zhang, Chaohua; Ji, Hongwu] Guangdong Higher Educ Inst, Key Lab Adv Proc Aquat Prod, Zhanjiang, Peoples R China; [Zhang, Chaohua] South China Sea Bioresource Exploitat &amp; Utilizat, Guangzhou, Guangdong, Peoples R China</t>
  </si>
  <si>
    <t>Zhang, CH (corresponding author), Guangdong Ocean Univ, Coll Food Sci &amp; Technol, Zhanjiang, Peoples R China.;Zhang, CH (corresponding author), Guangdong Prov Key Lab Aquat Prod Proc &amp; Safety, Zhanjiang, Peoples R China.;Zhang, CH (corresponding author), Guangdong Higher Educ Inst, Key Lab Adv Proc Aquat Prod, Zhanjiang, Peoples R China.;Zhang, CH (corresponding author), South China Sea Bioresource Exploitat &amp; Utilizat, Guangzhou, Guangdong, Peoples R China.</t>
  </si>
  <si>
    <t>zhangch2@139.com</t>
  </si>
  <si>
    <t>吉, 薇/GYA-0792-2022; Zhang, Chaoyang/JPK-5044-2023; zhang, chao/HTO-2468-2023; zhang, chao/IXD-9965-2023</t>
  </si>
  <si>
    <t>Modern Agroindustry Technology Research System of China [CARS-47]; Disciplinary Construction Project of Institutions of Higher Learning in Guangdong Province [2013CXZDA020]; Guangdong Ocean Univ. Strong School Innovation Fund Project [Q14202]; Industry-University Research Cooperation Project in Guangdong Province [2013B090600155]</t>
  </si>
  <si>
    <t>Modern Agroindustry Technology Research System of China; Disciplinary Construction Project of Institutions of Higher Learning in Guangdong Province; Guangdong Ocean Univ. Strong School Innovation Fund Project; Industry-University Research Cooperation Project in Guangdong Province</t>
  </si>
  <si>
    <t>This research program was co-supported by the Modern Agroindustry Technology Research System of China (No. CARS-47); Disciplinary Construction Project of Institutions of Higher Learning in Guangdong Province (No. 2013CXZDA020); Guangdong Ocean Univ. Strong School Innovation Fund Project (No. Q14202) and Industry-University Research Cooperation Project in Guangdong Province (No. 2013B090600155).</t>
  </si>
  <si>
    <t>0022-1147</t>
  </si>
  <si>
    <t>1750-3841</t>
  </si>
  <si>
    <t>J FOOD SCI</t>
  </si>
  <si>
    <t>J. Food Sci.</t>
  </si>
  <si>
    <t>10.1111/1750-3841.13735</t>
  </si>
  <si>
    <t>FA6AO</t>
  </si>
  <si>
    <t>WOS:000405525900032</t>
  </si>
  <si>
    <t>Vásquez-Ponce, F; Higuera-Llantén, S; Pavlov, MS; Ramírez-Orellana, R; Marshall, SH; Olivares-Pacheco, J</t>
  </si>
  <si>
    <t>Vasquez-Ponce, Felipe; Higuera-Llanten, Sebastian; Soledad Pavlov, Maria; Ramirez-Orellana, Ramon; Marshall, Sergio H.; Olivares-Pacheco, Jorge</t>
  </si>
  <si>
    <t>Alginate overproduction and biofilm formation by psychrotolerant Pseudomonas mandelii depend on temperature in Antarctic marine sediments</t>
  </si>
  <si>
    <t>ELECTRONIC JOURNAL OF BIOTECHNOLOGY</t>
  </si>
  <si>
    <t>Alginate operon; Alginate synthesis; Alginate-producing organisms; Applications; Biotechnological resources; Brown algae; Environmental bacteria; Exopolysaccharide matrix; Gels; Linear polysaccharides; Survival strategies</t>
  </si>
  <si>
    <t>AERUGINOSA BIOFILMS; SP-NOV.; PHYLOGENETIC ANALYSIS; CYSTIC-FIBROSIS; GROWTH-RATE; BACTERIA; GENES; RESISTANCE; EXPRESSION; TOLERANCE</t>
  </si>
  <si>
    <t>Background: In recent years, Antarctica has become a key source of biotechnological resources. Native microorganisms have developed a wide range of survival strategies to adapt to the harsh Antarctic environment, including the formation of biofilms. Alginate is the principal component of the exopolysaccharide matrix in biofilms produced by Pseudomonas, and this component is highly demanded for the production of a wide variety of commercial products. There is a constant search for efficient alginate-producing organisms. Results: In this study, a novel strain of Pseudomonas mandelii isolated from Antarctica was characterized and found to overproduce alginate compared with other good alginate producers such as Pseudomonas aeruginosa and Pseudomonas fluorescens. Alginate production and expression levels of the alginate operon were highest at 4 degrees C. It is probable that this alginate-overproducing phenotype was the result of downregulated MucA, an anti-sigma factor of AlgU. Conclusion: Because biofilm formation is an efficient bacterial strategy to overcome stressful conditions, alginate overproduction might represent the best solution for the successful adaptation of P. mandelii to the extreme temperatures of the Antarctic. Through additional research, it is possible that this novel P. mandelii strain could become an additional source for biotechnological alginate production. (C) 2017 Pontificia Universidad Catilica de Valparaiso. Production and hosting by Elsevier B.V. All rights reserved. This is an open access article under the CC BY-NC-ND license.</t>
  </si>
  <si>
    <t>[Vasquez-Ponce, Felipe; Higuera-Llanten, Sebastian; Soledad Pavlov, Maria; Ramirez-Orellana, Ramon; Marshall, Sergio H.; Olivares-Pacheco, Jorge] Pontificia Univ Catolica Valparaiso, Lab Genet &amp; Inmunol Mol, Inst Biol, Fac Ciencias, Avda Univ 330,Campus Curauma, Valparaiso, Chile; [Ramirez-Orellana, Ramon; Marshall, Sergio H.] Fdn Syst Biotechnol, Fraunhofer Chile Res, Mariano Sanchez Fontecilla 310, Santiago, Chile</t>
  </si>
  <si>
    <t>Pontificia Universidad Catolica de Valparaiso</t>
  </si>
  <si>
    <t>Olivares-Pacheco, J (corresponding author), Pontificia Univ Catolica Valparaiso, Lab Genet &amp; Inmunol Mol, Inst Biol, Fac Ciencias, Avda Univ 330,Campus Curauma, Valparaiso, Chile.</t>
  </si>
  <si>
    <t>jorge.olivares@pucv.cl</t>
  </si>
  <si>
    <t>Vasquez-Ponce, Felipe/AAA-1195-2022; Pacheco, Jorge Olivares/M-7714-2017</t>
  </si>
  <si>
    <t>Vasquez-Ponce, Felipe/0000-0002-9447-8325; Pacheco, Jorge Olivares/0000-0002-6841-7182; marshall, sergio/0000-0003-0438-8252; Ramirez, Ramon/0009-0002-2973-3008</t>
  </si>
  <si>
    <t>Direccion de Investigacion, Pontificia Universidad Catolica de Valparaiso Project [DI 037.431/2015]; INACH Project doctorado [DT_02-13]; beca de mantencion de postgrado, Vice-rectoria de Investigacion y Estudios Avanzados, Pontificia Universidad Catolica de Valparaiso</t>
  </si>
  <si>
    <t>Direccion de Investigacion, Pontificia Universidad Catolica de Valparaiso Project; INACH Project doctorado; beca de mantencion de postgrado, Vice-rectoria de Investigacion y Estudios Avanzados, Pontificia Universidad Catolica de Valparaiso</t>
  </si>
  <si>
    <t>This work was supported by the Direccion de Investigacion, Pontificia Universidad Catolica de Valparaiso Project DI 037.431/2015 and the INACH Project doctorado DT_02-13. RR was supported by beca de mantencion de postgrado, Vice-rectoria de Investigacion y Estudios Avanzados, Pontificia Universidad Catolica de Valparaiso.</t>
  </si>
  <si>
    <t>0717-3458</t>
  </si>
  <si>
    <t>ELECTRON J BIOTECHN</t>
  </si>
  <si>
    <t>Electron. J. Biotechnol.</t>
  </si>
  <si>
    <t>10.1016/j.ejbt.2017.05.001</t>
  </si>
  <si>
    <t>FA5KX</t>
  </si>
  <si>
    <t>WOS:000405483200005</t>
  </si>
  <si>
    <t>Thomalla, S; Kean, E; Lucas, M; Gibberd, MJ; Barlow, R</t>
  </si>
  <si>
    <t>Thomalla, S.; Kean, E.; Lucas, M.; Gibberd, M-J; Barlow, R.</t>
  </si>
  <si>
    <t>Photosynthesis versus irradiance relationships in the Atlantic sector of the Southern Ocean</t>
  </si>
  <si>
    <t>AFRICAN JOURNAL OF MARINE SCIENCE</t>
  </si>
  <si>
    <t>chlorophyll concentration; marine primary production; photosynthetic parameters; primary-production model; principal components analysis</t>
  </si>
  <si>
    <t>NATURAL IRON FERTILIZATION; EXPORT EXPERIMENT CROZEX; PHYTOPLANKTON GROWTH; PRIMARY PRODUCTIVITY; ROSS SEA; NUTRIENT LIMITATION; EQUATORIAL PACIFIC; LIGHT INTERACTIONS; USE EFFICIENCIES; NITROGEN UPTAKE</t>
  </si>
  <si>
    <t>Eleven incubation experiments were conducted in the South Atlantic sector of the Southern Ocean to investigate the relationship between new production (rho NO3-), regenerated production (rho NH4+), and total carbon production (rho C) as a function of varying light. The results show substantial variability in the photosynthesis-irradiance (P vs E) parameters, with phytoplankton communities at stations that were considered iron (Fe)-limited showing low maximum photosynthetic capacity (P-max(B)) and low quantum efficiency of photosynthesis (alpha(B)) for rho NO3, but high P-max(B) and alpha(B) for rho NH4, with consequently low export efficiency. Results at stations likely relieved of Fe stress (associated with shallow bathymetry and the marginal ice zone) showed the highest rates of P-max(B) and alpha(B) for rho NO3 and rho C. To establish the key factors influencing the variability of the photosynthetic parameters, a principal components analysis was performed on P vs E parameters, using surface temperature, chlorophyll-a concentration, ambient nutrients, and an index for community size structure. Strong covariance between ambient nitrate (NO3) and alpha(B) for rho NO3 suggests that Fe and possibly light co-limitation affects the ability of phytoplankton in the region to access the surplus NO3 reservoir. However, the observed relationships between community structure and the P vs E parameters suggest superior performance by smaller-sized cells, in terms of resource acquisition and Fe limitation, as the probable driver of smaller-celled phytoplankton communities that have reduced photosynthetic efficiency and which require higher light intensities to saturate uptake. A noticeable absence in covariances between chlorophyll-a and alpha(B), between P-max(B) and alpha(B), and between temperature and alpha(B) may have important implications for primary-production models, although the absence of some expected relationships may be a consequence of the small dataset and low range of variability. However, significant relationships were observed between ambient NO3 and alpha(B) for rho NO3, and between the light-saturation parameter E-k for rho NO3 and the phytoplankton community's size structure, which imply that Fe and light co-limitation drives access to the surplus NO3 reservoir and that larger-celled communities are more efficient at fixing NO3 in low light conditions. Although the mean P-max(B) results for rho C were consistent with estimates of global production from satellite chlorophyll measurements, the range of variability was large. These results highlight the need for more-advanced primary-production models that take into account a diverse range of environmental and seasonal drivers of photosynthetic responses.</t>
  </si>
  <si>
    <t>[Thomalla, S.] CSIR, Ocean Syst &amp; Climate Grp, Stellenbosch, South Africa; [Thomalla, S.; Barlow, R.] Univ Cape Town, Dept Oceanog, Cape Town, South Africa; [Kean, E.; Lucas, M.; Gibberd, M-J; Barlow, R.] Univ Cape Town, Dept Biol Sci, Cape Town, South Africa; [Barlow, R.] Bayworld Ctr Res &amp; Educ, Cape Town, South Africa; [Barlow, R.] Univ Cape Town, Marine Res Inst, Cape Town, South Africa</t>
  </si>
  <si>
    <t>Council for Scientific &amp; Industrial Research (CSIR) - South Africa; University of Cape Town; University of Cape Town; University of Cape Town</t>
  </si>
  <si>
    <t>Thomalla, S (corresponding author), CSIR, Ocean Syst &amp; Climate Grp, Stellenbosch, South Africa.;Thomalla, S (corresponding author), Univ Cape Town, Dept Oceanog, Cape Town, South Africa.</t>
  </si>
  <si>
    <t>sandy.thomalla@gmail.com</t>
  </si>
  <si>
    <t>Thomalla, Sandy/AAS-4133-2021</t>
  </si>
  <si>
    <t>National Research Foundation (NRF), a CSIR [SNA2011112600001]; European Commission Seventh Framework Programme [265294]</t>
  </si>
  <si>
    <t>National Research Foundation (NRF), a CSIR; European Commission Seventh Framework Programme(European Union (EU)European Commission Joint Research Centre)</t>
  </si>
  <si>
    <t>We thank the South African National Antarctic Programme (SANAP) and the captain, officers and crew of the RS Agulhas for their invaluable assistance in completing the survey. This work was made possible through the Southern Ocean Carbon and Climate Observatory (SOCCO) at the Centre for Scientific and Industrial Research (CSIR), and was partially funded by the National Research Foundation (NRF), a CSIR Parliamentary Grant (SNA2011112600001), and the European Commission Seventh Framework Programme through the GreenSeas Collaborative Project (265294 FP7-ENV-2010).</t>
  </si>
  <si>
    <t>NATL INQUIRY SERVICES CENTRE PTY LTD</t>
  </si>
  <si>
    <t>GRAHAMSTOWN</t>
  </si>
  <si>
    <t>19 WORCESTER STREET, PO BOX 377, GRAHAMSTOWN 6140, SOUTH AFRICA</t>
  </si>
  <si>
    <t>1814-232X</t>
  </si>
  <si>
    <t>1814-2338</t>
  </si>
  <si>
    <t>AFR J MAR SCI</t>
  </si>
  <si>
    <t>Afr. J. Mar. Sci.</t>
  </si>
  <si>
    <t>10.2989/1814232X.2017.1303399</t>
  </si>
  <si>
    <t>FA4LX</t>
  </si>
  <si>
    <t>WOS:000405415900004</t>
  </si>
  <si>
    <t>Zhu, W; Zhang, H; Meng, Q; Wang, ML; Zhou, GL; Li, X; Wang, HT; Miao, L; Qin, QL; Zhang, JH</t>
  </si>
  <si>
    <t>Zhu, Wei; Zhang, Huan; Meng, Qian; Wang, Menglong; Zhou, Guiling; Li, Xuan; Wang, Hongtuo; Miao, Lin; Qin, Qilian; Zhang, Jihong</t>
  </si>
  <si>
    <t>Metabolic insights into the cold survival strategy and overwintering of the common cutworm, Spodoptera litura (Fabricius) (Lepidoptera: Noctuidae)</t>
  </si>
  <si>
    <t>JOURNAL OF INSECT PHYSIOLOGY</t>
  </si>
  <si>
    <t>Cold-hardiness; Glycometabolism; Metabolic shift; Metabolomics; Overwinter</t>
  </si>
  <si>
    <t>F LEPIDOPTERA; JUVENILE-HORMONE; MOLECULAR-MECHANISMS; EUROSTA-SOLIDAGINIS; FREEZE TOLERANCE; ANTARCTIC MIDGE; FLESH FLY; DROSOPHILA; HARDINESS; STRESS</t>
  </si>
  <si>
    <t>The common cutworm, Spodoptera litura (Fabricius) (Lepidoptera: Noctuidae), is a destructive pest in Asia. Although overwintering in the field has not been reported for this species, their larvae are capable of long-term survival in fluctuating temperatures, i.e., 5 degrees C (12 h) plus 13 degrees C (12 h), if food is available. With an increase in climate change due to global warming and the widespread use of greenhouses, further understanding of their cold survival strategy is needed to predict and control their population in the future. In this study, metabolomics was performed to analyze the metabolic features of S. litura larvae exposed to two typical low temperatures: 15 degrees C and 4 degrees C, at which the development, locomotion and feeding activities are maintained or halted, respectively. The results showed that the strategies that regulate lipid and amino acid metabolism were similar at 15 degrees C and 4 degrees C. Cold exposure induced a metabolic shift of energy from carbohydrate to lipid and decreased free amino acids level. Biosynthesis likely contributed to the decrease in amino acids levels even at 4 C, a non feeding temperature, suggesting an insufficient suppression of anabolism. This explains why food and high temperature pulses are necessary for their long-term cold survival. Glycometabolism was different between 15 C and 4 degrees C. Carbohydrates were used rapidly at 15 degrees C, while trehalose accumulated at 4 degrees C. Interestingly, abundant trehalose and serine are prominent features of Spodoptera exigua larvae, an overwintering species, when compared to S. litura larvae. Exposure to 4 degrees C also induced up-regulation of carbohydrase and protease in the guts of S. litura. Therefore, it is likely that concurrence of food supplement and fluctuating temperatures could facilitate the cold survival of S. litura larvae. We also found that exposure to 4 degrees C could activate the mevalonate pathway in S. litura larvae, which might be related to glycometabolism at 4 degrees C. Overall, our study describes systematically the responses of a cold susceptible insect, S. litura, to low temperatures and explains how fluctuating temperatures facilitate their long-term cold survival indicating the possibility for overwintering of S. litura larvae with global warming and agricultural reforms.</t>
  </si>
  <si>
    <t>[Zhu, Wei; Zhang, Huan; Meng, Qian; Wang, Menglong; Zhou, Guiling; Li, Xuan; Wang, Hongtuo; Miao, Lin; Qin, Qilian; Zhang, Jihong] Chinese Acad Sci, Inst Zool, State Key Lab Integrated Management Pest Insects, Beijing 100101, Peoples R China; [Zhu, Wei] Chinese Acad Sci, Chengdu Inst Biol, Dept Herpetol, Chengdu 610041, Peoples R China; [Meng, Qian] Chinese Acad Sci, China Univ, Beijing 10049, Peoples R China</t>
  </si>
  <si>
    <t>Chinese Academy of Sciences; Institute of Zoology, CAS; Chinese Academy of Sciences; Chengdu Institute of Biology, CAS; Chinese Academy of Sciences</t>
  </si>
  <si>
    <t>Qin, QL; Zhang, JH (corresponding author), Chinese Acad Sci, Inst Zool, State Key Lab Integrated Management Pest Insects, Beijing 100101, Peoples R China.</t>
  </si>
  <si>
    <t>weiwei_super@126.com; zhanghuan@ioz.ac.cn; mengqian1037@163.com; wml881108@gmail.com; zhouguiling603@163.com; lix@ioz.ac.cn; wanght@ioz.ac.cn; miaolin@ioz.ac.cn; qinql@ioz.ac.cn; zhangjh@ioz.ac.cn</t>
  </si>
  <si>
    <t>National Nature Science Foundation of China [31272366]; National High Technology Research and Development Program of China [2011AA10A204]; State Key Laboratory of Integrated Management of Pest Insects and Rodents [Chinese IPM 1504]</t>
  </si>
  <si>
    <t>National Nature Science Foundation of China(National Natural Science Foundation of China (NSFC)); National High Technology Research and Development Program of China(National High Technology Research and Development Program of China); State Key Laboratory of Integrated Management of Pest Insects and Rodents</t>
  </si>
  <si>
    <t>We are grateful to Ms. Qingyun Zhu for her assistance with the insect rearing, and Ms. Lin Yang and Ms. Xiaowei Qin for their technical guidance on GC-MS. This research was supported by the National Nature Science Foundation of China (31272366), the National High Technology Research and Development Program of China (2011AA10A204) and State Key Laboratory of Integrated Management of Pest Insects and Rodents (Chinese IPM 1504).</t>
  </si>
  <si>
    <t>0022-1910</t>
  </si>
  <si>
    <t>1879-1611</t>
  </si>
  <si>
    <t>J INSECT PHYSIOL</t>
  </si>
  <si>
    <t>J. Insect Physiol.</t>
  </si>
  <si>
    <t>10.1016/j.jinsphys.2017.05.008</t>
  </si>
  <si>
    <t>Entomology; Physiology; Zoology</t>
  </si>
  <si>
    <t>FA0VT</t>
  </si>
  <si>
    <t>WOS:000405155400008</t>
  </si>
  <si>
    <t>Black, C; Rey, AR; Hart, T</t>
  </si>
  <si>
    <t>Black, Caitlin; Raya Rey, Andrea; Hart, Tom</t>
  </si>
  <si>
    <t>Peeking into the bleak midwinter: Investigating nonbreeding strategies of Gentoo Penguins using a camera network</t>
  </si>
  <si>
    <t>Antarctic; Gentoo Penguin; phenology; polar biology; Pygoscelis papua</t>
  </si>
  <si>
    <t>PYGOSCELIS-PAPUA; ADELIE PENGUINS; BECHERVAISE ISLAND; WINTER MIGRATION; BREEDING SUCCESS; CLIMATE-CHANGE; DIET; PREY</t>
  </si>
  <si>
    <t>When monitoring species with extensive ranges in harsh climates, comprehensive studies across a species' range are both logistically and technically challenging and therefore rare. Such scarcity in data collection is particularly true in the polar regions where sea ice and weather constraints prevent widespread access to sites for much of the year, specifically during winter. Penguins (Spheniscidae) show large variations in winter strategies with many species migrating long distances while others are distinctly sedentary, remaining at the colony year- round. However, in some species, their attendance at the breeding site during the nonbreeding winter period depends greatly on the colony location and environmental factors. Here we aim to examine fluctuations in winter attendance at the breeding site in Gentoo Penguins (Pygoscelis papua) along a latitudinal gradient of 7 sites, ranging from Martillo Island, a colony in Argentina, to Petermann Island, a colony located toward the southern edge of the species' range on the Western Antarctic Peninsula. We use an established network of cameras to observe winter populations of penguins across a large latitudinal gradient. This study provides the first evidence of across- year variation in Gentoo Penguin nonbreeding attendance at the breeding site. We found that both temporal and spatial factors drive winter attendance in this species with distinct patterns between years and colony locations, particularly at the edges of its range. Additionally, environmental and temporal factors, including sea ice extent directly offshore and photoperiod, appear to dictate Gentoo Penguin winter attendance across their range. As Gentoo Penguins are neither sedentary nor migratory during the nonbreeding period, understanding patterns in winter site occupation across time and space provides insight into half of the species' annual cycle and has important implications in the face of changes in climate, direct human disturbance, and fisheries activities.</t>
  </si>
  <si>
    <t>[Black, Caitlin; Hart, Tom] Univ Oxford, Dept Zool, Oxford, England; [Raya Rey, Andrea] Consejo Nacl Invest Cient &amp; Tecn, Ctr Austral Invest Cient CADIC, RA-9410 9410, Argentina</t>
  </si>
  <si>
    <t>University of Oxford; Consejo Nacional de Investigaciones Cientificas y Tecnicas (CONICET)</t>
  </si>
  <si>
    <t>Black, C (corresponding author), Univ Oxford, Dept Zool, Oxford, England.</t>
  </si>
  <si>
    <t>caitlin.black@lincoln.ox.ac.uk</t>
  </si>
  <si>
    <t>Raya Rey, Andrea/0000-0003-0127-6650; Black, Caitlin/0000-0001-9591-3571</t>
  </si>
  <si>
    <t>Darwin Initiative Challenge Fund; Darwin Plus grant; public donations on board Quark Expeditions Ltd</t>
  </si>
  <si>
    <t>This project was supported by a Darwin Initiative Challenge Fund and a Darwin Plus grant and by public donations on board Quark Expeditions Ltd.</t>
  </si>
  <si>
    <t>10.1642/AUK-16-69.1</t>
  </si>
  <si>
    <t>FA0BJ</t>
  </si>
  <si>
    <t>WOS:000405095500004</t>
  </si>
  <si>
    <t>Brigden, KE; Marshall, CT; Scott, BE; Young, EF; Brickle, P</t>
  </si>
  <si>
    <t>Brigden, K. E.; Marshall, C. T.; Scott, B. E.; Young, E. F.; Brickle, P.</t>
  </si>
  <si>
    <t>Interannual variability in reproductive traits of the Patagonian toothfish Dissostichus eleginoides around the sub-Antarctic island of South Georgia</t>
  </si>
  <si>
    <t>Dissostichus eleginoides; fisheries management; reproduction; Shag rocks; spawning; spawning dynamics</t>
  </si>
  <si>
    <t>EARLY-LIFE HISTORY; SPATIAL-DISTRIBUTION; KERGUELEN ISLANDS; FISHERY; FRONT; SMITT; RECRUITMENT; PATHWAYS; SECTOR; COMMON</t>
  </si>
  <si>
    <t>Commercial fisheries data, collected as part of an observer programme and covering the period 1997-2014, were utilized in order to define key reproductive traits and spawning dynamics of the Patagonian toothfish Dissostichus eleginoides at South Georgia. Multi-year spawning site fidelity of D. eleginoides was revealed through the identification of previously unknown spawning hotspots. Timing of female spawning was shown to have shifted later, leading to a shorter spawning duration. A decrease in length and mass of female and male spawning fish and a reduced number of large spawning fish was found, evidence of a change in size structure of spawning D. eleginoides. During the study period fewer later maturity stage females (including spawning stage) were observed in conjunction with increased proportions of early stage female D. eleginoides. The findings are discussed in the context of reproductive success, with consideration of the possible effects such spawning characteristics and behaviours may have on egg and larval survival. This work presents the first long-term assessment of D. eleginoides spawning dynamics at South Georgia and provides valuable knowledge for both the ecology of the species and for future fisheries management of this commercially important species.</t>
  </si>
  <si>
    <t>[Brigden, K. E.; Brickle, P.] South Atlantic Environm Res Inst, POB 609, Stanley Cottage FIQQ 1ZZ, Stanley, Falkland Island; [Brigden, K. E.; Marshall, C. T.; Scott, B. E.; Brickle, P.] Univ Aberdeen, Zool Bldg,Tillydrone Ave, Aberdeen AB24 2TZ, Scotland; [Young, E. F.] British Antarctic Survey, Madingley Rd, Cambridge CB3 0ET, England</t>
  </si>
  <si>
    <t>University of Aberdeen; UK Research &amp; Innovation (UKRI); Natural Environment Research Council (NERC); NERC British Antarctic Survey</t>
  </si>
  <si>
    <t>Brigden, KE (corresponding author), South Atlantic Environm Res Inst, POB 609, Stanley Cottage FIQQ 1ZZ, Stanley, Falkland Island.;Brigden, KE (corresponding author), Univ Aberdeen, Zool Bldg,Tillydrone Ave, Aberdeen AB24 2TZ, Scotland.</t>
  </si>
  <si>
    <t>katie.brigden@abdn.ac.uk</t>
  </si>
  <si>
    <t>Scott, Beth E/A-7617-2014; Marshall, C. Tara/I-7930-2014</t>
  </si>
  <si>
    <t>Scott, Beth E/0000-0001-5412-3952; Young, Emma/0000-0002-7069-6109; Brigden, Katie/0000-0001-5165-6024; Brickle, Paul/0000-0002-9870-3518</t>
  </si>
  <si>
    <t>Georgia Seafoods Ltd.; NERC [bas0100033] Funding Source: UKRI; Natural Environment Research Council [bas0100033] Funding Source: researchfish</t>
  </si>
  <si>
    <t>Georgia Seafoods Ltd.; NERC(UK Research &amp; Innovation (UKRI)Natural Environment Research Council (NERC)); Natural Environment Research Council(UK Research &amp; Innovation (UKRI)Natural Environment Research Council (NERC))</t>
  </si>
  <si>
    <t>This study was possible thanks to the generous support and funding from Georgia Seafoods Ltd. The work was carried out in association with project partners: the Government of South Georgia &amp; the South Sandwich Islands, and the British Antarctic Survey. The authors thank the captains, crew and on-board observers involved in longline fishing and data collection at sub-area 48.3 for the period 1997-2014. Thanks are extended to I. Marengo for advising on spatial statistics; M. Soeffker for early discussions on toothfish tagging work at South Georgia which highlighted potential spawning grounds; and also to M. Belchier and P. Brewin whose comments helped improve the manuscript.</t>
  </si>
  <si>
    <t>10.1111/jfb.13344</t>
  </si>
  <si>
    <t>FA2AM</t>
  </si>
  <si>
    <t>WOS:000405242900013</t>
  </si>
  <si>
    <t>Barthel, A; Hogg, AM; Waterman, S; Keating, S</t>
  </si>
  <si>
    <t>Barthel, Alice; Hogg, Andrew McC.; Waterman, Stephanie; Keating, Shane</t>
  </si>
  <si>
    <t>Jet-Topography Interactions Affect Energy Pathways to the Deep Southern Ocean</t>
  </si>
  <si>
    <t>TRANSPORT; EDDIES; LAYER</t>
  </si>
  <si>
    <t>In the Southern Ocean, strong eastward ocean jets interact with large topographic features, generating eddies that feed back onto the mean flow. Deep-reaching eddies interact with topography, where turbulent dissipation and generation of internal lee waves play an important role in the ocean's energy budget. However, eddy effects in the deep ocean are difficult to observe and poorly characterized. This study investigates the energy contained in eddies at depth, when an ocean jet encounters topography. This study uses a two-layer ocean model in which an imposed unstable jet encounters a topographic obstacle (either a seamount or a meridional ridge) in a configuration relevant to an Antarctic Circumpolar Current frontal jet. The authors find that the presence of topography increases the eddy kinetic energy (EKE) at depth but that the dominant processes generating this deep EKE depend on the shape and height of the obstacle as well as on the baroclinicity of the jet before it encounters topography. In cases with high topography, horizontal shear instability is the dominant source of deep EKE, while a flat bottom or a strongly sheared inflow leads to deep EKE being generated primarily through baroclinic instability. These results suggest that the deep EKE is set by an interplay between the inflowing jet properties and topography and imply that the response of deep EKE to changes in the Southern Ocean circulation is likely to vary across locations depending on the topography characteristics.</t>
  </si>
  <si>
    <t>[Barthel, Alice] Univ New South Wales, Climate Change Res Ctr, Sydney, NSW, Australia; [Barthel, Alice] Univ New South Wales, ARC Ctr Excellence Climate Syst Sci, Sydney, NSW, Australia; [Hogg, Andrew McC.] Australian Natl Univ, Res Sch Earth Sci, Canberra, ACT, Australia; [Hogg, Andrew McC.] Australian Natl Univ, ARC Ctr Excellence Climate Syst Sci, Canberra, ACT, Australia; [Waterman, Stephanie] Univ British Columbia, Dept Earth Ocean &amp; Atmospher Sci, Vancouver, BC, Canada; [Keating, Shane] Univ New South Wales, Sch Math &amp; Stat, Sydney, NSW, Australia</t>
  </si>
  <si>
    <t>University of New South Wales Sydney; ARC Centre of Excellence for Climate System Science; University of New South Wales Sydney; Australian National University; Australian National University; ARC Centre of Excellence for Climate System Science; University of British Columbia; University of New South Wales Sydney</t>
  </si>
  <si>
    <t>Barthel, A (corresponding author), Univ New South Wales, Climate Change Res Ctr, Sydney, NSW, Australia.;Barthel, A (corresponding author), Univ New South Wales, ARC Ctr Excellence Climate Syst Sci, Sydney, NSW, Australia.</t>
  </si>
  <si>
    <t>a.barthel@unsw.edu.au</t>
  </si>
  <si>
    <t>Barthel, Alice/AHE-2973-2022; Hogg, Andy McC./A-7553-2011; Hogg, Andy/AAZ-8733-2021; Keating, Shane/Y-4462-2019; Waterman, Stephanie/AAY-6033-2020</t>
  </si>
  <si>
    <t>Barthel, Alice/0000-0002-2481-8646; Hogg, Andy McC./0000-0001-5898-7635; Hogg, Andy/0000-0001-5898-7635; Keating, Shane/0000-0002-6817-925X; Waterman, Stephanie/0000-0001-5797-1092</t>
  </si>
  <si>
    <t>Centre of Excellence for Climate System Science, Australian Research Council (AU) [CE1101028]; Australian Research Council [DE120102927, FT120100842]; National Science and Engineering Research Council of Canada [22R23085]; UNSW Silverstar research grant; Australian Commonwealth Government; Australian Research Council [CE1101028, DE120102927, FT120100842] Funding Source: Australian Research Council</t>
  </si>
  <si>
    <t>Centre of Excellence for Climate System Science, Australian Research Council (AU); Australian Research Council(Australian Research Council); National Science and Engineering Research Council of Canada(Natural Sciences and Engineering Research Council of Canada (NSERC)); UNSW Silverstar research grant; Australian Commonwealth Government(Australian Government); Australian Research Council(Australian Research Council)</t>
  </si>
  <si>
    <t>The authors thank Aidan Heerdegen for his technical assistance in setting up the model as well as two anonymous reviewers who contributed to improve this manuscript. AB and AMH were supported by the Centre of Excellence for Climate System Science, Australian Research Council (AU) Grant CE1101028. AMH was also supported by an Australian Research Council Future Fellowship (FT120100842). SW gratefully acknowledges support from the Australian Research Council (DE120102927) and the National Science and Engineering Research Council of Canada (22R23085). SRK is supported by a UNSW Silverstar research grant. This research was undertaken on the NCI National Facility in Canberra, Australia, which is supported by the Australian Commonwealth Government.</t>
  </si>
  <si>
    <t>10.1175/JPO-D-16-0220.1</t>
  </si>
  <si>
    <t>WOS:000405111400018</t>
  </si>
  <si>
    <t>Turton, JV; Kirchgaessner, A; Ross, AN; King, JC</t>
  </si>
  <si>
    <t>Turton, J. V.; Kirchgaessner, A.; Ross, A. N.; King, J. C.</t>
  </si>
  <si>
    <t>Does high-resolution modelling improve the spatial analysis of fohn flow over the Larsen C Ice Shelf?</t>
  </si>
  <si>
    <t>WEATHER</t>
  </si>
  <si>
    <t>ANTARCTIC PENINSULA</t>
  </si>
  <si>
    <t>[Turton, J. V.; Kirchgaessner, A.; King, J. C.] British Antarctic Survey, Atmosphere Ice &amp; Climate, Cambridge, England; [Turton, J. V.; Ross, A. N.] Univ Leeds, Inst Climate &amp; Atmospher Sci, Leeds, W Yorkshire, England</t>
  </si>
  <si>
    <t>UK Research &amp; Innovation (UKRI); Natural Environment Research Council (NERC); NERC British Antarctic Survey; University of Leeds</t>
  </si>
  <si>
    <t>Turton, JV (corresponding author), British Antarctic Survey, Atmosphere Ice &amp; Climate, Cambridge, England.;Turton, JV (corresponding author), Univ Leeds, Inst Climate &amp; Atmospher Sci, Leeds, W Yorkshire, England.</t>
  </si>
  <si>
    <t>jenon73@bas.ac.uk</t>
  </si>
  <si>
    <t>Ross, Andrew N/D-9312-2011; Kirchgaessner, Amelie/JGL-9010-2023</t>
  </si>
  <si>
    <t>Ross, Andrew N/0000-0002-8631-3512; Kirchgaessner, Amelie/0000-0001-7483-3652; Turton, Jenny/0000-0003-0581-8293</t>
  </si>
  <si>
    <t>Natural Environment Research Council (NERC) [NE/G014124/1]; NERC [NE/L501633/1]; Natural Environment Research Council [1384071, bas0100032] Funding Source: researchfish; NERC [bas0100032] Funding Source: UKRI</t>
  </si>
  <si>
    <t>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 NERC(UK Research &amp; Innovation (UKRI)Natural Environment Research Council (NERC))</t>
  </si>
  <si>
    <t>The authors would like to acknowledge the Natural Environment Research Council (NERC) grant NE/G014124/1 'Orographic Flows and the Climate of the Antarctic Peninsula', and NERC funded studentship NE/L501633/1. AWS2 data were provided by the Institute for Marine and Atmospheric Research, University of Utrecht. We thank NCAR for giving us access to the AMPS forecast archives and the British Antarctic Survey staff at Rothera Research Station for field support.</t>
  </si>
  <si>
    <t>0043-1656</t>
  </si>
  <si>
    <t>1477-8696</t>
  </si>
  <si>
    <t>Weather</t>
  </si>
  <si>
    <t>10.1002/wea.3028</t>
  </si>
  <si>
    <t>FA0OI</t>
  </si>
  <si>
    <t>WOS:000405134800006</t>
  </si>
  <si>
    <t>Dias, MP; Oppel, S; Bond, AL; Carneiro, APB; Cuthbert, RJ; González-Solís, J; Wanless, RM; Glass, T; Lascelles, B; Small, C; Phillips, RA; Ryan, PG</t>
  </si>
  <si>
    <t>Dias, Maria P.; Oppel, Steffen; Bond, Alexander L.; Carneiro, Ana P. B.; Cuthbert, Richard J.; Gonzalez-Solis, Jacob; Wanless, Ross M.; Glass, Trevor; Lascelles, Ben; Small, Cleo; Phillips, Richard A.; Ryan, Peter G.</t>
  </si>
  <si>
    <t>Using globally threatened pelagic birds to identify priority sites for marine conservation in the South Atlantic Ocean</t>
  </si>
  <si>
    <t>Important bird and biodiversity areas; Marine Protected Areas; Seabirds; Threatened species; Tristan da Cunha</t>
  </si>
  <si>
    <t>PROTECTED AREAS; TRISTAN ALBATROSSES; SPATIAL SEGREGATION; LONGLINE FISHERIES; TRACKING SEABIRDS; SPECIES RICHNESS; PATTERNS; BYCATCH; MIGRATION; MPAS</t>
  </si>
  <si>
    <t>The Convention on Biological Diversity aspires to designate 10% of the global oceans as Marine Protected Areas (MPAs), but so far, few MPAs protect pelagic species in the high seas. Transparent scientific approaches are needed to ensure that these encompass areas with high biodiversity value. Here we used the distribution of all globally threatened seabirds breeding in a centrally located archipelago (Tristan da Cunha) to provide guidance on where MPAs could be established in the South Atlantic Ocean. We combined year-round tracking data from six species, and used the systematic conservation-planning tool, 'Zonation', to delineate areas that would protect the largest proportion of each population. The areas used most intensively varied among species and seasons. Combining the sites used by all six species suggested that the most important areas of the South Atlantic are located south of South Africa, around the central South Atlantic between 30 degrees S and 55 degrees S, and near South America. We estimated that the longline fishing effort in these intensively used areas is around 11 million hooks on average each year, highlighting the need for improved monitoring of seabird bycatch rates and the enforcement of compliance with bird bycatch mitigation requirements by fisheries. There was no overlap between the identified areas and any of the existing MPAs in the South Atlantic. The conservation of these highly mobile, pelagic species cannot be achieved by single countries, but requires a multi-national approach at an ocean-basin scale, such as an agreement for the conservation of biodiversity beyond national jurisdiction under the United Nation Convention on the Law of the Sea.</t>
  </si>
  <si>
    <t>[Dias, Maria P.; Carneiro, Ana P. B.] BirdLife Int, Cambridge, England; [Oppel, Steffen; Small, Cleo] RSPB Ctr Conservat Sci, Cambridge, England; [Bond, Alexander L.] RSPB Ctr Conservat Sci, Sandy, Beds, England; [Gonzalez-Solis, Jacob] Univ Barcelona, Barcelona, Spain; [Wanless, Ross M.] BirdLife South Africa, Cape Town, South Africa; [Phillips, Richard A.] Edinburgh Seven Seas, Tristan Cunha Conservat Dept, Seven Seas, Tristan Da Cunha, England; [Small, Cleo; Phillips, Richard A.] NERC, British Antarctic Survey, Cambridge, England; [Wanless, Ross M.; Ryan, Peter G.] Univ Cape Town, Percy Fitzpatrick Inst African Ornithol, DST NRF Ctr Excellence, Cape Town, South Africa</t>
  </si>
  <si>
    <t>BirdLife International; Royal Society for Protection of Birds; Royal Society for Protection of Birds; University of Barcelona; UK Research &amp; Innovation (UKRI); Natural Environment Research Council (NERC); NERC British Antarctic Survey; University of Cape Town; National Research Foundation - South Africa</t>
  </si>
  <si>
    <t>Dias, MP (corresponding author), BirdLife Int, Cambridge, England.</t>
  </si>
  <si>
    <t>maria.dias@birdlife.org</t>
  </si>
  <si>
    <t>González-Solís, Jacob/AAB-1161-2019; Oppel, Steffen/H-2771-2019; Dias, Maria P./D-1331-2012; Carneiro, Ana Paula/IQT-6077-2023; Gonzalez-Solis, Jacob/C-3942-2008; Bond, Alexander L/A-3786-2010</t>
  </si>
  <si>
    <t>Oppel, Steffen/0000-0002-8220-3789; Dias, Maria P./0000-0002-7281-4391; Gonzalez-Solis, Jacob/0000-0002-8691-9397; , Ana/0000-0003-0573-7549</t>
  </si>
  <si>
    <t>UK Foreign and Commonwealth Office's Overseas Territories Environmental Programme; Royal Society for the Protection of Birds, Birds Australia; University of Cape Town; Agreement on the Conservation of Albatrosses and Petrels (ACAP); Government of Tristan da Cunha; NERC [bas0100035, NE/R000107/1] Funding Source: UKRI; Natural Environment Research Council [NE/R000107/1, bas0100035] Funding Source: researchfish</t>
  </si>
  <si>
    <t>UK Foreign and Commonwealth Office's Overseas Territories Environmental Programme; Royal Society for the Protection of Birds, Birds Australia; University of Cape Town; Agreement on the Conservation of Albatrosses and Petrels (ACAP); Government of Tristan da Cunha; NERC(UK Research &amp; Innovation (UKRI)Natural Environment Research Council (NERC)); Natural Environment Research Council(UK Research &amp; Innovation (UKRI)Natural Environment Research Council (NERC))</t>
  </si>
  <si>
    <t>This analysis was facilitated by the Global Seabird Tracking database (www.seabirdtracking.org) hosted by BirdLife International. We appreciate the help of a large number of fieldworkers with the collection of tracking data, and the financial support of the UK Foreign and Commonwealth Office's Overseas Territories Environmental Programme, the Royal Society for the Protection of Birds, Birds Australia, the University of Cape Town, the Agreement on the Conservation of Albatrosses and Petrels (ACAP), and the Government of Tristan da Cunha. We appreciate logistical support from the South African Department of Environmental Affairs and Tsourism through the South African National Antarctic Programme, Ovenstone Agencies Pty., and the Government of Tristan da Cunha. Research was conducted with the approval of the Government of Tristan da Cunha.</t>
  </si>
  <si>
    <t>10.1016/j.biocon.2017.05.009</t>
  </si>
  <si>
    <t>EZ6DZ</t>
  </si>
  <si>
    <t>WOS:000404809900009</t>
  </si>
  <si>
    <t>Amores, A; Wilson, CA; Allard, CAH; Detrich, HW; Postlethwait, JH</t>
  </si>
  <si>
    <t>Amores, Angel; Wilson, Catherine A.; Allard, Corey A. H.; Detrich, H. William, III; Postlethwait, John H.</t>
  </si>
  <si>
    <t>Cold Fusion: Massive Karyotype Evolution in the Antarctic Bullhead Notothen Notothenia coriiceps</t>
  </si>
  <si>
    <t>G3-GENES GENOMES GENETICS</t>
  </si>
  <si>
    <t>Notothenioid; Antarctica; Robertsonian translocation; teleost genome duplication; karyotype reduction</t>
  </si>
  <si>
    <t>FISH TREMATOMUS-BERNACCHII; XIPHOPHORUS-MACULATUS; GENOME DUPLICATION; SPOTTED GAR; GENETIC-MAP; DE-NOVO; ZEBRAFISH; REVEALS; CHROMOSOMES; ANTIFREEZE</t>
  </si>
  <si>
    <t>Half of all vertebrate species share a series of chromosome fusions that preceded the teleost genome duplication (TGD), but we do not understand the causative evolutionary mechanisms. The Robertsonian-translocation hypothesis suggests a regular fusion of each ancestral acro- or telocentric chromosome to just one other by centromere fusions, thus halving the karyotype. An alternative genome-stirring hypothesis posits haphazard and repeated fusions, inversions, and reciprocal and nonreciprocal translocations. To study large-scale karyotype reduction, we investigated the decrease of chromosome numbers in Antarctic notothenioid fish. Most notothenioids have 24 haploid chromosomes, but bullhead notothen (Notothenia coriiceps) has 1. To understand mechanisms, we made a RAD-tag meiotic map with approximate to 10,000 polymorphic markers. Comparative genomics aligned about a thousand orthologs of platyfish and stickleback genes along bullhead chromosomes. Results revealed that 9 of 11 bullhead chromosomes arose by fusion of just two ancestral chromosomes and two others by fusion of three ancestral chromosomes. All markers from each ancestral chromosome remained contiguous, implying no inversions across fusion borders. Karyotype comparisons support a history of: (1) Robertsonian fusions of 22 ancestral chromosomes in pairs to yield 11 fused plus two small unfused chromosomes, like N. angustata; (2) fusion of one of the remaining two ancestral chromosomes to a preexisting fused pair, giving 12 chromosomes like N. rossii; and (3) fusion of the remaining ancestral chromosome to another fused pair, giving 11 chromosomes in N. coriiceps. These results raise the question of what selective forces promoted the systematic fusion of chromosomes in pairs and the suppression of pericentric inversions in this lineage, and provide a model for chromosome fusions in stem teleosts.</t>
  </si>
  <si>
    <t>[Amores, Angel; Wilson, Catherine A.; Postlethwait, John H.] Univ Oregon, Inst Neurosci, 1425 E 13th Ave, Eugene, OR 97403 USA; [Allard, Corey A. H.; Detrich, H. William, III] Northeastern Univ, Dept Marine &amp; Environm Sci, Ctr Marine Sci, Nahant, MA 01908 USA; [Allard, Corey A. H.; Detrich, H. William, III] Northeastern Univ, Dept Biol, Ctr Marine Sci, Nahant, MA 01908 USA; [Allard, Corey A. H.] Dartmouth Med Sch, Dept Biochem, Hanover, NH 03755 USA</t>
  </si>
  <si>
    <t>University of Oregon; Northeastern University; Northeastern University; Dartmouth College</t>
  </si>
  <si>
    <t>Postlethwait, JH (corresponding author), Univ Oregon, Inst Neurosci, 1425 E 13th Ave, Eugene, OR 97403 USA.</t>
  </si>
  <si>
    <t>jpostle@uoneuro.uoregon.edu</t>
  </si>
  <si>
    <t>Wilson, Catherine/JWB-0289-2024</t>
  </si>
  <si>
    <t>Amores, Angel/0000-0002-9307-3609; Allard, Corey/0000-0002-3554-2059</t>
  </si>
  <si>
    <t>National Institutes of Health (NIH) from the National Institute on Aging [R01AG031922]; NIH Office of the Director [5R01OD011116]; NSF from the Office/Division of Polar Programs [ANT-0944517, PLR-1247510, PLR-1444167]; [PLR-1543383]; Directorate For Geosciences; Office of Polar Programs (OPP) [1543383] Funding Source: National Science Foundation; Directorate For Geosciences; Office of Polar Programs (OPP) [1444167] Funding Source: National Science Foundation</t>
  </si>
  <si>
    <t>National Institutes of Health (NIH) from the National Institute on Aging(United States Department of Health &amp; Human ServicesNational Institutes of Health (NIH) - USAOffice of the Administrator (NIH)); NIH Office of the Director(United States Department of Health &amp; Human ServicesNational Institutes of Health (NIH) - USANIH Office of the Director); NSF from the Office/Division of Polar Programs; ; Directorate For Geosciences; Office of Polar Programs (OPP)(National Science Foundation (NSF)NSF - Directorate for Geosciences (GEO)); Directorate For Geosciences; Office of Polar Programs (OPP)(National Science Foundation (NSF)NSF - Directorate for Geosciences (GEO))</t>
  </si>
  <si>
    <t>We gratefully acknowledge the logistic support provided by the staff of the Division of Polar Programs of the National Science Foundation (NSF), the personnel of the Raytheon Polar Services Company, and by the captains and crews of the Armoured Reconnaissance Scout Vehicle Laurence M. Gould. This work was supported by National Institutes of Health (NIH) grants R01AG031922 from the National Institute on Aging (to J.H.P. and H.W.D.), 5R01OD011116 (to J.H.P.) from the NIH Office of the Director, by NSF grants ANT-0944517, PLR-1247510, and PLR-1444167 from the Office/Division of Polar Programs (to H.W.D.) and PLR-1543383 (to J.H.P. and H.W.D). This is contribution number 352 from the Northeastern University Marine Science Center. The authors declare that they have no conflicts of interest.</t>
  </si>
  <si>
    <t>GENETICS SOCIETY AMERICA</t>
  </si>
  <si>
    <t>9650 ROCKVILLE AVE, BETHESDA, MD 20814 USA</t>
  </si>
  <si>
    <t>2160-1836</t>
  </si>
  <si>
    <t>G3-GENES GENOM GENET</t>
  </si>
  <si>
    <t>G3-Genes Genomes Genet.</t>
  </si>
  <si>
    <t>10.1534/g3.117.040063</t>
  </si>
  <si>
    <t>EZ8QJ</t>
  </si>
  <si>
    <t>WOS:000404991600017</t>
  </si>
  <si>
    <t>Yao, WJ; Shi, JX</t>
  </si>
  <si>
    <t>Yao Wenjun; Shi Jiuxin</t>
  </si>
  <si>
    <t>Pacific-Indian interocean circulation of the Antarctic Intermediate Water around South Australia</t>
  </si>
  <si>
    <t>Antarctic Intermediate Water; Pacific-Indian interocean circulation; South Australia; World Ocean Circulation Experiment; Argo</t>
  </si>
  <si>
    <t>WESTERN-AUSTRALIA; LEEUWIN CURRENT; CIRCUMPOLAR CURRENT; TASMAN LEAKAGE; INVERSE MODEL; OCEAN; FLOATS; ATLANTIC; CLIMATE; SECTION</t>
  </si>
  <si>
    <t>On the basis of the salinity distribution of isopycnal (sigma (0)=27.2 kg/m(3)) surface and in salinity minimum, the Antarctic Intermediate Water (AAIW) around South Australia can be classified into five types corresponding to five regions by using in situ CTD observations. Type 1 is the Tasman AAIW, which has consistent hydrographic properties in the South Coral Sea and the North Tasman Sea. Type 2 is the Southern Ocean (SO) AAIW, parallel to and extending from the Subantarctic Front with the freshest and coldest AAIW in the study area. Type 3 is a transition between Type 1 and Type 2. The AAIW transforms from fresh to saline with the latitude declining (equatorward). Type 4, the South Australia AAIW, has relatively uniform AAIW properties due to the semienclosed South Australia Basin. Type 5, the Southeast Indian AAIW, progressively becomes more saline through mixing with the subtropical Indian intermediate water from south to north. In addition to the above hydrographic analysis of AAIW, the newest trajectories of Argo (Array for real-time Geostrophic Oceanography) floats were used to constructed the intermediate (1 000 m water depth) current field, which show the major interocean circulation of AAIW in the study area. Finally, a refined schematic of intermediate circulation shows that several currents get together to complete the connection between the Pacific Ocean and the Indian Ocean. They include the South Equatorial Current and the East Australia Current in the Southwest Pacific Ocean, the Tasman Leakage and the Flinders Current in the South Australia Basin, and the extension of Flinders Current in the southeast Indian Ocean.</t>
  </si>
  <si>
    <t>[Yao Wenjun; Shi Jiuxin] Ocean Univ China, Key Lab Phys Oceanog, Qingdao 266100, Peoples R China</t>
  </si>
  <si>
    <t>Yao, WJ (corresponding author), Ocean Univ China, Key Lab Phys Oceanog, Qingdao 266100, Peoples R China.</t>
  </si>
  <si>
    <t>Shi, Jiuxin/0000-0002-5825-8894</t>
  </si>
  <si>
    <t>The Chinese Polar Environment Comprehensive Investigation and Assessment Programs under contract Nos CHINARE-04-04 and CHINARE-04-01.</t>
  </si>
  <si>
    <t>10.1007/s13131-017-1078-z</t>
  </si>
  <si>
    <t>EZ5OI</t>
  </si>
  <si>
    <t>WOS:000404766500002</t>
  </si>
  <si>
    <t>Asaikkutti, A; Bhavan, PS; Karthik, M</t>
  </si>
  <si>
    <t>Asaikkutti, Annamalai; Bhavan, Periyakali Saravana; Karthik, Madhayan</t>
  </si>
  <si>
    <t>Isolation, Purification and Characterization of Low Molecular Weight Trypsin from Freshwater prawn Macrobrachium malcolmsonii</t>
  </si>
  <si>
    <t>RESEARCH JOURNAL OF BIOTECHNOLOGY</t>
  </si>
  <si>
    <t>Purification; Trypsin; Hepatopancreas; Macrobrachium malcolmsonii</t>
  </si>
  <si>
    <t>TILAPIA OREOCHROMIS-NILOTICUS; PYLORIC CECA; ROSENBERGII CHARACTERISTICS; EUPHAUSIA-SUPERBA; ANIONIC TRYPSINS; ANTARCTIC KRILL; HEPATOPANCREAS; SHRIMP; VISCERA; PROTEINASE</t>
  </si>
  <si>
    <t>Trypsin from hepatopancreas of Monsoon river prawn Macrobrachium malcolmsonii was purified to homogeneity using ammonium sulfate precipitation and a series of chromatographies including diethylaminoethylsepharose and soybean trypsin inhibitor sepharose 4B columns. Trypsin was purified to 37.9-fold with a yield of 14.2%. Based on nativepolyacrylamide gel electrophoresis (PAGE), the purified trypsin proves a single band. The molecular weight of the trypsin was estimated to be approximately 19kDaby using sodium dodecyl sulfate-polyacrylamide gel electrophoresis (SDS-PAGE). The optimal pH and temperature of the purified enzyme for alpha-N-benzoyl-dlarginine- p-nitroanilide (BAPNA) hydrolysis were determined to be 8.0 and 50 degrees C respectively. Trypsin enzyme was stable over a broad pH range from 7.0-11.0 at heat treatment up to 50 degrees C. The activity was strongly inhibited by soybean N-rho-tosyl-L-lysine chloromethyl ketone. Purified trypsin had MichaelisMenten constant (Km) and catalytic constant (kcat) of 0.48mM and 21.15s(-1) respectively when BAPNA was used as the substrate. Trypsin with high kcat indicated its high capacity of hydrolysis and it could serve as a promising protease.</t>
  </si>
  <si>
    <t>[Asaikkutti, Annamalai; Bhavan, Periyakali Saravana; Karthik, Madhayan] Bharathiar Univ, Sch Life Sci, Dept Zool, Crustacean Biol Lab, Coimbatore 641046, Tamil Nadu, India</t>
  </si>
  <si>
    <t>Bharathiar University</t>
  </si>
  <si>
    <t>Asaikkutti, A (corresponding author), Bharathiar Univ, Sch Life Sci, Dept Zool, Crustacean Biol Lab, Coimbatore 641046, Tamil Nadu, India.</t>
  </si>
  <si>
    <t>asai.protein@gmail.com</t>
  </si>
  <si>
    <t>PERIYAKALI, SARAVANA BHAVAN/AAQ-3352-2021; Karthik, Mani/B-3002-2010</t>
  </si>
  <si>
    <t>Periyakali Saravana Bhavan, Periyakali Saravana Bhavan/0000-0003-2056-4607</t>
  </si>
  <si>
    <t>University Grant Commission (UGC), New Delhi [RGNF-SC-TAM-39192 (SA-III)]; Department of Zoology, Bharathiar University, Coimbatore</t>
  </si>
  <si>
    <t>University Grant Commission (UGC), New Delhi(University Grants Commission, India); Department of Zoology, Bharathiar University, Coimbatore</t>
  </si>
  <si>
    <t>We would like to acknowledge University Grant Commission (UGC), New Delhi for supporting financial assistance in the form of Rajiv Gandhi National Fellowship (RGNF) (Ref No: RGNF-SC-TAM-39192 (SA-III)). We also thank Department of Zoology, Bharathiar University, Coimbatore for supporting and providing essential infrastructure facility needed for this study.</t>
  </si>
  <si>
    <t>RESEARCH JOURNAL BIOTECHNOLOGY</t>
  </si>
  <si>
    <t>INDORE</t>
  </si>
  <si>
    <t>SECTOR A-80, SCHEME NO 54, VIJAY NAGAR, A B ROAD, INDORE, 452 010 MP, INDIA</t>
  </si>
  <si>
    <t>2278-4535</t>
  </si>
  <si>
    <t>RES J BIOTECHNOL</t>
  </si>
  <si>
    <t>Res. J. Biotechnol.</t>
  </si>
  <si>
    <t>EZ1GM</t>
  </si>
  <si>
    <t>WOS:000404458300006</t>
  </si>
  <si>
    <t>Munday, DR; Zhai, X</t>
  </si>
  <si>
    <t>Munday, D. R.; Zhai, X.</t>
  </si>
  <si>
    <t>The impact of atmospheric storminess on the sensitivity of Southern Ocean circulation to wind stress changes</t>
  </si>
  <si>
    <t>Ocean modelling; Eddy-resolving; Eddy kinetic energy; Surface wind stress; Residual overturning; Near-surface mixing</t>
  </si>
  <si>
    <t>ANTARCTIC CIRCUMPOLAR CURRENT; AVAILABLE POTENTIAL-ENERGY; MERIDIONAL OVERTURNING CIRCULATION; NEAR-INERTIAL ENERGY; GENERAL-CIRCULATION; STRATIFIED FLUIDS; HEAT-TRANSPORT; CLIMATE-CHANGE; DRAKE PASSAGE; TIME SCALES</t>
  </si>
  <si>
    <t>The influence of changing the mean wind stress felt by the ocean through alteration of the variability of the atmospheric wind, as opposed to the mean atmospheric wind, on Southern Ocean circulation is investigated using an idealised channel model. Strongly varying atmospheric wind is found to increase the (parameterised) near-surface viscous and diffusive mixing. Analysis of the kinetic energy budget indicates a change in the main energy dissipation mechanism. For constant wind stress, dissipation of the power input by surface wind work is always dominated by bottom kinetic energy dissipation. However, with time-varying atmospheric wind, near surface viscous dissipation of kinetic energy becomes increasingly important as mean wind stress increases. This increased vertical diffusivity leads to thicker mixed layers and higher sensitivity of the residual circulation to increasing wind stress, when compared to equivalent experiments with the same wind stress held constant in time. This may have implications for Southern Ocean circulation in different climate change scenarios should the variability of the atmospheric wind change rather than the mean atmospheric wind. (C) 2017 Elsevier Ltd. All rights reserved.</t>
  </si>
  <si>
    <t>[Munday, D. R.] British Antarctic Survey, Madingley Rd, Cambridge CB30 0ET, England; [Munday, D. R.] Univ Oxford, Dept Phys, Atmospher Ocean &amp; Planetary Phys, Oxford OXI 3PU, England; [Zhai, X.] Univ East Anglia, Sch Environm Sci, Norwich, Norfolk, England; [Zhai, X.] Nanjing Univ Informat Sci &amp; Technol, Sch Marine Sci, Nanjing, Jiangsu, Peoples R China</t>
  </si>
  <si>
    <t>UK Research &amp; Innovation (UKRI); Natural Environment Research Council (NERC); NERC British Antarctic Survey; University of Oxford; University of East Anglia; Nanjing University of Information Science &amp; Technology</t>
  </si>
  <si>
    <t>Munday, DR (corresponding author), British Antarctic Survey, Madingley Rd, Cambridge CB30 0ET, England.;Munday, DR (corresponding author), Univ Oxford, Dept Phys, Atmospher Ocean &amp; Planetary Phys, Oxford OXI 3PU, England.</t>
  </si>
  <si>
    <t>danday@bas.ac.uk; xiaoming.zhai@uea.ac.uk</t>
  </si>
  <si>
    <t>Munday, David R/0000-0003-1920-708X;</t>
  </si>
  <si>
    <t>Natural Environment Research Council [ORCHESTRA] [NE/N018095/1]; UK Natural Environment Research Council; Office of Science and Technology through EPSRC's High End Computing Programme; NERC [NE/N018095/1, bas0100033] Funding Source: UKRI; Natural Environment Research Council [bas0100033, NE/N018095/1] Funding Source: researchfish</t>
  </si>
  <si>
    <t>Natural Environment Research Council [ORCHESTRA]; UK Natural Environment Research Council(UK Research &amp; Innovation (UKRI)Natural Environment Research Council (NERC)); Office of Science and Technology through EPSRC's High End Computing Programme(UK Research &amp; Innovation (UKRI)Engineering &amp; Physical Sciences Research Council (EPSRC)); NERC(UK Research &amp; Innovation (UKRI)Natural Environment Research Council (NERC)); Natural Environment Research Council(UK Research &amp; Innovation (UKRI)Natural Environment Research Council (NERC))</t>
  </si>
  <si>
    <t>DRM is supported by the Natural Environment Research Council [ORCHESTRA, grant number NE/N018095/1].. Much of this work took place whilst DRM was a PDRA at the Department of Physics in the University of Oxford and was supported by the UK Natural Environment Research Council. DRM thanks Scott Bachman and Alberto Naveira Garabato for helpful discussions. The authors thank two anonymous reviewers whose comments improved the presentation of the paper. This work made use of the facilities of HECToR, the UK's national high-performance computing service, which is provided by UoE HPCx Ltd at the University of Edinburgh, Cray Inc and NAG Ltd, and funded by the Office of Science and Technology through EPSRC's High End Computing Programme. This work used the ARCHER UK National Supercomputing Service (http://www.archer.ac.uk). Model output is available from DRM upon request.</t>
  </si>
  <si>
    <t>10.1016/j.ocemod.2017.05.005</t>
  </si>
  <si>
    <t>EZ1UH</t>
  </si>
  <si>
    <t>WOS:000404495800002</t>
  </si>
  <si>
    <t>Pearson, B; Fox-Kemper, B; Bachman, S; Bryan, F</t>
  </si>
  <si>
    <t>Pearson, Brodie; Fox-Kemper, Baylor; Bachman, Scott; Bryan, Frank</t>
  </si>
  <si>
    <t>Evaluation of scale-aware subgrid mesoscale eddy models in a global eddy-rich model</t>
  </si>
  <si>
    <t>Mesoscale eddies; Large eddy simulation; Global climate models; Subgrid models</t>
  </si>
  <si>
    <t>ANTARCTIC CIRCUMPOLAR CURRENT; OCEAN CIRCULATION; PART I; GEOSTROPHIC TURBULENCE; NUMERICAL-SIMULATION; CLIMATE-CHANGE; GULF-STREAM; RESOLUTION; TRANSPORT; SENSITIVITY</t>
  </si>
  <si>
    <t>Two parameterizations for horizontal mixing of momentum and tracers by subgrid mesoscale eddies are implemented in a high-resolution global ocean model. These parameterizations follow on the techniques of large eddy simulation (LES). The theory underlying one parameterization (2D Leith due to Leith, 1996) is that of enstrophy cascades in two-dimensional turbulence, while the other (QG Leith) is designed for potential enstrophy cascades in quasi-geostrophic turbulence. Simulations using each of these parameterizations are compared with a control simulation using standard biharmonic horizontal mixing. Simulations using the 2D Leith and QG Leith parameterizations are more realistic than those using biharmonic mixing. In particular, the 2D Leith and QG Leith simulations have more energy in resolved mesoscale eddies, have a spectral slope more consistent with turbulence theory (an inertial enstrophy or potential enstrophy cascade), have bottom drag and vertical viscosity as the primary sinks of energy instead of lateral friction, and have isoneutral parameterized mesoscale tracer transport. The parameterization choice also affects mass transports, but the impact varies regionally in magnitude and sign. (C) 2017 Elsevier Ltd. All rights reserved.</t>
  </si>
  <si>
    <t>[Pearson, Brodie; Fox-Kemper, Baylor] Brown Univ, Dept Earth Environm &amp; Planetary Sci, Providence, RI 02906 USA; [Bachman, Scott] Univ Cambridge, Dept Appl Math &amp; Theoret Phys, Cambridge, England; [Bryan, Frank] NCAR, Boulder, CO USA</t>
  </si>
  <si>
    <t>Brown University; University of Cambridge; National Center Atmospheric Research (NCAR) - USA</t>
  </si>
  <si>
    <t>Pearson, B (corresponding author), Brown Univ, Dept Earth Environm &amp; Planetary Sci, Providence, RI 02906 USA.</t>
  </si>
  <si>
    <t>brodie_pearson@brown.edu</t>
  </si>
  <si>
    <t>Fox-Kemper, Baylor/A-1159-2007; Pearson, Brodie/T-8893-2019; Bryan, Frank/I-1309-2016</t>
  </si>
  <si>
    <t>Fox-Kemper, Baylor/0000-0002-2871-2048; Pearson, Brodie/0000-0002-0202-0481; Bryan, Frank/0000-0003-1672-8330; Bachman, Scott/0000-0002-6479-4300</t>
  </si>
  <si>
    <t>National Science Foundation; NSF [1350795]; NSF through NCAR; Directorate For Geosciences; Division Of Ocean Sciences [1350795] Funding Source: National Science Foundation</t>
  </si>
  <si>
    <t>National Science Foundation(National Science Foundation (NSF)); NSF(National Science Foundation (NSF)); NSF through NCAR(National Science Foundation (NSF)NSF - Directorate for Geosciences (GEO)); Directorate For Geosciences; Division Of Ocean Sciences(National Science Foundation (NSF)NSF - Directorate for Geosciences (GEO))</t>
  </si>
  <si>
    <t>Maintenance and debugging of the biharmonic simulation performed by David Bailey is gratefully acknowledged. We would like to acknowledge high-performance computing support from Yellowstone (ark:/85065/d7wd3xhc) provided by NCAR's Computational and Information Systems Laboratory, sponsored by the National Science Foundation. B.P. and B.F.K. were supported by NSF 1350795 and F.B. by the NSF through its sponsorship of NCAR. We would like to thank three reviewers, whose comments helped clarify and improve this manuscript.</t>
  </si>
  <si>
    <t>10.1016/j.ocemod.2017.05.007</t>
  </si>
  <si>
    <t>WOS:000404495800004</t>
  </si>
  <si>
    <t>Mulder, TE; Baatsen, MLJ; Wubs, FW; Dijkstra, HA</t>
  </si>
  <si>
    <t>Mulder, T. E.; Baatsen, M. L. J.; Wubs, F. W.; Dijkstra, H. A.</t>
  </si>
  <si>
    <t>Efficient computation of past global ocean circulation patterns using continuation in paleobathymetry</t>
  </si>
  <si>
    <t>Continuation of fixed points; Paleobathymetry; Global ocean circulation; Past climate transitions</t>
  </si>
  <si>
    <t>ANTARCTIC GLACIATION; SPIN-UP; MECHANISM</t>
  </si>
  <si>
    <t>In the field of paleoceanographic modeling, the different positioning of Earth's continental configurations is often a major challenge for obtaining equilibrium ocean flow solutions. In this paper, we introduce numerical parameter continuation techniques to compute equilibrium solutions of ocean flows in the geological past, where we change the continental geometry and allow the flow to deform using a homotopy parameter. The methods are illustrated by computing equilibrium three-dimensional global ocean circulation patterns over the last 65 Ma under a highly idealized atmospheric forcing. These results already show interesting major transitions in ocean circulation patterns due to changes in ocean gateways, that may have been relevant for Cenozoic climate transitions. In addition, the techniques are shown to be computationally efficient compared to the established continuation spin-up approach. (C) 2017 Elsevier Ltd. All rights reserved.</t>
  </si>
  <si>
    <t>[Mulder, T. E.; Baatsen, M. L. J.; Dijkstra, H. A.] Univ Utrecht, Inst Marine &amp; Atmospher Res Utrecht, Dept Phys &amp; Astron, Princetonpl 5, NL-3584 CC Utrecht, Netherlands; [Wubs, F. W.] Univ Groningen, Johann Bernoulli Inst Math &amp; Comp Sci, POB 407, NL-9700 AK Groningen, Netherlands</t>
  </si>
  <si>
    <t>Utrecht University; University of Groningen</t>
  </si>
  <si>
    <t>Mulder, TE (corresponding author), Univ Utrecht, Inst Marine &amp; Atmospher Res Utrecht, Dept Phys &amp; Astron, Princetonpl 5, NL-3584 CC Utrecht, Netherlands.</t>
  </si>
  <si>
    <t>t.e.mulder@uu.nl; m.l.j.baatsen@uu.nl; fw.wubs@rug.nl; h.a.dijkstra@uu.nl</t>
  </si>
  <si>
    <t>Dijkstra, Henk A./H-2559-2016</t>
  </si>
  <si>
    <t>Baatsen, Michiel/0000-0002-0123-7005; Mulder, Thomas Erik/0000-0002-4254-065X; Wubs, Fred/0000-0002-1263-1067</t>
  </si>
  <si>
    <t>Netherlands Center for Earth System Science (NESSC) - Netherlands Foundation for Scientific Research (NWO); SURF Cooperative [SH284]</t>
  </si>
  <si>
    <t>Netherlands Center for Earth System Science (NESSC) - Netherlands Foundation for Scientific Research (NWO); SURF Cooperative</t>
  </si>
  <si>
    <t>We like to acknowledge the support of the Netherlands Center for Earth System Science (NESSC) funded by the Netherlands Foundation for Scientific Research (NWO). This work was carried out on the Dutch national e-infrastructure with the support of SURF Cooperative under the project SH284. We thank the two anonymous reviewers for their helpful comments, which have improved this paper substantially.</t>
  </si>
  <si>
    <t>10.1016/j.ocemod.2017.05.010</t>
  </si>
  <si>
    <t>WOS:000404495800007</t>
  </si>
  <si>
    <t>Lang, MA; Clarke, JR</t>
  </si>
  <si>
    <t>Lang, Michael A.; Clarke, John R.</t>
  </si>
  <si>
    <t>Performance of life support breathing apparatus for under-ice diving operations</t>
  </si>
  <si>
    <t>UNDERSEA AND HYPERBARIC MEDICINE</t>
  </si>
  <si>
    <t>ice diving; regulator freeze-up; freeflow; regulator performance</t>
  </si>
  <si>
    <t>Introduction: Single-hose scuba regulators dived in very cold water may suffer first-or second-stage malfunction, yielding complete occlusion of air flow or massive freeflow that rapidly expends a diver's air supply. Purpose: This study, conducted in Antarctica, evaluated the under-ice performance of a sampling of commercially available regulators. Methods: Seventeen science divers logged a total of 305 dives in -1.86 degrees C seawater under 6-meter-thick Antarctic fast-ice over two field seasons in 2008 and 2009. Dive profiles had an average depth of 30 msw and dive time of 29 minutes, including a mandatory three-minute safety stop at 6 msw. Sixty-nine unmodified regulator units (17 models) from 12 different manufacturers underwent standardized pre-dive regulator care and were randomly assigned to divers. Depths and times of onset of second-stage regulator freeflow were recorded. Results: In 305 dives, there were 65 freeflows. The freeflows were not evenly distributed across the regulator brands. Regulator failure rates fell into two categories (&lt; 11% and &gt; 26%). The regulators classified for the purpose of the test as acceptable (&lt; 11% failure rate: Dive-Rite Jetstream, Sherwood Maximus SRB3600, Poseidon Xstream Deep, Poseidon Jetstream, Sherwood Maximus SRB7600, Poseidon Cyklon, Mares USN22 Abyss) experienced only nine freeflows out of 146 exposures for a 6% overall freeflow incidence. Those classified as unacceptable (&gt; 26% failure rate) suffered 56 freeflows out of 159 exposures (35% freeflow incidence.) Conclusions: Contrary to expectations, the pooled incidences for the seven best performing regulators was significantly different by Chi-square test from the 10 remaining regulators (P &lt; 0.001).</t>
  </si>
  <si>
    <t>[Lang, Michael A.] Univ Calif San Diego, Dept Emergency Med, San Diego, CA 92103 USA; [Clarke, John R.] Navy Expt Div Unit, Panama City, FL USA</t>
  </si>
  <si>
    <t>Lang, MA (corresponding author), Univ Calif San Diego, Dept Emergency Med, San Diego, CA 92103 USA.</t>
  </si>
  <si>
    <t>m4lang@ucsd.edu</t>
  </si>
  <si>
    <t>Clarke, John-Ross/U-6241-2019</t>
  </si>
  <si>
    <t>Clarke, John-Ross/0000-0002-1904-3874</t>
  </si>
  <si>
    <t>National Science Foundation Office of Polar Programs [OPP-PEHS-0850975]; Smithsonian Institution Office of the Under Secretary for Science; Raytheon Polar Services Company</t>
  </si>
  <si>
    <t>National Science Foundation Office of Polar Programs(National Science Foundation (NSF)NSF - Directorate for Geosciences (GEO)); Smithsonian Institution Office of the Under Secretary for Science(Smithsonian Institution); Raytheon Polar Services Company</t>
  </si>
  <si>
    <t>Primary funding was provided by the National Science Foundation Office of Polar Programs to M.A. Lang (Award no. OPP-PEHS-0850975), the Smithsonian Institution Office of the Under Secretary for Science, and Raytheon Polar Services Company. The U.S. Navy provided for the services of J.R. Clarke. We thank the ice diving team members, and in particular Rob Robbins and Steven Rupp for logistical support at McMurdo Station, Antarctica. We also thank Mr. Vince Ferris of NEDU for his statistical expertise.</t>
  </si>
  <si>
    <t>UNDERSEA &amp; HYPERBARIC MEDICAL SOC INC</t>
  </si>
  <si>
    <t>DURHAM</t>
  </si>
  <si>
    <t>21 WEST COLONY PLACE, STE 280, DURHAM, NC 27705 USA</t>
  </si>
  <si>
    <t>1066-2936</t>
  </si>
  <si>
    <t>UNDERSEA HYPERBAR M</t>
  </si>
  <si>
    <t>Undersea Hyperb. Med.</t>
  </si>
  <si>
    <t>Marine &amp; Freshwater Biology; Medicine, Research &amp; Experimental</t>
  </si>
  <si>
    <t>Marine &amp; Freshwater Biology; Research &amp; Experimental Medicine</t>
  </si>
  <si>
    <t>EY8CP</t>
  </si>
  <si>
    <t>WOS:000404221800001</t>
  </si>
  <si>
    <t>Zhang, LP; Delworth, TL; Yang, XS; Gudgel, RG; Jia, LW; Vecchi, GA; Zeng, FR</t>
  </si>
  <si>
    <t>Zhang, Liping; Delworth, Thomas L.; Yang, Xiaosong; Gudgel, Richard G.; Jia, Liwei; Vecchi, Gabriel A.; Zeng, Fanrong</t>
  </si>
  <si>
    <t>Estimating Decadal Predictability for the Southern Ocean Using the GFDL CM2.1 Model</t>
  </si>
  <si>
    <t>ANTARCTIC SEA-ICE; POTENTIAL PREDICTABILITY; PART I; CLIMATE; VARIABILITY; TRENDS; ENSEMBLE; OSCILLATION; WATER; INITIALIZATION</t>
  </si>
  <si>
    <t>This study explores the potential predictability of the Southern Ocean (SO) climate on decadal time scales as represented in the GFDL CM2.1 model using prognostic methods. Perfect model predictability experiments are conducted starting from 10 different initial states, showing potentially predictable variations of Antarctic bottom water (AABW) formation rates on time scales as long as 20 years. The associated Weddell Sea (WS) subsurface temperatures and Antarctic sea ice have potential predictability comparable to that of the AABW cell. The predictability of sea surface temperature (SST) variations over the WS and the SO is somewhat smaller, with predictable scales out to a decade. This reduced predictability is likely associated with stronger damping from air-sea interaction. As a complement to this perfect predictability study, the authors also make hindcasts of SO decadal variability using the GFDL CM2.1 decadal prediction system. Significant predictive skill for SO SST on multiyear time scales is found in the hindcast system. The success of the hindcasts, especially in reproducing observed surface cooling trends, is largely due to initializing the state of the AABW cell. A weak state of the AABW cell leads to cooler surface conditions and more extensive sea ice. Although there are considerable uncertainties regarding the observational data used to initialize the hindcasts, the consistency between the perfect model experiments and the decadal hindcasts at least gives some indication as to where and to what extent skillful decadal SO forecasts might be possible.</t>
  </si>
  <si>
    <t>[Zhang, Liping; Jia, Liwei] Princeton Univ, Atmospher &amp; Ocean Sci, Princeton, NJ 08544 USA; [Zhang, Liping; Delworth, Thomas L.; Yang, Xiaosong; Gudgel, Richard G.; Jia, Liwei; Vecchi, Gabriel A.; Zeng, Fanrong] NOAA, Geophys Fluid Dynam Lab, Princeton, NJ USA; [Yang, Xiaosong] Univ Corp Atmospher Res, Boulder, CO USA</t>
  </si>
  <si>
    <t>Princeton University; National Oceanic Atmospheric Admin (NOAA) - USA; National Center Atmospheric Research (NCAR) - USA</t>
  </si>
  <si>
    <t>Zhang, LP (corresponding author), Princeton Univ, Atmospher &amp; Ocean Sci, Princeton, NJ 08544 USA.;Zhang, LP (corresponding author), NOAA, Geophys Fluid Dynam Lab, Princeton, NJ USA.</t>
  </si>
  <si>
    <t>liping.zhang@noaa.gov</t>
  </si>
  <si>
    <t>li, jia/GVT-7587-2022; Yang, Xiaosong/C-7260-2009; Vecchi, Gabriel/A-2413-2008; Zhang, Liping/L-6480-2015; Delworth, Thomas/C-5191-2014</t>
  </si>
  <si>
    <t>Vecchi, Gabriel/0000-0002-5085-224X; Zhang, Liping/0000-0003-1122-8927; Delworth, Thomas/0000-0003-4865-5391</t>
  </si>
  <si>
    <t>UCAR under NOAA/GFDL; Princeton University under NOAA/GFDL</t>
  </si>
  <si>
    <t>UCAR under NOAA/GFDL; Princeton University under NOAA/GFDL(Princeton University)</t>
  </si>
  <si>
    <t>We are grateful to Baoqiang Xiang and Jiaxin Black for their constructive comments on an early version of the paper, as well as three anonymous reviewers who provided extremely insightful and valuable feedback and suggestions. The work of T. Delworth, R. G. Gudgel, G. Vecchi, and F. Zeng is supported as a base activity of NOAA's Geophysical Fluid Dynamics Laboratory. X. Yang is supported through UCAR under block funding from NOAA/GFDL. L. Zhang and L. Jia are supported through Princeton University under block funding from NOAA/GFDL.</t>
  </si>
  <si>
    <t>10.1175/JCLI-D-16-0840.1</t>
  </si>
  <si>
    <t>EY5LL</t>
  </si>
  <si>
    <t>WOS:000404018600004</t>
  </si>
  <si>
    <t>Mackey, TJ; Sumner, DY; Hawes, I; Jungblut, AD; Lawrence, J; Leidman, S; Allen, B</t>
  </si>
  <si>
    <t>Mackey, Tyler J.; Sumner, Dawn Y.; Hawes, Ian; Jungblut, Anne D.; Lawrence, Justin; Leidman, Sasha; Allen, Brian</t>
  </si>
  <si>
    <t>Increased mud deposition reduces stromatolite complexity</t>
  </si>
  <si>
    <t>LAKE VANDA; GROWTH; COMMUNITIES; JOYCE</t>
  </si>
  <si>
    <t>Microbial mat growth can produce diagnostic delicate structures in low-energy environments, but mat morphology, and thus preservation of delicate structures as morphological biosignatures, is affected by mud accumulation. In Lake Joyce, Antarctica, varying rates of siliciclastic mud deposition affected the morphology of partially calcified microbial mats. These mats were characterized along a shore-parallel transect from higher-to lower-sedimentation regions of the lake. Mats with high mud accumulation rates were predominantly flat with sparse pinnacles. At lower sedimentation rates, mats developed more pinnacles and more delicate features, including vertical webs of biofilm suspended between pinnacles. Morphological transitions suggest that mud deposition disrupts growth of delicate microbial structures like biofilm webs and inhibits pinnacle growth at higher accumulation rates. The simplification of mat morphology with increasing mud accumulation has important implications for the distribution of stromatolite types in the rock record. Stromatolites with intricate biofilm structures are rare, possibly due to the paucity of appropriate environments rather than the intrinsic properties of microbial communities. Communities capable of forming delicate microbialites likely produced morphologically simpler pinnacles and flat mat in environments with significant siliciclastic mud or micrite influx. Thus, delicate mats have narrow environmental ranges for growth, and temporal or spatial variations in siliciclastic mud or micrite sedimentation rates bias the record of microbial activity preserved in stromatolites.</t>
  </si>
  <si>
    <t>[Mackey, Tyler J.; Sumner, Dawn Y.; Leidman, Sasha; Allen, Brian] Univ Calif Davis, Dept Earth &amp; Planetary Sci, 1 Shields Ave, Davis, CA 95616 USA; [Mackey, Tyler J.] MIT, Dept Earth Atmospher &amp; Planetary Sci, 77 Massachusetts Ave, Cambridge, MA 02139 USA; [Hawes, Ian] Univ Waikato, Tauranga Coastal Res Lab, 58 Cross Rd, Tauranga 3110, New Zealand; [Jungblut, Anne D.] Nat Hist Museum, Dept Life Sci, Cromwell Rd, London SW7 5BD, England; [Lawrence, Justin] Georgia Inst Technol, Sch Earth &amp; Atmospher Sci, Atlanta, GA 30332 USA; [Leidman, Sasha] Rutgers State Univ, Dept Geog, Piscataway, NJ 08854 USA</t>
  </si>
  <si>
    <t>University of California System; University of California Davis; Massachusetts Institute of Technology (MIT); University of Waikato; Natural History Museum London; University System of Georgia; Georgia Institute of Technology; Rutgers University System; Rutgers University New Brunswick</t>
  </si>
  <si>
    <t>Mackey, TJ (corresponding author), Univ Calif Davis, Dept Earth &amp; Planetary Sci, 1 Shields Ave, Davis, CA 95616 USA.;Mackey, TJ (corresponding author), MIT, Dept Earth Atmospher &amp; Planetary Sci, 77 Massachusetts Ave, Cambridge, MA 02139 USA.</t>
  </si>
  <si>
    <t>Sumner, Dawn/E-8744-2011</t>
  </si>
  <si>
    <t>Sumner, Dawn/0000-0002-7343-2061; Hawes, Ian/0000-0003-2471-6903; Mackey, Tyler/0000-0001-6377-3797; Lawrence, Justin/0000-0001-7520-5914; Leidman, Sasha/0000-0003-1453-521X</t>
  </si>
  <si>
    <t>NASA Exobiology Program [NNX13AI60G]; NASA [472866, NNX13AI60G] Funding Source: Federal RePORTER</t>
  </si>
  <si>
    <t>NASA Exobiology Program(National Aeronautics &amp; Space Administration (NASA)); NASA(National Aeronautics &amp; Space Administration (NASA))</t>
  </si>
  <si>
    <t>This work was funded by the NASA Exobiology Program (NNX13AI60G), and we thank the National Science Foundation for field logistics support with the United States Antarctic Program event G-063. We would like to thank D. Andersen for his contributions to this research; F. Rivera-Hernandez, M. Dillon, L. Coleman, K. Lamberson supported field operations as part of G-063. Our manuscript was also significantly improved by the reviews of J. Bartley and two anonymous reviewers.</t>
  </si>
  <si>
    <t>10.1130/G38890.1</t>
  </si>
  <si>
    <t>EY6OZ</t>
  </si>
  <si>
    <t>WOS:000404104300026</t>
  </si>
  <si>
    <t>Mukhopadhyay, SK; Naskar, D; Bhattacharjee, P; Mishra, A; Kundu, SC; Dey, S</t>
  </si>
  <si>
    <t>Mukhopadhyay, Sourav K.; Naskar, Deboki; Bhattacharjee, Promita; Mishra, Abheepsa; Kundu, Subhas C.; Dey, Satyahari</t>
  </si>
  <si>
    <t>Silk fibroin-Thelebolan matrix: A promising chemopreventive scaffold for soft tissue cancer</t>
  </si>
  <si>
    <t>COLLOIDS AND SURFACES B-BIOINTERFACES</t>
  </si>
  <si>
    <t>Silk fibroin; Thelebolan; 3D sponge matrix; Antiproliferation; Colon cancer</t>
  </si>
  <si>
    <t>IN-VITRO; BETA-GLUCAN; BIOMATERIALS; CELLS; BONE; VIVO</t>
  </si>
  <si>
    <t>Research of improved functional bio-mimetic matrix for regenerative medicine is currently one of the rapidly growing fields in tissue engineering and medical sciences. This study reports a novel bio-polymeric matrix, which is fabricated using silk protein fibroin from Bombyx mori silkworm and fungal exopolysaccharide Thelebolan from Antarctic fungus Thelebolus sp. IITKGP-BT12 by solvent evaporation and freeze drying method. Natural cross linker genipin is used to imprison the Thelebolan within the fibroin network. Different cross-linked and non-cross-linked fibroin/Thelebolan matrices are fabricated and biophysically characterized. Cross-linked thin films show robustness, good mechanical strength and high temperature stability in comparison to non-cross-linked and pure matrices. The 3D sponge matrices demonstrate good cytocompatibility. Interestingly, sustained release of the Thelebolan from the cross-linked matrices induce apoptosis in colon cancer cell line (HT-29) in time dependent manner while it is nontoxic to the normal fibroblast cells (L929). The findings indicate that the cross-linked fibroin/Thelebolan matrices can be used as potential topical chemopreventive scaffold for preclusion of soft tissue carcinoma. (C) 2017 Elsevier B.V. All rights reserved.</t>
  </si>
  <si>
    <t>[Mukhopadhyay, Sourav K.; Naskar, Deboki; Mishra, Abheepsa; Kundu, Subhas C.; Dey, Satyahari] Indian Inst Technol, Dept Biotechnol, Kharagpur 721302, W Bengal, India; [Bhattacharjee, Promita] Indian Inst Technol, Dept Mat Sci, Kharagpur 721302, W Bengal, India; [Kundu, Subhas C.] Univ Minho, Res Grp 3Bs, Headquarters European Inst EXcellence Tissue Engn, AvePk, P-4805017 Taipas, Guimaraes, Portugal</t>
  </si>
  <si>
    <t>Indian Institute of Technology System (IIT System); Indian Institute of Technology (IIT) - Kharagpur; Indian Institute of Technology System (IIT System); Indian Institute of Technology (IIT) - Kharagpur; Universidade do Minho</t>
  </si>
  <si>
    <t>Kundu, SC; Dey, S (corresponding author), Indian Inst Technol, Dept Biotechnol, Kharagpur 721302, W Bengal, India.;Kundu, SC (corresponding author), Univ Minho, Res Grp 3Bs, Headquarters European Inst EXcellence Tissue Engn, AvePk, P-4805017 Taipas, Guimaraes, Portugal.</t>
  </si>
  <si>
    <t>kundu@hijli.iitkgp.ernet.in; satyahari01@yahoo.com</t>
  </si>
  <si>
    <t>Kundu, Subhas C/P-1989-2016; Mishra, Ph.D., Abheepsa/I-6872-2019; Kundu, Subhas C/AAC-1317-2020</t>
  </si>
  <si>
    <t>Mishra, Ph.D., Abheepsa/0000-0002-8242-6800; Kundu, Subhas C/0000-0002-7170-2291; Bhattacharjee, Promita/0000-0002-8105-8516</t>
  </si>
  <si>
    <t>Department of Biotechnology [BT/PR10941/MED/32/333/2014, BT/PR9536/NDB/39/427/2013]; Indian Council of Medical Research, Govt. of India [5/13/12/2010/NCD-III]</t>
  </si>
  <si>
    <t>Department of Biotechnology; Indian Council of Medical Research, Govt. of India(Indian Council of Medical Research (ICMR))</t>
  </si>
  <si>
    <t>This research project was funded by Department of Biotechnology (BT/PR10941/MED/32/333/2014 and BT/PR9536/NDB/39/427/2013), and Indian Council of Medical Research (5/13/12/2010/NCD-III), Govt. of India. The authors thank Professor Santanu Dhara for his support in performing mechanical testing of the fabricated matrices.</t>
  </si>
  <si>
    <t>0927-7765</t>
  </si>
  <si>
    <t>1873-4367</t>
  </si>
  <si>
    <t>COLLOID SURFACE B</t>
  </si>
  <si>
    <t>Colloid Surf. B-Biointerfaces</t>
  </si>
  <si>
    <t>10.1016/j.colsurfb.2017.04.011</t>
  </si>
  <si>
    <t>Biophysics; Chemistry, Physical; Materials Science, Biomaterials</t>
  </si>
  <si>
    <t>Biophysics; Chemistry; Materials Science</t>
  </si>
  <si>
    <t>EY1PO</t>
  </si>
  <si>
    <t>WOS:000403738000044</t>
  </si>
  <si>
    <t>Ishii, A</t>
  </si>
  <si>
    <t>Ishii, Atsushi</t>
  </si>
  <si>
    <t>Whaling in the Antarctic: Significance and Implications of the ICJ Judgment</t>
  </si>
  <si>
    <t>ASIAN JOURNAL OF INTERNATIONAL LAW</t>
  </si>
  <si>
    <t>[Ishii, Atsushi] Tohoku Univ, Ctr Northeast Asian Studies, Sendai, Miyagi, Japan</t>
  </si>
  <si>
    <t>Tohoku University</t>
  </si>
  <si>
    <t>Ishii, A (corresponding author), Tohoku Univ, Ctr Northeast Asian Studies, Sendai, Miyagi, Japan.</t>
  </si>
  <si>
    <t>Ishii, Atsushi/AAI-1623-2019</t>
  </si>
  <si>
    <t>2044-2513</t>
  </si>
  <si>
    <t>2044-2521</t>
  </si>
  <si>
    <t>ASIAN J INT LAW</t>
  </si>
  <si>
    <t>Asian J. Int. Law</t>
  </si>
  <si>
    <t>10.1017/S2044251317000054</t>
  </si>
  <si>
    <t>EY4JJ</t>
  </si>
  <si>
    <t>WOS:000403943700012</t>
  </si>
  <si>
    <t>Tsai, LC; Su, SY; Liu, CH</t>
  </si>
  <si>
    <t>Tsai, Lung-Chih; Su, Shin-Yi; Liu, Chao-Han</t>
  </si>
  <si>
    <t>Global morphology of ionospheric F-layer scintillations using FS3/COSMIC GPS radio occultation data</t>
  </si>
  <si>
    <t>Ionospheric scintillation; Radio occultation observation; Ionospheric irregularity; COSMIC</t>
  </si>
  <si>
    <t>EQUATORIAL IONOSPHERE; SPACE WEATHER; IRREGULARITIES; SATELLITES; ATMOSPHERE; SYSTEM; LINKS</t>
  </si>
  <si>
    <t>We report on the FormoSat-3/Constellation Observing System for Meteorology, Ionosphere and Climate (FS3/COSMIC) limb-viewing observations of GPS L-band scintillations since mid-2006 and propose to study global F-layer irregularity morphology. The FS3/COSMIC has generally performed more than 1000 ionospheric radio occultation (RO) observations per day. We reprocess 1-Hz amplitude data and obtain complete limb-viewing profiles of the undersampling (sampling frequency lower than Fresnel frequency) S4 scintillation index from about 80% of the RO observations. There are a few percent of FS3/COSMIC RO observations having greater than 0.09 undersampling S4max values on average. However, seven identified areas, Central Pacific Area (-20A degrees to 20A degrees dip latitude, 160A degrees E-130A degrees W), South American Area (-20A degrees to 20A degrees dip latitude, 100A degrees W-30A degrees W), African Area (-20A degrees to 20A degrees dip latitude, 30A degrees W-50A degrees E), European Area (30A degrees-55A degrees N, 0A degrees-55A degrees E), Japan Sea Area (35A degrees-55A degrees N, 120A degrees-150A degrees E), Arctic Area (&gt; 65A degrees dip latitude), and Antarctic Area (&lt;-65A degrees dip latitude), have been designated to have a much higher percentage of strong limb-viewing L-band scintillations. During the years in most of the last sunspot cycle from mid-2006 to the end 2014, the scintillation climatology, namely, its variations with each identified area, season, local time, magnetic activity, and solar activity, have been documented.</t>
  </si>
  <si>
    <t>[Tsai, Lung-Chih; Su, Shin-Yi] Natl Cent Univ, Ctr Space &amp; Remote Sensing Res, Chungli, Taiwan; [Tsai, Lung-Chih] Natl Cent Univ, Inst Space Sci, Chungli, Taiwan; [Liu, Chao-Han] Acad Sinica, Taipei, Taiwan</t>
  </si>
  <si>
    <t>National Central University; National Central University; Academia Sinica - Taiwan</t>
  </si>
  <si>
    <t>Tsai, LC (corresponding author), Natl Cent Univ, Ctr Space &amp; Remote Sensing Res, Chungli, Taiwan.;Tsai, LC (corresponding author), Natl Cent Univ, Inst Space Sci, Chungli, Taiwan.</t>
  </si>
  <si>
    <t>lctsai@csrsr.ncu.edu.tw</t>
  </si>
  <si>
    <t>MOST from the Ministry of Science and Technology, Taiwan, R.O.C. [104-2111-E-008-027-MY3]; Asian Office of Aerospace Research and Development (AOARD) of the US Air Force Office of Scientific Research (AFOSR) [AOARD-13-4126]</t>
  </si>
  <si>
    <t>MOST from the Ministry of Science and Technology, Taiwan, R.O.C.; Asian Office of Aerospace Research and Development (AOARD) of the US Air Force Office of Scientific Research (AFOSR)(United States Department of DefenseAir Force Office of Scientific Research (AFOSR))</t>
  </si>
  <si>
    <t>The work was supported in part by MOST 104-2111-E-008-027-MY3 from the Ministry of Science and Technology, Taiwan, R.O.C., and in part by a grant from the Asian Office of Aerospace Research and Development (AOARD) of the US Air Force Office of Scientific Research (AFOSR) (AOARD-13-4126). The authors would also like to thank UCAR's CDAAC and NSPO Satellite Operations Control Center (SOCC) for providing FS3/COSMIC satellites data.</t>
  </si>
  <si>
    <t>10.1007/s10291-016-0591-4</t>
  </si>
  <si>
    <t>EY4LM</t>
  </si>
  <si>
    <t>WOS:000403949500018</t>
  </si>
  <si>
    <t>Chatterjee, S; Nuncio, M; Satheesan, K</t>
  </si>
  <si>
    <t>Chatterjee, S.; Nuncio, M.; Satheesan, K.</t>
  </si>
  <si>
    <t>ENSO related SST anomalies and relation with surface heat fluxes over south Pacific and Atlantic</t>
  </si>
  <si>
    <t>ENSO; Surface heat fluxes; Meridional moisture transport</t>
  </si>
  <si>
    <t>ANTARCTIC SEA-ICE; OCEAN; HEMISPHERE; OSCILLATION; TEMPERATURE; VARIABILITY; CLIMATE; ATMOSPHERE; FEEDBACK; MODES</t>
  </si>
  <si>
    <t>The role of surface heat fluxes in Southern Pacific and Atlantic Ocean SST anomalies associated with El Nino Southern Oscillation (ENSO) is studied using observation and ocean reanalysis products. A prominent dipole structure in SST anomaly is found with a positive (negative) anomaly center over south Pacific (65S-45S, 120W-70W) and negative (positive) one over south Atlantic (50S-30S, 30W-0E) during austral summer (DJF) of El Nino (LaNina). During late austral spring-early summer (OND) of El Nino (LaNina), anomalous northerly (southerly) meridional moisture transport and a positive (negative) sea level pressure anomaly induces a suppressed (enhanced) latent heat flux from the ocean surface over south Pacific. This in turn results in a shallower than normal mixed layer depth which further helps in development of the SST anomaly. Mixed layer thins further due to anomalous shortwave radiation during summer and a well developed SST anomaly evolves. The south Atlantic pole exhibits exactly opposite characteristics at the same time. The contribution from the surface heat fluxes to mixed layer temperature change is found to be dominant over the advective processes over both the basins. Net surface heat fluxes anomaly is also found to be maximum during late austral spring-early summer period, with latent heat flux having a major contribution to it. The anomalous latent heat fluxes between atmosphere and ocean surface play important role in the growth of observed summertime SST anomaly. Sea-surface height also shows similar out-of-phase signatures over the two basins and are well correlated with the ENSO related SST anomalies. It is also observed that the magnitude of ENSO related anomalies over the southern ocean are weaker in LaNina years than in El Nino years, suggesting an intensified tropics-high latitude tele-connection during warm phases of ENSO.</t>
  </si>
  <si>
    <t>[Chatterjee, S.; Nuncio, M.] Natl Ctr Antarctic &amp; Ocean Res, Vasco Da Gama 403804, Goa, India; [Satheesan, K.] Cochin Univ Sci &amp; Technol, Cochin, Kerala, India</t>
  </si>
  <si>
    <t>Ministry of Earth Sciences (MoES) - India; National Centre for Polar and Ocean Research (NCPOR); Cochin University Science &amp; Technology</t>
  </si>
  <si>
    <t>Chatterjee, S (corresponding author), Natl Ctr Antarctic &amp; Ocean Res, Vasco Da Gama 403804, Goa, India.</t>
  </si>
  <si>
    <t>sourav@ncaor.gov.in</t>
  </si>
  <si>
    <t>Chatterjee, Sourav/GLR-0397-2022; K, Satheesan/B-8495-2009</t>
  </si>
  <si>
    <t>Chatterjee, Sourav/0000-0003-4003-4371; K, Satheesan/0000-0003-1456-7203</t>
  </si>
  <si>
    <t>10.1007/s00382-016-3349-3</t>
  </si>
  <si>
    <t>EY1HI</t>
  </si>
  <si>
    <t>WOS:000403716500023</t>
  </si>
  <si>
    <t>Li, LL; An, ML; Qu, CF; Zheng, Z; Wang, YB; Liu, FM; He, YY; He, XD; Miao, JL</t>
  </si>
  <si>
    <t>Li, Lulu; An, Meiling; Qu, Changfeng; Zheng, Zhou; Wang, Yibin; Liu, Fangming; He, Yingying; He, Xiaodong; Miao, Jinlai</t>
  </si>
  <si>
    <t>Molecular cloning and expression analysis of major intrinsic protein gene in Chlamydomonas sp ICE-L from Antarctica</t>
  </si>
  <si>
    <t>Chlamydomonas sp.; ICE-L; CiMIP1 gene; qRT-PCR; Expression analysis; NPA motif; Ar/R selectivity filter</t>
  </si>
  <si>
    <t>WATER CHANNEL; AQUAPORINS; MEMBRANE; TRANSPORT; EVOLUTION; ARABIDOPSIS; SELECTIVITY; GLYCEROL; FAMILY; IDENTIFICATION</t>
  </si>
  <si>
    <t>Major intrinsic proteins (MIPs) form channels facilitating the passive transport of water and other small polar molecules across membranes. In this study, the complete open reading frame (ORF) of CiMIP1 (GenBank ID KY316061) encoding one kind of MIPs in the Antarctic ice microalga Chlamydomonas sp. ICE-L is successfully cloned using RACE. In addition, the expression patterns of CiMIP1 gene under different conditions of temperature and salinity are determined by qRT-PCR. The ORF of CiMIP1 gene encodes 308 amino acids, and the deduced amino acid sequence shows 74% homology with Chlamydomonas reinhardtii CrMIP1 (GenBank number 159471952). Phylogenetic analysis reveals that algal MIPs are divided into seven groups, and it is speculated that CiMIP1 most likely belongs to the MIPD subfamily. In addition, we are surprised to find that a third NPA motif exists at the carboxy terminus of the target protein except for two highly conserved ones. Expression analysis shows that the transcriptional levels of CiMIP1 gene are upregulated under either lower temperature or higher temperature and high salinity. In summary, the results together have provide new insights into the newly discovered gene in green algae and lay the foundation for further studies on the adaptation mechanism of Chlamydomonas sp. ICE-L to abiotic stresses.</t>
  </si>
  <si>
    <t>[Li, Lulu; Qu, Changfeng; Zheng, Zhou; Wang, Yibin; Liu, Fangming; He, Yingying; He, Xiaodong; Miao, Jinlai] First Inst Oceanog, State Ocean Adm, Key Lab Marine Bioact Subst, Qingdao 266061, Peoples R China; [An, Meiling; Miao, Jinlai] Qingdao Univ, Coll Med, Ningxia Rd 308th, Qingdao 266071, Peoples R China; [Miao, Jinlai] Qingdao Natl Lab Marine Sci &amp; Technol, Lab Marine Drugs &amp; Bioprod, Qingdao 266237, Peoples R China</t>
  </si>
  <si>
    <t>First Institute of Oceanography, Ministry of Natural Resources; Qingdao University; Laoshan Laboratory</t>
  </si>
  <si>
    <t>Miao, JL (corresponding author), First Inst Oceanog, State Ocean Adm, Key Lab Marine Bioact Subst, Qingdao 266061, Peoples R China.;Miao, JL (corresponding author), Qingdao Univ, Coll Med, Ningxia Rd 308th, Qingdao 266071, Peoples R China.;Miao, JL (corresponding author), Qingdao Natl Lab Marine Sci &amp; Technol, Lab Marine Drugs &amp; Bioprod, Qingdao 266237, Peoples R China.</t>
  </si>
  <si>
    <t>Wang, Yibin/J-6584-2017; Zheng, Zhou/JJD-0602-2023; He, Ying Ying/HZL-0137-2023</t>
  </si>
  <si>
    <t>Natural Science Foundation of China [41576187]; Basic Scientific Fund for National Public Research Institutes of China [2016Q10]; Key Research and Development Program of Shandong Province [2016ZDJS06A03]; Public Science and Technology Research Funds Projects of Ocean [201405015]; Science and Technology Planning Project of Shandong Province [2014GHY115003]; Major Projects of Independent Innovation Achievements Transformation in Shandong Province [2014ZZCX06202]; Qingdao National Laboratory for Marine Science and Technology [2015ASKJ02]; Qingdao Entrepreneurship and Innovation Pioneers Program [15-10-3-15-(44)-zch]</t>
  </si>
  <si>
    <t>Natural Science Foundation of China(National Natural Science Foundation of China (NSFC)); Basic Scientific Fund for National Public Research Institutes of China; Key Research and Development Program of Shandong Province; Public Science and Technology Research Funds Projects of Ocean; Science and Technology Planning Project of Shandong Province; Major Projects of Independent Innovation Achievements Transformation in Shandong Province; Qingdao National Laboratory for Marine Science and Technology; Qingdao Entrepreneurship and Innovation Pioneers Program</t>
  </si>
  <si>
    <t>This work was financially supported by the Natural Science Foundation of China (41576187), Basic Scientific Fund for National Public Research Institutes of China (2016Q10), Key Research and Development Program of Shandong Province (2016ZDJS06A03), Public Science and Technology Research Funds Projects of Ocean (201405015), Science and Technology Planning Project of Shandong Province (2014GHY115003), Major Projects of Independent Innovation Achievements Transformation in Shandong Province (2014ZZCX06202), Qingdao National Laboratory for Marine Science and Technology (2015ASKJ02), and Qingdao Entrepreneurship and Innovation Pioneers Program (15-10-3-15-(44)-zch).</t>
  </si>
  <si>
    <t>10.1007/s00792-017-0945-z</t>
  </si>
  <si>
    <t>EY4KC</t>
  </si>
  <si>
    <t>WOS:000403945900013</t>
  </si>
  <si>
    <t>Kidd, IM; Davis, JA; Fischer, A</t>
  </si>
  <si>
    <t>Kidd, Ian M.; Davis, Jenny A.; Fischer, Andrew</t>
  </si>
  <si>
    <t>Total exclusion barrages as sea-level rise mitigators: The geomorphological trade-offs for new installations</t>
  </si>
  <si>
    <t>OCEAN &amp; COASTAL MANAGEMENT</t>
  </si>
  <si>
    <t>Regime; Equilibrium; Total exclusion barrage; Estuarine model; Sea-level rise</t>
  </si>
  <si>
    <t>ESTUARY; CONSTRUCTION; CAUSEWAY; RIVER; MODEL</t>
  </si>
  <si>
    <t>Sea-level rise presents a looming problem for estuarine management and barrages of various types are part of the tool-kit of possible mitigation strategies. Evidence from existing installations shows that the morphological impacts of total exclusion barrages (TEBs) can be severe and few if any meet their design goals. We applied a previously developed regime model (FORM) to four existing TEBs (Moncton and Windsor in Canada, Tees Barrage in the UK and Le Chatelier in France), and demonstrated how it effectively modelled regimes before and after barrage installation. The model demonstrated a downstream non-linear 'bathymetric migration' as a new regime is established with the barrage at the head of the remnant estuary. Linear regression revealed a high correlation (R-2 similar to 0.85) with a trend-line slope &gt;0.9 (when y intercept was forced to zero) between widths of the before and after regime states for the simplest of the systems (the Petitcodiac); whereas the Tees was still in transition. Analyses of the other two systems was mostly qualitative but were consistent with the results from the Petitcodiac. The model predicted similar adverse morphological change for each of the barrage scenarios which was confirmed by the observed changes. Although all would act to mitigate sea-level rise in the headponds, tidal range increases in the remnant estuary would exacerbate sea-level rise. We conclude that results do not justify any of the TEBs suggested for various sites in the Tamar River estuary in Tasmania, Australia. The objective of mitigation of both sea-level rise and excessive silt accretion must be carefully evaluated against adverse tidal, morphological and environmental consequences. (C) 2016 Elsevier Ltd. All rights reserved.</t>
  </si>
  <si>
    <t>[Kidd, Ian M.; Fischer, Andrew] Univ Tasmania, Inst Marine &amp; Antarctic Studies, Launceston, Tas 7248, Australia; [Davis, Jenny A.] Charles Darwin Univ, Sch Environm, Darwin, NT 0800, Australia</t>
  </si>
  <si>
    <t>University of Tasmania; Charles Darwin University</t>
  </si>
  <si>
    <t>Kidd, IM (corresponding author), Univ Tasmania, Inst Marine &amp; Antarctic Studies, Launceston, Tas 7250, Australia.</t>
  </si>
  <si>
    <t>imkidd@utas.edu.au</t>
  </si>
  <si>
    <t>Fischer, Andrew/0000-0001-5284-6428</t>
  </si>
  <si>
    <t>Charles Darwin University; University of Tasmania</t>
  </si>
  <si>
    <t>The suggestions of Roger Morris of Bright Angel Coastal Consultants Ltd (UK) are greatly appreciated as is the support provided by Charles Darwin University and the University of Tasmania. The constructive suggestions of the peer reviewers have greatly enhanced the manuscript.</t>
  </si>
  <si>
    <t>0964-5691</t>
  </si>
  <si>
    <t>1873-524X</t>
  </si>
  <si>
    <t>OCEAN COAST MANAGE</t>
  </si>
  <si>
    <t>Ocean Coastal Manage.</t>
  </si>
  <si>
    <t>10.1016/j.ocecoaman.2016.08.012</t>
  </si>
  <si>
    <t>Oceanography; Water Resources</t>
  </si>
  <si>
    <t>EY1PG</t>
  </si>
  <si>
    <t>WOS:000403737200013</t>
  </si>
  <si>
    <t>Goetzendorf-Grabowski, T; Rodzewicz, M</t>
  </si>
  <si>
    <t>Goetzendorf-Grabowski, Tomasz; Rodzewicz, Miroslaw</t>
  </si>
  <si>
    <t>Design of UAV for photogrammetric mission in Antarctic area</t>
  </si>
  <si>
    <t>PROCEEDINGS OF THE INSTITUTION OF MECHANICAL ENGINEERS PART G-JOURNAL OF AEROSPACE ENGINEERING</t>
  </si>
  <si>
    <t>Aircraft design; UAV; stability; flying qualities; photogrammetry; aerial monitoring; Antarctic</t>
  </si>
  <si>
    <t>The history of UAVs is relatively long and many such vehicles are in service for different tasks. They can be used even in environments inhospitable for humans, e.g. because of extreme temperature. Moreover, they can perform a task that is difficult or impossible for a manned aircraft because of its size and usually relatively high airspeed. The photogrammetric tasks belong to this group, especially if we need to take high-resolution pictures during low level flight. The advantages of a small UAV for such mission are more evident if we want to investigate the natural environment, where the wild animals are. The paper presents the small UAV designed for a special task, which is counting of the penguins in Antarctica. Inhabited area, extreme weather conditions, the fearfulness of penguins and the goal of the mission put up certain requirements for the UAV. It had to be a reliable, stable platform, which is able to carry photogrammetric equipment and to perform precise flight to cover all investigated areas. The presented UAV was used on such missions in Antarctica in 2014 and 2015. All mentioned tasks were successfully accomplished.</t>
  </si>
  <si>
    <t>[Goetzendorf-Grabowski, Tomasz; Rodzewicz, Miroslaw] Warsaw Univ Technol, Nowowiejska 24, PL-00665 Warsaw, Poland</t>
  </si>
  <si>
    <t>Warsaw University of Technology</t>
  </si>
  <si>
    <t>Goetzendorf-Grabowski, T (corresponding author), Warsaw Univ Technol, Nowowiejska 24, PL-00665 Warsaw, Poland.</t>
  </si>
  <si>
    <t>tgrab@meil.pw.edu.pl</t>
  </si>
  <si>
    <t>Rodzewicz, Miroslaw/ABD-7241-2020; Goetzendorf-Grabowski, Tomasz/AAD-9377-2020</t>
  </si>
  <si>
    <t>Rodzewicz, Miroslaw/0000-0003-1424-8624; Goetzendorf-Grabowski, Tomasz/0000-0003-1836-1616</t>
  </si>
  <si>
    <t>project 'A novel approach to monitoring the impact of climate change on Antarctic ecosystems' in the Research Programme of the EEA/Norway [197810]</t>
  </si>
  <si>
    <t>project 'A novel approach to monitoring the impact of climate change on Antarctic ecosystems' in the Research Programme of the EEA/Norway</t>
  </si>
  <si>
    <t>The author(s) disclosed receipt of the following financial support for the research, authorship, and/or publication of this article: Thanks to the project no. 197810 'A novel approach to monitoring the impact of climate change on Antarctic ecosystems' in the Research Programme of the EEA/Norway Grants Framework.</t>
  </si>
  <si>
    <t>0954-4100</t>
  </si>
  <si>
    <t>2041-3025</t>
  </si>
  <si>
    <t>P I MECH ENG G-J AER</t>
  </si>
  <si>
    <t>Proc. Inst. Mech. Eng. Part G-J. Aerosp. Eng.</t>
  </si>
  <si>
    <t>10.1177/0954410016656881</t>
  </si>
  <si>
    <t>Engineering, Aerospace; Engineering, Mechanical</t>
  </si>
  <si>
    <t>EY3QR</t>
  </si>
  <si>
    <t>WOS:000403888600008</t>
  </si>
  <si>
    <t>Owen, CL; Marshall, DC; Hill, KBR; Simon, C</t>
  </si>
  <si>
    <t>Owen, Christopher L.; Marshall, David C.; Hill, Kathy B. R.; Simon, Chris</t>
  </si>
  <si>
    <t>How the Aridification of Australia Structured the Biogeography and Influenced the Diversification of a Large Lineage of Australian Cicadas</t>
  </si>
  <si>
    <t>SYSTEMATIC BIOLOGY</t>
  </si>
  <si>
    <t>Aridification; Australia; cicadas; diversification; Pauropsalta</t>
  </si>
  <si>
    <t>HEMIPTERA CICADIDAE; PHYLOGEOGRAPHIC DIVERGENCE; PHYLOGENETIC INFERENCE; MOLECULAR PHYLOGENIES; EXTINCTION RATES; SPECIES TREES; EVOLUTION; SOUTHEASTERN; SPECIATION; RADIATION</t>
  </si>
  <si>
    <t>Over the last 30 million years, Australia's landscape has undergone dramatic cooling and drying due to the establishment of the Antarctic Circumpolar Current and change in global CO2 levels. Studies have shown that many Australian organisms went extinct during these major cooling events, while others experienced adaptive radiations and increases in diversification rates as a result of exploiting new niches in the arid zone. Despite the many studies on diversification and biogeography in Australia, few have been continent-wide and none have focused on a group of organisms adapted to feeding on plants. We studied 162 species of cicadas in the Australian Pauropsalta complex, a large generic lineage within the tribe Cicadettini. We asked whether there were changes in the diversification rate of Pauropsalta over time and if so: 1) which clades were associated with the rate change? 2) did timing of rate shifts correspond to known periods of dramatic historical climate change, 3) did increases in diversification rate along select lineages correspond to adaptive radiations with movement into the arid zone? To address these questions, we estimated a molecular phylogeny of the Pauropsalta complex using similar to 5300 bp of nucleotide sequence data distributed among five loci (one mtDNA locus and four nDNA loci). We found that this large group of cicadas did not diversify at a constant rate as they spread through Australia; instead the signature of decreasing diversification rate changed roughly around the time of the expansion of the east Antarctic ice sheets similar to 16 Ma and the glaciation of the northern hemisphere similar to 3Ma. Unlike other Australian taxa, the Pauropsalta complex did not explosively radiate in response to an early invasion of the arid zone. Instead multiple groups invaded the arid zone and experienced rates of diversification similar to mesic-distributed taxa. We found evidence for relictual groups, located in pre-Mesozoic habitat, that have not diversified and continue to reside on mesic hosts in isolated habitat islands. Future work should focus on groups of similar ages with similar distribution patterns to determine whether this tempo and pattern of diversification and biogeography is consistent with evidence from other phytophagous insects.</t>
  </si>
  <si>
    <t>[Owen, Christopher L.; Marshall, David C.; Hill, Kathy B. R.; Simon, Chris] Univ Connecticut, Dept Ecol &amp; Evolutionary Biol, 75 N Eagleville Rd,Unit 3043, Storrs, CT 06269 USA; [Owen, Christopher L.] George Washington Univ, Computat Biol Inst, Innovat Hall,Suite 305,45085 Univ Dr, Ashburn, VA 20147 USA</t>
  </si>
  <si>
    <t>University of Connecticut; George Washington University</t>
  </si>
  <si>
    <t>Owen, CL (corresponding author), Univ Connecticut, Dept Ecol &amp; Evolutionary Biol, 75 N Eagleville Rd,Unit 3043, Storrs, CT 06269 USA.</t>
  </si>
  <si>
    <t>clowen@email.gwu.edu</t>
  </si>
  <si>
    <t>Owen, Christopher/0000-0003-0293-8601; Marshall, David/0000-0003-3581-8884</t>
  </si>
  <si>
    <t>Systematic Research Fund (The Systematic Association of London); Society of Systematic Biologists Graduate Student Research Award; NSF Doctoral Dissertation Improvement Grant; Sigma Xi; NSF [DEB 0529679, DEB 0720664, DEB 0955849]</t>
  </si>
  <si>
    <t>Systematic Research Fund (The Systematic Association of London); Society of Systematic Biologists Graduate Student Research Award; NSF Doctoral Dissertation Improvement Grant(National Science Foundation (NSF)); Sigma Xi; NSF(National Science Foundation (NSF))</t>
  </si>
  <si>
    <t>This work was supported by the Systematic Research Fund (The Systematic Association of London), Society of Systematic Biologists Graduate Student Research Award, NSF Doctoral Dissertation Improvement Grant, and the Sigma Xi Grant-in-Aid of Research [to CLO.] Additional financial support was also provided by the NSF grants [DEB 0529679 DEB 0720664, and DEB 0955849 to C.S.].</t>
  </si>
  <si>
    <t>1063-5157</t>
  </si>
  <si>
    <t>1076-836X</t>
  </si>
  <si>
    <t>SYST BIOL</t>
  </si>
  <si>
    <t>Syst. Biol.</t>
  </si>
  <si>
    <t>10.1093/sysbio/syw078</t>
  </si>
  <si>
    <t>Evolutionary Biology</t>
  </si>
  <si>
    <t>EY4FT</t>
  </si>
  <si>
    <t>WOS:000403933600006</t>
  </si>
  <si>
    <t>Yang, G; Yao, H; Mozzicafreddo, M; Ballarini, P; Pucciarelli, S; Miceli, C</t>
  </si>
  <si>
    <t>Yang, Guang; Yao, Hua; Mozzicafreddo, Matteo; Ballarini, Patrizia; Pucciarelli, Sandra; Miceli, Cristina</t>
  </si>
  <si>
    <t>Rational Engineering of a Cold-Adapted α-Amylase from the Antarctic Ciliate Euplotes focardii for Simultaneous Improvement of Thermostability and Catalytic Activity</t>
  </si>
  <si>
    <t>APPLIED AND ENVIRONMENTAL MICROBIOLOGY</t>
  </si>
  <si>
    <t>Antarctica; cold active molecule; environmental adaptation; hydrolytic activity; marine microbiology; mutant; thermostability</t>
  </si>
  <si>
    <t>PSYCHROPHILIC ENZYMES; NUCLEOTIDE-SEQUENCE; THERMAL-ADAPTATION; PROTEIN; STABILITY; GENE; MUTAGENESIS; RESIDUES; DETERMINANTS; PULLULANASE</t>
  </si>
  <si>
    <t>The alpha-amylases are endo-acting enzymes that hydrolyze starch by randomly cleaving the 1,4-alpha-D-glucosidic linkages between the adjacent glucose units in a linear amylose chain. They have significant advantages in a wide range of applications, particularly in the food industry. The eukaryotic alpha-amylase isolated from the Antarctic ciliated protozoon Euplotes focardii (EfAmy) is an alkaline enzyme, different from most of the alpha-amylases characterized so far. Furthermore, EfAmy has the characteristics of a psychrophilic alpha-amylase, such as the highest hydrolytic activity at a low temperature and high thermolability, which is the major drawback of cold-active enzymes in industrial applications. In this work, we applied site-directed mutagenesis combined with rational design to generate a cold-active EfAmy with improved thermostability and catalytic efficiency at low temperatures. We engineered two EfAmy mutants. In one mutant, we introduced Pro residues on the A and B domains in surface loops. In the second mutant, we changed Val residues to Thr close to the catalytic site. The aim of these substitutions was to rigidifythe molecular structure of the enzyme. Furthermore, we also analyzed mutants containing these combined substitutions. Biochemical enzymatic assays of engineered versions of EfAmy revealed that the combination of mutations at the surface loops increased the thermostability and catalytic efficiency of the enzyme. The possible mechanisms responsible for the changes in the biochemical properties are discussed by analyzing the three-dimensional structural model. IMPORTANCE Cold-adapted enzymes have high specific activity at low and moderate temperatures, a property that can be extremely useful in various applications as it implies a reduction in energy consumption during the catalyzedreaction. However, the concurrent high thermolability of cold-adapted enzymes often limits their applications in industrial processes. The alpha-amylase from the psychrophilic Antarctic ciliate Euplotes focardii (named EfAmy) is a cold-adapted enzyme with optimal catalytic activity in an alkaline environment. These unique features distinguish it from most alpha-amylases characterized so far. In this work, we engineered a novel EfAmy with improved thermostability, substrate binding affinity, and catalytic efficiency to various extents, without impacting its pH preference. These characteristics can be considered important properties for use in the food, detergent, and textile industries and in other industrial applications. The enzyme engineering strategy developed in this study may also provide useful knowledge for future optimization of molecules to be used in particular industrial applications.</t>
  </si>
  <si>
    <t>[Yang, Guang; Yao, Hua; Mozzicafreddo, Matteo; Ballarini, Patrizia; Pucciarelli, Sandra; Miceli, Cristina] Univ Camerino, Sch Biosci &amp; Vet Med, Camerino, Macerata, Italy; [Yang, Guang] Univ Florida, Dept Med Chem, Gainesville, FL USA</t>
  </si>
  <si>
    <t>University of Camerino; State University System of Florida; University of Florida</t>
  </si>
  <si>
    <t>Miceli, C (corresponding author), Univ Camerino, Sch Biosci &amp; Vet Med, Camerino, Macerata, Italy.</t>
  </si>
  <si>
    <t>cristina.miceli@unicam.it</t>
  </si>
  <si>
    <t>Mozzicafreddo, M./AAW-2816-2021</t>
  </si>
  <si>
    <t>Mozzicafreddo, M./0000-0001-9835-8446</t>
  </si>
  <si>
    <t>Italian Programma Nazionale di Ricerche in Antartide (PNRA); European Commission Marie Sklodowska-Curie Actions H RISE Metable [65693]</t>
  </si>
  <si>
    <t>Italian Programma Nazionale di Ricerche in Antartide (PNRA); European Commission Marie Sklodowska-Curie Actions H RISE Metable</t>
  </si>
  <si>
    <t>This work was supported by grants from the Italian Programma Nazionale di Ricerche in Antartide (PNRA) and by the European Commission Marie Sklodowska-Curie Actions H2020 RISE Metable 65693.</t>
  </si>
  <si>
    <t>0099-2240</t>
  </si>
  <si>
    <t>1098-5336</t>
  </si>
  <si>
    <t>APPL ENVIRON MICROB</t>
  </si>
  <si>
    <t>Appl. Environ. Microbiol.</t>
  </si>
  <si>
    <t>e00449-17</t>
  </si>
  <si>
    <t>10.1128/AEM.00449-17</t>
  </si>
  <si>
    <t>EX8JN</t>
  </si>
  <si>
    <t>WOS:000403495700009</t>
  </si>
  <si>
    <t>Gómez, M; Ausín, MC; Domínguez, MC</t>
  </si>
  <si>
    <t>Gomez, Mario; Concepcion Ausin, M.; Carmen Dominguez, M.</t>
  </si>
  <si>
    <t>Seasonal copula models for the analysis of glacier discharge at King George Island, Antarctica</t>
  </si>
  <si>
    <t>STOCHASTIC ENVIRONMENTAL RESEARCH AND RISK ASSESSMENT</t>
  </si>
  <si>
    <t>Bayesian inference; Copulas; Glacier discharge; Seasonality; MCMC; Melt modelling</t>
  </si>
  <si>
    <t>ICE CAP; MELT</t>
  </si>
  <si>
    <t>Modelling glacier discharge is an important issue in hydrology and climate research. Glaciers represent a fundamental water resource when melting of ice and snow contributes to runoff. Glaciers are also studied as natural global warming sensors. GLACKMA association has implemented one of their Pilot Experimental Catchment areas at the King George Island in the Antarctica which records values of the liquid discharge from Collins glacier. In this paper, we propose the use of time-varying copula models for analyzing the relationship between air temperature and glacier discharge, which is clearly non constant and non linear through time. A seasonal copula model is defined where both the marginal and copula parameters vary periodically along time following a seasonal dynamic. Full Bayesian inference is performed such that the marginal and copula parameters are estimated in a one single step, in contrast with the usual two-step approach. Bayesian prediction and model selection is also carried out for the proposed model such that Bayesian credible intervals can be obtained for the conditional glacier discharge given a value of the temperature at any given time point. The proposed methodology is illustrated using the GLACKMA real data where there is, in addition, a hydrological year of missing discharge data which were not possible to measure accurately due to problems in the sounding.</t>
  </si>
  <si>
    <t>[Gomez, Mario; Concepcion Ausin, M.] Univ Carlos III Madrid, Dept Stat, Calle Madrid 126, Madrid 28903, Spain; [Carmen Dominguez, M.] Univ Salamanca, Dept Appl Math, Salamanca, Spain</t>
  </si>
  <si>
    <t>Universidad Carlos III de Madrid; University of Salamanca</t>
  </si>
  <si>
    <t>Gómez, M (corresponding author), Univ Carlos III Madrid, Dept Stat, Calle Madrid 126, Madrid 28903, Spain.</t>
  </si>
  <si>
    <t>mario.gomez@uc3m.es; causin@est-econ.uc3m.es; karmenka@usal.es</t>
  </si>
  <si>
    <t>AUSIN, CONCEPCION/Y-9443-2019</t>
  </si>
  <si>
    <t>AUSIN, CONCEPCION/0000-0003-0904-6542; Gomez, Mario/0000-0002-9273-3580</t>
  </si>
  <si>
    <t>UC3M-BS Institute of Financial Big Data at Universidad Carlos III de Madrid; European Science Foundation, ESF project IMCOAST [EUI2009-04068]; Ministerio de Educacion y Ciencia [CGL2007-65522-C02-01/ANT]</t>
  </si>
  <si>
    <t>UC3M-BS Institute of Financial Big Data at Universidad Carlos III de Madrid; European Science Foundation, ESF project IMCOAST; Ministerio de Educacion y Ciencia(Spanish Government)</t>
  </si>
  <si>
    <t>We would like to thank two anonymous referees for their helpful comments. We are very grateful to the GLACKMA association. The second author acknowledges financial support by UC3M-BS Institute of Financial Big Data at Universidad Carlos III de Madrid. The third author would like to thank the Russian, Argentinean, German, Uruguayan and Chilean Antarctic Programs for their continuous logistic support over the years. The crews of Bellingshausen, Artigas, and Carlini station as well as the Dallmann Laboratory provided a warm and pleasant environment during fieldwork. GLACKMA's contribution was also partially financed by the European Science Foundation, ESF project IMCOAST (EUI2009-04068) and the Ministerio de Educacion y Ciencia (CGL2007-65522-C02-01/ANT).</t>
  </si>
  <si>
    <t>1436-3240</t>
  </si>
  <si>
    <t>1436-3259</t>
  </si>
  <si>
    <t>STOCH ENV RES RISK A</t>
  </si>
  <si>
    <t>Stoch. Environ. Res. Risk Assess.</t>
  </si>
  <si>
    <t>10.1007/s00477-016-1217-7</t>
  </si>
  <si>
    <t>Engineering, Environmental; Engineering, Civil; Environmental Sciences; Statistics &amp; Probability; Water Resources</t>
  </si>
  <si>
    <t>Engineering; Environmental Sciences &amp; Ecology; Mathematics; Water Resources</t>
  </si>
  <si>
    <t>EX9CZ</t>
  </si>
  <si>
    <t>WOS:000403553900005</t>
  </si>
  <si>
    <t>Yu, Y; Wan, WX; Reid, IM; Chen, JS; Vincent, RA; Ning, BQ; Murphy, DJ; Yang, GT; Xu, XH; MacKinnon, AD; Lie, N; Yan, CX; Liu, L; Hu, LH; Ren, ZP; Zhang, Y</t>
  </si>
  <si>
    <t>Yu, You; Wan, Weixing; Reid, Iain M.; Chen, Jinsong; Vincent, Robert A.; Ning, Baiqi; Murphy, Damian J.; Yang, Guotao; Xu, Xianghui; MacKinnon, Andrew D.; Lie, Na; Yan, Chunxiao; Liu, Libo; Hu, Lianhuan; Ren, Zhipeng; Zhang, Yun</t>
  </si>
  <si>
    <t>Global tidal mapping from observations of a radar campaign</t>
  </si>
  <si>
    <t>Radar campaign; MLT tides; Hough mode decomposition; Pole-to-pole tidal mapping</t>
  </si>
  <si>
    <t>LATENT-HEAT RELEASE; SEMIDIURNAL TIDE; DIURNAL TIDES; SEASONAL-VARIATIONS; TERDIURNAL TIDE; METEOR RADAR; MLT; MIDDLE; TEMPERATURES; VARIABILITY</t>
  </si>
  <si>
    <t>Based on the one-month (October, 2014) wind observations of 11 radars distributed in both hemispheres along the 120 degrees E meridian during a radar campaign, this article reports on improvements of the tidal mapping technique proposed before (Yu et al., 2013) by extending the latitude coverage to the global scale (from pole to pole). We first present the tidal components decomposed from the wind observations at different stations. It is revealed that the tidal components are stronger 'at stations in the Northern Hemisphere than in the Southern Hemisphere. Then, Hough mode decomposition is performed to extract the contributions of different tidal modes for each decomposed tidal component. The expected dominant mode, (1, 1) mode, is the strongest. The trapped (1, 2) mode also contributes a lot to the diurnal component. Yet for the semidiurnal component, (2, 4) mode along with (2, 5) mode make considerable contributions. In contrast, (3, 5) mode has the strongest amplitude for the terdiurnal component. At last, the tidal mapping technique proposed before is improved to get the pole-to-pole structure of each tidal component, based on the extracted tidal modes. The mapped tidal components successfully construct the general latitudinal and altitudinal distributions, compared with the Thermosphere Ionosphere Mesosphere Energetics and Dynamics Doppler Interferometer (TIDI) observations and Global Scale Wave Model (GSWM-09) results. Comparison of the predicted and observed tidal wind (for example, at Wuhan Station) indicates the capability of the mapping technique for reproducing the local time and altitude variations of the original observations. Crown Copyright (C) 2017 Published by Elsevier Ltd on behalf of COSPAR. All rights reserved.</t>
  </si>
  <si>
    <t>[Yu, You; Wan, Weixing; Ning, Baiqi; Liu, Libo; Hu, Lianhuan; Ren, Zhipeng; Zhang, Yun] Chinese Acad Sci, Key Lab Earth &amp; Planetary Phys, Inst Geol &amp; Geophys, 19 Beitucheng West RD, Beijing 100029, Peoples R China; [Yu, You; Wan, Weixing; Ning, Baiqi; Liu, Libo; Hu, Lianhuan; Ren, Zhipeng; Zhang, Yun] Chinese Acad Sci, Beijing Natl Observ Space Environm, Inst Geol &amp; Geophys, Beijing, Peoples R China; [Yu, You; Wan, Weixing; Ning, Baiqi; Liu, Libo; Hu, Lianhuan; Ren, Zhipeng] Univ Chinese Acad Sci, Coll Earth Sci, Beijing, Peoples R China; [Reid, Iain M.; Vincent, Robert A.; MacKinnon, Andrew D.] Univ Adelaide, Sch Phys Sci, Adelaide, SA 5005, Australia; [Chen, Jinsong; Lie, Na] China Res Inst Radiowave Propagat, Natl Key Lab Electromagnet Environm, 36 Xianshan East RD, Qingdao 266107, Shandong, Peoples R China; [Murphy, Damian J.] Australian Antarctic Div, 203 Channel Highway, Kingston, Tas 7050, Australia; [Yang, Guotao; Yan, Chunxiao] Chinese Acad Sci, State Key Lab Space Weather, Natl Space Sci Ctr, 1 Nanertiao, Beijing 100190, Peoples R China; [Xu, Xianghui] Univ Sci &amp; Technol China, CAS Key Lab Geospace Environm, Dept Geophys &amp; Planetary Sci, 96 JinZhai RD, Hefei 230026, Anhui, Peoples R China</t>
  </si>
  <si>
    <t>Chinese Academy of Sciences; Institute of Geology &amp; Geophysics, CAS; Chinese Academy of Sciences; Institute of Geology &amp; Geophysics, CAS; Chinese Academy of Sciences; University of Chinese Academy of Sciences, CAS; University of Adelaide; Australian Antarctic Division; Chinese Academy of Sciences; National Space Science Center, CAS; Chinese Academy of Sciences; University of Science &amp; Technology of China, CAS</t>
  </si>
  <si>
    <t>Yu, Y (corresponding author), Chinese Acad Sci, Inst Geol &amp; Geophys, 19 Beitucheng West RD, Beijing 100029, Peoples R China.</t>
  </si>
  <si>
    <t>yuyou@mail.iggcas.ac.cn; wanw@mail.iggcas.ac.cn; iain.reid@adelaide.edu.au; jschen@space-weather.ac.cn; robert.vincent@adelaide.edu.au; nbq@mail.iggcas.ac.cn; damian.murphy@aad.gov.au; gtyang@spaceweather.ac.cn; xuexh@ustc.edu.cn; andrew.mackinnon@adelaide.edu.au; lina861@sina.com; cxyan@nssc.ac.cn; liul@mail.iggcass.ac.cn; hulh@mail.iggcas.ac.cn; zpren@mail.iggcas.ac.cn; zhangyun@mail.iggcas.ac.cn</t>
  </si>
  <si>
    <t>Yang, Guotao/N-8854-2013; Liu, Libo/A-2370-2012; Ning, Baiqi/A-2573-2012; Vincent, Robert A/E-5450-2013; Xue, Xianghui/E-1225-2012; Reid, Iain/B-5681-2012</t>
  </si>
  <si>
    <t>Liu, Libo/0000-0001-5773-0184; Vincent, Robert A/0000-0001-6559-6544; Reid, Iain/0000-0003-2340-9047</t>
  </si>
  <si>
    <t>National Science Foundation of China [41404128, 41131066, 41621063, 41322030, 41474133, 41674160]; China Postdoctoral Science Foundation [2015T80130]; Specialized Research Fund for State Key Laboratories, National Important Basic Research Project [2011CB811405]; Chinese Academy of Sciences [KZZD-EW-01-2]; Australian Antarctic Science project [2668, 4025]</t>
  </si>
  <si>
    <t>National Science Foundation of China(National Natural Science Foundation of China (NSFC)); China Postdoctoral Science Foundation(China Postdoctoral Science Foundation); Specialized Research Fund for State Key Laboratories, National Important Basic Research Project; Chinese Academy of Sciences(Chinese Academy of Sciences); Australian Antarctic Science project</t>
  </si>
  <si>
    <t>The work is supported by National Science Foundation of China (41404128, 41131066, 41621063, 41322030, 41474133, 41674160), Project funded by China Postdoctoral Science Foundation (2015T80130), Project Supported by the Specialized Research Fund for State Key Laboratories, National Important Basic Research Project (2011CB811405), and the Chinese Academy of Sciences (KZZD-EW-01-2). The Davis 33 MHz meteor radar was supported by Australian Antarctic Science projects 2668 and 4025.</t>
  </si>
  <si>
    <t>10.1016/j.asr.2017.03.037</t>
  </si>
  <si>
    <t>EY9FO</t>
  </si>
  <si>
    <t>WOS:000404304700011</t>
  </si>
  <si>
    <t>Yang, Y; Moore, AM; Krisciunas, K; Wang, LF; Ashley, MCB; Fu, JN; Brown, PJ; Cui, XQ; Feng, LL; Gong, XF; Hu, ZW; Lawrence, JS; Luong-Van, D; Riddle, RL; Shang, ZH; Sims, G; Storey, JWV; Suntzeff, NB; Tothill, N; Travouillon, T; Yang, HG; Yang, J; Zhou, X; Zhu, ZX</t>
  </si>
  <si>
    <t>Yang, Yi; Moore, Anna M.; Krisciunas, Kevin; Wang, Lifan; Ashley, Michael C. B.; Fu, Jianning; Brown, Peter J.; Cui, Xiangqun; Feng, Long-Long; Gong, Xuefei; Hu, Zhongwen; Lawrence, Jon S.; Luong-Van, Daniel; Riddle, Reed L.; Shang, Zhaohui; Sims, Geoff; Storey, John W. V.; Suntzeff, Nicholas B.; Tothill, Nick; Travouillon, Tony; Yang, Huigen; Yang, Ji; Zhou, Xu; Zhu, Zhenxi</t>
  </si>
  <si>
    <t>Optical Sky Brightness and Transparency during the Winter Season at Dome A Antarctica from the Gattini-All-Sky Camera</t>
  </si>
  <si>
    <t>ASTRONOMICAL JOURNAL</t>
  </si>
  <si>
    <t>methods: data analysis; methods: statistical; site testing; techniques: photometric; telescopes</t>
  </si>
  <si>
    <t>MEDIUM INTENSITY AURORA; SINGLE-STAR SCIDAR; CSTAR PHOTOMETRY; SURFACE-LAYER; SOUTH-POLE; QUANTITATIVE SPECTROSCOPY; LIGHT POLLUTION; VARIABLE-STARS; MAUNA-KEA; SITE</t>
  </si>
  <si>
    <t>The summit of the Antarctic plateau, Dome A, is proving to be an excellent site for optical, near-infrared, and terahertz astronomical observations. Gattini is a wide-field camera installed on the PLATO instrument module as part of the Chinese-led traverse to Dome A in 2009 January. We present here the measurements of sky brightness with the Gattini ultra-large field of view (90 degrees X 90 degrees) in the photometric B-, V-, and R-bands; cloud cover statistics measured during the 2009 winter season; and an estimate of the sky transparency. A cumulative probability distribution indicates that the darkest 10% of the nights at Dome A have sky brightness of S-B = 22.98, S-V = 21.86, and S-R = 21.68 mag arcsec(-2). These values were obtained during the year 2009 with minimum aurora, and they are comparable to the faintest sky brightness at Maunakea and the best sites of northern Chile. Since every filter includes strong auroral lines that effectively contaminate the sky brightness measurements, for instruments working around the auroral lines, either with custom filters or with high spectral resolution instruments, these values could be easily obtained on a more routine basis. In addition, we present example light curves for bright targets to emphasize the unprecedented observational window function available from this ground-based site. These light curves will be published in a future paper.</t>
  </si>
  <si>
    <t>[Yang, Yi; Krisciunas, Kevin; Wang, Lifan; Brown, Peter J.; Suntzeff, Nicholas B.] Texas A&amp;M Univ, George P &amp; Cynthia Woods Mitchell Inst Fundamenta, Dept Phys &amp; Astron, 4242 TAMU, College Stn, TX 77843 USA; [Yang, Yi; Fu, Jianning] Beijing Normal Univ, Dept Astron, Beijing 100875, Peoples R China; [Moore, Anna M.] Australian Natl Univ, Res Sch Astron &amp; Astrophys, Canberra, ACT 2611, Australia; [Wang, Lifan; Cui, Xiangqun; Feng, Long-Long; Gong, Xuefei; Hu, Zhongwen; Shang, Zhaohui; Yang, Huigen; Yang, Ji; Zhou, Xu; Zhu, Zhenxi] Chinese Acad Sci, Chinese Ctr Antarct Astron, Purple Mt Observ, Nanjing 210008, Jiangsu, Peoples R China; [Wang, Lifan; Feng, Long-Long; Yang, Ji; Zhu, Zhenxi] Chinese Acad Sci, Purple Mt Observ, Nanjing 210008, Jiangsu, Peoples R China; [Ashley, Michael C. B.; Luong-Van, Daniel; Sims, Geoff; Storey, John W. V.] Univ New South Wales, Sch Phys, Sydney, NSW 2052, Australia; [Cui, Xiangqun; Gong, Xuefei; Hu, Zhongwen] Chinese Acad Sci, Nanjing Inst Astron Opt &amp; Technol, Natl Astron Observ, Nanjing 210042, Jiangsu, Peoples R China; [Lawrence, Jon S.] Australian Astron Observ, Sydney, NSW 2113, Australia; [Riddle, Reed L.; Travouillon, Tony] CALTECH, Pasadena, CA 91125 USA; [Shang, Zhaohui] Tianjin Normal Univ, Tianjin Astrophys Ctr, Tianjin 300387, Peoples R China; [Tothill, Nick] Univ Western Sydney, Sch Comp Engn &amp; Math, Penrith, NSW 2751, Australia; [Yang, Huigen] Polar Res Inst China, Shanghai 200136, Peoples R China; [Zhou, Xu] Chinese Acad Sci, Natl Astron Observ, Beijing 100012, Peoples R China</t>
  </si>
  <si>
    <t>Texas A&amp;M University System; Texas A&amp;M University College Station; Beijing Normal University; Australian National University; Purple Mountain Observatory, CAS; Chinese Academy of Sciences; Nanjing Institute of Astronomical Optics &amp; Technology, NAOC, CAS; Chinese Academy of Sciences; Nanjing Institute of Astronomical Optics &amp; Technology, NAOC, CAS; Purple Mountain Observatory, CAS; University of New South Wales Sydney; Chinese Academy of Sciences; National Astronomical Observatory, CAS; Nanjing Institute of Astronomical Optics &amp; Technology, NAOC, CAS; California Institute of Technology; Tianjin Normal University; Western Sydney University; Polar Research Institute of China; Chinese Academy of Sciences; National Astronomical Observatory, CAS</t>
  </si>
  <si>
    <t>Yang, Y (corresponding author), Texas A&amp;M Univ, George P &amp; Cynthia Woods Mitchell Inst Fundamenta, Dept Phys &amp; Astron, 4242 TAMU, College Stn, TX 77843 USA.;Yang, Y (corresponding author), Beijing Normal Univ, Dept Astron, Beijing 100875, Peoples R China.</t>
  </si>
  <si>
    <t>ngc4594@physics.tamu.edu</t>
  </si>
  <si>
    <t>Riddle, Reed/AAC-1584-2022; Brown, Patrick/E-4085-2012; Tothill, Nicholas/O-2682-2019; Tothill, Nicholas/M-6379-2016</t>
  </si>
  <si>
    <t>Riddle, Reed/0000-0002-0387-370X; Brown, Patrick/0000-0001-6857-8608; Ashley, Michael/0000-0003-1412-2028; Brown, Peter/0000-0001-6272-5507; Travouillon, Tony/0000-0001-9304-6718; Lawrence, Jon/0000-0002-6998-6993; Tothill, Nicholas/0000-0002-9931-5162; Suntzeff, Nicholas/0000-0002-8102-181X; Yang, Ji/0000-0001-7768-7320; Moore, Anna/0000-0002-2894-6936</t>
  </si>
  <si>
    <t>Chinese PANDA International Polar Year project; Polar Research Institute of China; National Science Foundation Office of Polar Programs [ANT 0836571, ANT 0909664, ANT 1043282]; Strategic Priority Research Program The Emergence of Cosmological Structures of the Chinese Academy of Sciences [XDB09000000]; Joint Fund of Astronomy of the National Natural Science Foundation of China (NSFC); Chinese Academy of Sciences [U1231202]; NSFC [11673003]; National Basic Research Program of China (973 Program) [2014CB845700, 2013CB834900]; LAMOST Fellowship; Australian Research Council; Australian Antarctic Division; University of New South Wales</t>
  </si>
  <si>
    <t>Chinese PANDA International Polar Year project; Polar Research Institute of China; National Science Foundation Office of Polar Programs(National Science Foundation (NSF)NSF - Directorate for Geosciences (GEO)); Strategic Priority Research Program The Emergence of Cosmological Structures of the Chinese Academy of Sciences; Joint Fund of Astronomy of the National Natural Science Foundation of China (NSFC)(National Natural Science Foundation of China (NSFC)); Chinese Academy of Sciences(Chinese Academy of Sciences); NSFC(National Natural Science Foundation of China (NSFC)); National Basic Research Program of China (973 Program)(National Basic Research Program of China); LAMOST Fellowship; Australian Research Council(Australian Research Council); Australian Antarctic Division; University of New South Wales</t>
  </si>
  <si>
    <t>We thank Shri Kulkarni and Caltech Optical Observatories, Gerard Van Belle, and Chas Beichman for their financial contributions to this project. We are grateful to Xiaofeng Wang, Chao Wu, Ming Yang, Tianmeng Zhang, Yanping Zhang, and Jilin Zhou for helpful discussions. This research is supported by the Chinese PANDA International Polar Year project and the Polar Research Institute of China. The project was funded by the following awards from the National Science Foundation Office of Polar Programs: ANT 0836571, ANT 0909664, and ANT 1043282. The project was also supported by the Strategic Priority Research Program The Emergence of Cosmological Structures of the Chinese Academy of Sciences, Grant No. XDB09000000. J.N.F. acknowledges the support from the Joint Fund of Astronomy of the National Natural Science Foundation of China (NSFC) and Chinese Academy of Sciences through the grant U1231202, the NSFC grant 11673003, the National Basic Research Program of China (973 Program 2014CB845700 and 2013CB834900), and the LAMOST Fellowship supported by the Special Funding for Advanced Users, budgeted and administrated by the Center for Astronomical Mega-Science, Chinese Academy of Sciences (CAMS). The operation of PLATO at Dome A is supported by the Australian Research Council, the Australian Antarctic Division, and the University of New South Wales. The authors wish to thank all the members of the 2008/2009/2010 PRIC Dome A heroic expeditions.</t>
  </si>
  <si>
    <t>0004-6256</t>
  </si>
  <si>
    <t>1538-3881</t>
  </si>
  <si>
    <t>ASTRON J</t>
  </si>
  <si>
    <t>Astron. J.</t>
  </si>
  <si>
    <t>10.3847/1538-3881/aa73dc</t>
  </si>
  <si>
    <t>EX8DC</t>
  </si>
  <si>
    <t>WOS:000403478000001</t>
  </si>
  <si>
    <t>Riddick, SN; Blackall, TD; Dragosits, U; Tang, YS; Moring, A; Daunt, F; Wanless, S; Hamer, KC; Sutton, MA</t>
  </si>
  <si>
    <t>Riddick, S. N.; Blackall, T. D.; Dragosits, U.; Tang, Y. S.; Moring, A.; Daunt, F.; Wanless, S.; Hamer, K. C.; Sutton, M. A.</t>
  </si>
  <si>
    <t>High temporal resolution modelling of environmentally-dependent seabird ammonia emissions: Description and testing of the GUANO model</t>
  </si>
  <si>
    <t>Seabird; Ammonia; Dynamic model; Climate</t>
  </si>
  <si>
    <t>EXCHANGE; DISPERSION; BUILDINGS; NITROGEN</t>
  </si>
  <si>
    <t>Many studies in recent years have highlighted the ecological implications of adding reactive nitrogen (Nr) to terrestrial ecosystems. Seabird colonies represent a situation with concentrated sources of Nr, through excreted and accumulated guano, often occurring in otherwise nutrient-poor areas. To date, there has been little attention given to modelling N flows in this context, and particularly to quantifying the relationship between ammonia (NH3) emissions and meteorology. This paper presents a dynamic mass flow model (GUANO) that simulates temporal variations in NH3 emissions from seabird guano. While the focus is on NH3 emissions, the model necessarily also treats the interaction with wash -off as far as this affects NH3. The model is validated using NH3 emissions measurements from seabird colonies across a range of climates, from sub -polar to tropical. In simulations for hourly time-resolved data, the model is able to capture the observed dependence of NH3 emission on environmental variables. With temperature and wind speed having the greatest effects on emission for the cases considered. In comparison with empirical data, the percentage of excreted nitrogen that volatilizes as NH3 is found to range from 2% to 67% (based on measurements), with the GUANO model providing a range of 2%-82%. The model provides a tool that can be used to investigate the meteorological dependence of NH3 emissions from seabird guano and provides a starting point to refine models of NH3 emissions from other sources. (C) 2017 Published by Elsevier Ltd.</t>
  </si>
  <si>
    <t>[Riddick, S. N.; Dragosits, U.; Tang, Y. S.; Moring, A.; Daunt, F.; Wanless, S.; Sutton, M. A.] Ctr Ecol &amp; Hydrol Edinburgh, Bush Estate, Penicuik EH26 0QB, Midlothian, Scotland; [Riddick, S. N.; Blackall, T. D.] Kings Coll London, Dept Geog, London WC2R 2LS, England; [Riddick, S. N.] Princeton Univ, Dept Civil &amp; Environm Engn, Princeton, NJ 08540 USA; [Hamer, K. C.] Univ Leeds, Sch Biol, Leeds LS2 9JT, W Yorkshire, England; [Moring, A.] Univ Edinburgh, Sch Geosci, Edinburgh EH9 3FE, Midlothian, Scotland</t>
  </si>
  <si>
    <t>UK Centre for Ecology &amp; Hydrology (UKCEH); University of London; King's College London; Princeton University; University of Leeds; University of Edinburgh</t>
  </si>
  <si>
    <t>Riddick, SN (corresponding author), Ctr Ecol &amp; Hydrol Edinburgh, Bush Estate, Penicuik EH26 0QB, Midlothian, Scotland.</t>
  </si>
  <si>
    <t>sriddick@princeton.edu</t>
  </si>
  <si>
    <t>Sutton, Mark/K-2700-2012; Daunt, Francis/K-6688-2012</t>
  </si>
  <si>
    <t>Sutton, Mark/0000-0002-1342-2072; Tang, Sim/0000-0002-7814-3998</t>
  </si>
  <si>
    <t>NERC CEH Integrating Fund; NERC thematic programme (GANE); EU ECLAIRE project; Conservation Department on Ascension Island; Queensland Department of National Parks, Recreation, Sports and Racing; Scottish National Heritage, British Antarctic Survey and Paul Hill of the University of Bangor; BAS CGS; Natural Environment Research Council [ceh020001] Funding Source: researchfish; NERC [ceh020001] Funding Source: UKRI</t>
  </si>
  <si>
    <t>NERC CEH Integrating Fund; NERC thematic programme (GANE); EU ECLAIRE project; Conservation Department on Ascension Island; Queensland Department of National Parks, Recreation, Sports and Racing; Scottish National Heritage, British Antarctic Survey and Paul Hill of the University of Bangor; BAS CGS; Natural Environment Research Council(UK Research &amp; Innovation (UKRI)Natural Environment Research Council (NERC)); NERC(UK Research &amp; Innovation (UKRI)Natural Environment Research Council (NERC))</t>
  </si>
  <si>
    <t>The work described in this paper was supported by grants from the NERC CEH Integrating Fund and the NERC thematic programme (GANE). MAS and AM gratefully acknowledge support through the EU ECLAIRE project. We thank the Conservation Department on Ascension Island, Queensland Department of National Parks, Recreation, Sports and Racing, Scottish National Heritage, British Antarctic Survey and Paul Hill of the University of Bangor for providing access/logistic support. We thank D. Briggs of BAS on Signy for information on meteorology and nesting penguins, and the BAS Bird Island crew for their technical and physical support (BAS CGS grant).</t>
  </si>
  <si>
    <t>10.1016/j.atmosenv.2017.04.020</t>
  </si>
  <si>
    <t>EX8QS</t>
  </si>
  <si>
    <t>hybrid, Green Accepted, Green Submitted</t>
  </si>
  <si>
    <t>WOS:000403515900006</t>
  </si>
  <si>
    <t>Bae, JH; Kim, IH; Lee, KT; Hou, CT; Kim, HR</t>
  </si>
  <si>
    <t>Bae, Jae-Han; Kim, In-Hwan; Lee, Ki-Teak; Hou, Ching T.; Kim, Hak-Ryul</t>
  </si>
  <si>
    <t>Molecular cloning and characterization of a novel cold-active lipase from Pichia lynferdii NRRL Y-7723</t>
  </si>
  <si>
    <t>BIOCATALYSIS AND AGRICULTURAL BIOTECHNOLOGY</t>
  </si>
  <si>
    <t>Lipase; Cold-active; Cloning; Pichia lynferdii</t>
  </si>
  <si>
    <t>ESCHERICHIA-COLI; ADAPTED LIPASE; SACCHAROMYCES-CEREVISIAE; ANTARCTIC BACTERIA; MORAXELLA TA144; GENE CLONING; EXPRESSION; PURIFICATION; SEQUENCE; ENZYMES</t>
  </si>
  <si>
    <t>Lipase is one of the widely used biocatalysts, which is well studied for its application in industrial production. Recently, lipases with special characteristics such as thermo-stability, alkaline-, acidic nature, and cold-activity, have gained attention for effective applications in specific purposes. Previously, Pichia lynferdii NRRL Y-7723 was reported to produce high amounts of extracellular cold-active lipase (Kim et al., 2010). In this study, we report the identification of lip1 gene that encodes an extracellular cold-active lipase from P. lynferdii NRRL Y-7723. The open reading frame of the gene consisted of 1122 bp of nucleotides that encoded a protein with 373 amino acids. The deduced molecular weight and isoelectric point were 41.8 kDa and pH 5.82, respectively. The lip1 gene was cloned into a bacterial expression vector, and the recombinant lipase was successfully expressed and purified. Several parameters of the recombinant lipase were analyzed, and Lip1 showed high activity at low temperature.</t>
  </si>
  <si>
    <t>[Bae, Jae-Han; Kim, Hak-Ryul] Kyungpook Natl Univ, Sch Food Sci &amp; Biotechnol, Daegu 702701, South Korea; [Kim, In-Hwan] Korea Univ, Dept Food &amp; Nutr, Seoul, South Korea; [Lee, Ki-Teak] Chungnam Natl Univ, Dept Food Sci &amp; Technol, Daejeon, South Korea; [Hou, Ching T.] ARS, Renewable Prod Technol Res Unit, Natl Ctr Agr Utilizat Res, USDA, Peoria, IL USA; [Kim, Hak-Ryul] Kyungpook Natl Univ, Inst Agr Sci &amp; Technol, Daegu, South Korea</t>
  </si>
  <si>
    <t>Kyungpook National University; Korea University; Chungnam National University; United States Department of Agriculture (USDA); Kyungpook National University</t>
  </si>
  <si>
    <t>Kim, HR (corresponding author), Kyungpook Natl Univ, Sch Food Sci &amp; Biotechnol, Daegu 702701, South Korea.</t>
  </si>
  <si>
    <t>hakrkim@knu.ac.kr</t>
  </si>
  <si>
    <t>National Research Foundation of Korea (NRF) - Ministry of Education, Science and Technology [2010-0023701]</t>
  </si>
  <si>
    <t>National Research Foundation of Korea (NRF) - Ministry of Education, Science and Technology(Ministry of Education, Science &amp; Technology (MEST), Republic of KoreaNational Research Foundation of Korea)</t>
  </si>
  <si>
    <t>This research was supported by the Basic Science Research Program through the National Research Foundation of Korea (NRF) funded by the Ministry of Education, Science and Technology (2010-0023701).</t>
  </si>
  <si>
    <t>1878-8181</t>
  </si>
  <si>
    <t>BIOCATAL AGRIC BIOTE</t>
  </si>
  <si>
    <t>Biocatal. Agric. Biotechnol.</t>
  </si>
  <si>
    <t>10.1016/j.bcab.2017.05.008</t>
  </si>
  <si>
    <t>FL8LB</t>
  </si>
  <si>
    <t>WOS:000414500200003</t>
  </si>
  <si>
    <t>Amory, C; Gallée, H; Naaim-Bouvet, F; Favier, V; Vignon, E; Picard, G; Trouvilliez, A; Piard, L; Genthon, C; Bellot, H</t>
  </si>
  <si>
    <t>Amory, Charles; Gallee, Hubert; Naaim-Bouvet, Florence; Favier, Vincent; Vignon, Etienne; Picard, Ghislain; Trouvilliez, Alexandre; Piard, Luc; Genthon, Christophe; Bellot, Herve</t>
  </si>
  <si>
    <t>Seasonal Variations in Drag Coefficient over a Sastrugi-Covered Snowfield in Coastal East Antarctica</t>
  </si>
  <si>
    <t>BOUNDARY-LAYER METEOROLOGY</t>
  </si>
  <si>
    <t>Antarctica; Drag coefficient; Drifting snow; Sastrugi; Snow surface roughness</t>
  </si>
  <si>
    <t>ADELIE LAND ANTARCTICA; THRESHOLD WIND-SPEEDS; WESTERN WEDDELL SEA; SNOW SURFACE; KATABATIC WINDS; BLOWING SNOW; PROFILE MEASUREMENTS; ROUGHNESS LENGTH; ICE-SHEET; PACK ICE</t>
  </si>
  <si>
    <t>The surface of windy Antarctic snowfields is subject to drifting snow, which leads to the formation of sastrugi. In turn, sastrugi contribute to the drag exerted by the snowsurface on the atmosphere and hence influence drifting snow. Although the surface drag over rough sastrugi fields has been estimated for individual locations in Antarctica, its variation over time and with respect to drifting snow has received little attention. Using year-round data from a meteorological mast, seasonal variations in the neutral drag coefficient at a height of 10m (C-DN10) in coastal Adelie Land are presented and discussed in light of the formation and behaviour of sastrugi based on observed aeolian erosion patterns. The measurements revealed high C-DN10 values (&gt;= 2 x 10(-3)) and limited drifting snow (35% of the time) in summer (December-February) versus lower C-DN10 values (approximate to 1.5 x 10(-3)) associated with more frequent drifting snow (70% of the time) in winter (March-November). Without the seasonal distinction, there was no clear dependence of C-DN10 on friction velocity or wind direction, but observations revealed a general increase in C-DN10 with rising air temperature. Themain hypothesis defended here is that higher temperatures increase snowcohesion and the development of sastrugi just after snow deposition while inhibiting the sastrugi streamlining process by raising the erosion threshold. This increases the contribution of the sastrugi form drag to the total surface drag in summer when winds are lighter and more variable. The analysis also showed that, in the absence of erosion, single snowfall events can reduce C-DN10 to 1 x 10(-3) due to the burying of pre-existing microrelief under newly deposited snow. The results suggest that polar atmospheric models should account for spatial and temporal variations in snow surface roughness through a dynamic representation of the sastrugi form drag.</t>
  </si>
  <si>
    <t>[Amory, Charles; Gallee, Hubert; Favier, Vincent; Vignon, Etienne; Picard, Ghislain; Trouvilliez, Alexandre; Piard, Luc; Genthon, Christophe] Univ Grenoble Alpes, IRD, CNRS, IGE, Grenoble, France; [Amory, Charles; Naaim-Bouvet, Florence; Trouvilliez, Alexandre; Bellot, Herve] Univ Grenoble Alpes, IRSTEA, Grenoble, France; [Amory, Charles] Univ Liege, Dept Geog, Liege, Belgium</t>
  </si>
  <si>
    <t>Communaute Universite Grenoble Alpes; Universite Grenoble Alpes (UGA); Centre National de la Recherche Scientifique (CNRS); Institut de Recherche pour le Developpement (IRD); Communaute Universite Grenoble Alpes; Universite Grenoble Alpes (UGA); INRAE; University of Liege</t>
  </si>
  <si>
    <t>Amory, C (corresponding author), Univ Grenoble Alpes, IRD, CNRS, IGE, Grenoble, France.;Amory, C (corresponding author), Univ Grenoble Alpes, IRSTEA, Grenoble, France.;Amory, C (corresponding author), Univ Liege, Dept Geog, Liege, Belgium.</t>
  </si>
  <si>
    <t>charles.amory@ulg.ac.be</t>
  </si>
  <si>
    <t>Picard, Ghislain/D-4246-2013; Favier, Vincent/T-1936-2017</t>
  </si>
  <si>
    <t>Picard, Ghislain/0000-0003-1475-5853; VIGNON, Etienne/0000-0003-3801-9367; Favier, Vincent/0000-0001-6024-9498; Amory, Charles/0000-0002-5906-4303</t>
  </si>
  <si>
    <t>French Polar Institute IPEV [CALVA-1013]; ASUMA [ANR-14-CE01-0001-01]; INSU/LEFE/DEPHY2; OSUG through CENA-CLAM/GLACIOCLIM</t>
  </si>
  <si>
    <t>French Polar Institute IPEV; ASUMA; INSU/LEFE/DEPHY2; OSUG through CENA-CLAM/GLACIOCLIM</t>
  </si>
  <si>
    <t>This work would not have been possible without the financial and logistical support of the French Polar Institute IPEV (program CALVA-1013) and the financial support of the ANR-14-CE01-0001-01 (ASUMA). Additional funding by INSU/LEFE/DEPHY2, and OSUG through the CENA-CLAM/GLACIOCLIM observatory are also acknowledged. The authors would like to thank all the on-site personnel in Dumont d'Urville and Cap Prud'homme for their precious help in the field, in particular Philippe Dordhain for electronic and technical support, as well as the three anonymous reviewers for their useful comments that helped improve the manuscript.</t>
  </si>
  <si>
    <t>0006-8314</t>
  </si>
  <si>
    <t>1573-1472</t>
  </si>
  <si>
    <t>BOUND-LAY METEOROL</t>
  </si>
  <si>
    <t>Bound.-Layer Meteor.</t>
  </si>
  <si>
    <t>10.1007/s10546-017-0242-5</t>
  </si>
  <si>
    <t>FD2OO</t>
  </si>
  <si>
    <t>WOS:000407374700006</t>
  </si>
  <si>
    <t>Boland, EJD; Bracegirdle, TJ; Shuckburgh, EF</t>
  </si>
  <si>
    <t>Boland, Emma J. D.; Bracegirdle, Thomas J.; Shuckburgh, Emily F.</t>
  </si>
  <si>
    <t>Assessment of sea ice-atmosphere links in CMIP5 models</t>
  </si>
  <si>
    <t>Sea ice; Arctic; CMIP5; NAM; NAO; Barents-Kara sea</t>
  </si>
  <si>
    <t>NORTH-ATLANTIC OSCILLATION; CIRCULATION RESPONSE; ARCTIC AMPLIFICATION; ANNULAR MODE; VARIABILITY; CLIMATE; PROJECTIONS; TRENDS; TOP</t>
  </si>
  <si>
    <t>The Arctic is currently undergoing drastic changes in climate, largely thought to be due to so-called 'Arctic amplification', whereby local feedbacks enhance global warming. Recently, a number of observational and modelling studies have questioned what the implications of this change in Arctic sea ice extent might be for weather in Northern Hemisphere midlatitudes, and in particular whether recent extremely cold winters such as 2009/10 might be consistent with an influence from observed Arctic sea ice decline. However, the proposed mechanisms for these links have not been consistently demonstrated. In a uniquely comprehensive cross-season and cross-model study, we show that the CMIP5 models provide no support for a relationship between declining Arctic sea ice and a negative NAM, or between declining Barents-Kara sea ice and cold European temperatures. The lack of evidence for the proposed links is consistent with studies that report a low signal-to-noise ratio in these relationships. These results imply that, whilst links may exist between declining sea ice and extreme cold weather events in the Northern Hemisphere, the CMIP5 model experiments do not show this to be a leading order effect in the long-term. We argue that this is likely due to a combination of the limitations of the CMIP5 models and an indication of other important long-term influences on Northern Hemisphere climate.</t>
  </si>
  <si>
    <t>[Boland, Emma J. D.; Bracegirdle, Thomas J.; Shuckburgh, Emily F.] British Antarctic Survey, Madingley Rd, Cambridge CB3 0ET, England</t>
  </si>
  <si>
    <t>Boland, EJD (corresponding author), British Antarctic Survey, Madingley Rd, Cambridge CB3 0ET, England.</t>
  </si>
  <si>
    <t>emmomp@bas.ac.uk</t>
  </si>
  <si>
    <t>Boland, Emma/AFV-9181-2022; Bracegirdle, Tom/AAD-6060-2020</t>
  </si>
  <si>
    <t>Boland, Emma/0000-0003-2430-7763; Shuckburgh, Emily/0000-0001-9206-3444; Bracegirdle, Thomas/0000-0002-8868-4739</t>
  </si>
  <si>
    <t>Natural Environment Research Council, UK; NERC [NE/I028947/1, bas0100032, NE/I029072/1, NE/N018095/1, bas0100033] Funding Source: UKRI; Natural Environment Research Council [NE/N018095/1, bas0100032, NE/I029072/1, NE/I028947/1, bas0100033] Funding Source: researchfish</t>
  </si>
  <si>
    <t>Natural Environment Research Council, UK(UK Research &amp; Innovation (UKRI)Natural Environment Research Council (NERC)); NERC(UK Research &amp; Innovation (UKRI)Natural Environment Research Council (NERC)); Natural Environment Research Council(UK Research &amp; Innovation (UKRI)Natural Environment Research Council (NERC))</t>
  </si>
  <si>
    <t>We would like to thank two anonymous reviewers for their useful comments. The authors were supported by the Natural Environment Research Council, UK. The CMIP5 data were accessed via the British Atmospheric Data Centre.</t>
  </si>
  <si>
    <t>10.1007/s00382-016-3367-1</t>
  </si>
  <si>
    <t>WOS:000403716500039</t>
  </si>
  <si>
    <t>Landais, A; Casado, M; Prié, F; Magand, O; Arnaud, L; Ekaykin, A; Petit, JR; Picard, G; Fily, M; Minster, B; Touzeau, A; Goursaud, S; Masson-Delmotte, V; Jouzel, J; Orsi, A</t>
  </si>
  <si>
    <t>Landais, Amaelle; Casado, Mathieu; Prie, Frederic; Magand, Olivier; Arnaud, Laurent; Ekaykin, Alexey; Petit, Jean-Robert; Picard, Ghislain; Fily, Michel; Minster, Benedicte; Touzeau, Alexandra; Goursaud, Sentia; Masson-Delmotte, Valerie; Jouzel, Jean; Orsi, Anais</t>
  </si>
  <si>
    <t>Surface studies of water isotopes in Antarctica for quantitative interpretation of deep ice core data</t>
  </si>
  <si>
    <t>COMPTES RENDUS GEOSCIENCE</t>
  </si>
  <si>
    <t>Ice core; Water isotopes; Antarctica</t>
  </si>
  <si>
    <t>EPICA DOME C; EAST ANTARCTICA; STABLE-ISOTOPES; VOSTOK STATION; EQUILIBRIUM FRACTIONATION; TEMPERATURE; SNOW; DEUTERIUM; PRECIPITATION; GREENLAND</t>
  </si>
  <si>
    <t>Polar ice cores are unique climate archives. Indeed, most of them have a continuous stratigraphy and present high temporal resolution of many climate variables in a single archive. While water isotopic records (delta D or delta O-18) in ice cores are often taken as references for past atmospheric temperature variations, their relationship to temperature is associated with a large uncertainty. Several reasons are invoked to explain the limitation of such an approach; in particular, post-deposition effects are important in East Antarctica because of the low accumulation rates. The strong influence of post-deposition processes highlights the need for surface polar research programs in addition to deep drilling programs. We present here new results on water isotopes from several recent surface programs, mostly over East Antarctica. Together with previously published data, the new data presented in this study have several implications for the climatic reconstructions based on ice core isotopic data: (1) The spatial relationship between surface mean temperature and mean snow isotopic composition over the first meters in depth can be explained quite straightforwardly using simple isotopic models tuned to d-excess vs. delta O-18 evolution in transects on the East Antarctic sector. The observed spatial slopes are significantly higher (similar to 0.7-0.8 parts per thousand. degrees C (1) for delta O-18 vs. temperature) than seasonal slopes inferred from precipitation data at Vostok and Dome C (0.35 to 0.46 parts per thousand. degrees C (1)). We explain these differences by changes in condensation versus surface temperature between summer and winter in the central East Antarctic plateau, where the inversion layer vanishes in summer. (2) Post-deposition effects linked to exchanges between the snow surface and the atmospheric water vapor lead to an evolution of delta O-18 in the surface snow, even in the absence of any precipitation event. This evolution preserves the positive correlation between the delta O-18 of snow and surface temperature, but is associated with a much slower delta O-18-vs-temperature slope than the slope observed in the seasonal precipitation. (3) Post-deposition effects clearly limit the archiving of high-resolution (seasonal) climatic variability in the polar snow, but we suggest that sites with an accumulation rate of the order of 40 kg.m (2).yr (1) may record a seasonal cycle at shallow depths. (C) 2017 Academie des sciences. Published by Elsevier Masson SAS. All rights reserved.</t>
  </si>
  <si>
    <t>[Landais, Amaelle; Casado, Mathieu; Prie, Frederic; Minster, Benedicte; Touzeau, Alexandra; Goursaud, Sentia; Masson-Delmotte, Valerie; Jouzel, Jean; Orsi, Anais] CEA CNRS UVSQ UPS, Lab Sci Climat &amp; Environm IPSL, UMR8212, F-91190 Gif Sur Yvette, France; [Magand, Olivier; Arnaud, Laurent; Petit, Jean-Robert; Picard, Ghislain; Fily, Michel] Univ Grenoble Alpes, CNRS, IRD, IGE, F-38000 Grenoble, France; [Ekaykin, Alexey] Arctic &amp; Antarctic Res Inst, St Petersburg 199397, Russia; [Landais, Amaelle; Casado, Mathieu; Prie, Frederic; Magand, Olivier; Arnaud, Laurent; Ekaykin, Alexey; Petit, Jean-Robert; Picard, Ghislain; Fily, Michel; Minster, Benedicte; Touzeau, Alexandra; Goursaud, Sentia; Masson-Delmotte, Valerie; Jouzel, Jean; Orsi, Anais] St Petersburg State Univ, Inst Earth Sci, St Petersburg 199397, Russia</t>
  </si>
  <si>
    <t>Centre National de la Recherche Scientifique (CNRS); CNRS - National Institute for Earth Sciences &amp; Astronomy (INSU); CEA; Universite Paris Saclay; Institut de Recherche pour le Developpement (IRD); Communaute Universite Grenoble Alpes; Universite Grenoble Alpes (UGA); Centre National de la Recherche Scientifique (CNRS); Arctic &amp; Antarctic Research Institute; Saint Petersburg State University</t>
  </si>
  <si>
    <t>Landais, A (corresponding author), CEA CNRS UVSQ UPS, Lab Sci Climat &amp; Environm IPSL, UMR8212, F-91190 Gif Sur Yvette, France.</t>
  </si>
  <si>
    <t>amaelle.landais@lsce.ipsl.fr</t>
  </si>
  <si>
    <t>Masson-Delmotte, Valerie L/G-1995-2011; Ekaykin, Alexey A./K-9894-2015; Picard, Ghislain/D-4246-2013</t>
  </si>
  <si>
    <t>Masson-Delmotte, Valerie L/0000-0001-8296-381X; Picard, Ghislain/0000-0003-1475-5853; arnaud, laurent/0000-0002-4432-4205; LANDAIS, Amaelle/0000-0002-5620-5465; Casado, Mathieu/0000-0002-8185-415X; Goursaud Oger, Sentia/0000-0002-9990-4258</t>
  </si>
  <si>
    <t>European Research Council [306045]; Agence nationale de la recherche [ANR-07-VULN-0013]; European Research Council (ERC) [306045] Funding Source: European Research Council (ERC); Agence Nationale de la Recherche (ANR) [ANR-07-VULN-0013] Funding Source: Agence Nationale de la Recherche (ANR)</t>
  </si>
  <si>
    <t>European Research Council(European Research Council (ERC)); Agence nationale de la recherche(Agence Nationale de la Recherche (ANR)); European Research Council (ERC)(European Research Council (ERC)Spanish Government); Agence Nationale de la Recherche (ANR)(Agence Nationale de la Recherche (ANR))</t>
  </si>
  <si>
    <t>The research leading to these results has received funding from the European Research Council under the European Union's Seventh Framework Program (FP7/2007-2013)/RC grant agreement number 306045. Ice cores, snow samples (pits and surface) were drilled within the International TASTE-IDEA (Trans-Antarctic Scientific Traverse Expeditions-Ice Divide of East Antarctica)/VANISH (Vulnerability of ANtarctic Ice SHeet and its atmosphere) programs supported by the Agence nationale de la recherche'' (Project No. ANR-07-VULN-0013), during the 2006/2007 and 2011/2012 summer campaigns, with logistical support from Institut polaire francais Paul-Emile-Victor'' (IPEV). We thank all the field team members who contributed to the success of the 2006-2007 TASTE-IDEA/VANISH summer campaigns.</t>
  </si>
  <si>
    <t>1631-0713</t>
  </si>
  <si>
    <t>1778-7025</t>
  </si>
  <si>
    <t>CR GEOSCI</t>
  </si>
  <si>
    <t>C. R. Geosci.</t>
  </si>
  <si>
    <t>10.1016/j.crte.2017.05.003</t>
  </si>
  <si>
    <t>FG3HT</t>
  </si>
  <si>
    <t>WOS:000410036100001</t>
  </si>
  <si>
    <t>Roberts, J; Curran, M; Poynter, S; Moy, A; van Ommen, T; Vance, T; Tozer, C; Graham, FS; Young, DA; Plummer, C; Pedro, J; Blankenship, D; Siegert, M</t>
  </si>
  <si>
    <t>Roberts, Jason; Curran, Mark; Poynter, Samuel; Moy, Andrew; van Ommen, Tas; Vance, Tessa; Tozer, Carly; Graham, Felicity S.; Young, Duncan A.; Plummer, Christopher; Pedro, Joel; Blankenship, Donald; Siegert, Martin</t>
  </si>
  <si>
    <t>Correlation confidence limits for unevenly sampled data</t>
  </si>
  <si>
    <t>COMPUTERS &amp; GEOSCIENCES</t>
  </si>
  <si>
    <t>Unevenly sampled data; Autocorrelation; Bootstrapping; Gaussian kernel method; Confidence limits</t>
  </si>
  <si>
    <t>TIME-SERIES; METHANESULFONIC-ACID; EAST ANTARCTICA; BOOTSTRAP; COEFFICIENT; INTERVALS</t>
  </si>
  <si>
    <t>Estimation of correlation with appropriate uncertainty limits for scientific data that are potentially serially correlated is a common, problem made seriously challenging especially when data are sampled unevenly in space and/or time. Here we present a new, robust method for estimating correlation with uncertainty limits between autocorrelated series that does not require either resampling or interpolation. The technique employs the Gaussian kernel method with a bootstrapping resampling approach to derive the probability density function and resulting uncertainties. The method is validated using an example from radar geophysics. Autocorrelation and error bounds are estimated for an airborne radio-echo profile of ice sheet thickness. The computed limits are robust when withholding 10%, 20%, and 50% of data. As a further example, the method is applied to two time-series of methanesulphonic acid in Antarctic ice cores from different sites. We show how the method allows evaluation of the significance of correlation where the signal-to-noise ratio is low and reveals that the two ice cores exhibit a significant common signal.</t>
  </si>
  <si>
    <t>[Roberts, Jason; Curran, Mark; Moy, Andrew; van Ommen, Tas] Australian Antarctic Div, Dept Environm, Kingston, Tas 7050, Australia; [Roberts, Jason; Curran, Mark; Moy, Andrew; van Ommen, Tas; Vance, Tessa; Tozer, Carly; Plummer, Christopher; Pedro, Joel] Univ Tasmania, Antarctic Climate &amp; Ecosyst Cooperat Res Ctr, Private Bag 80, Hobart, Tas 7001, Australia; [Poynter, Samuel] Univ Melbourne, Fac Vet &amp; Agr Sci, Burnley, Lancs 3121, Australia; [Tozer, Carly] Univ Newcastle, Callaghan, NSW, Australia; [Graham, Felicity S.; Plummer, Christopher] Univ Tasmania, Inst Marine &amp; Antarctic Studies, Hobart, Tas 7001, Australia; [Young, Duncan A.; Blankenship, Donald] Univ Texas Austin, Jackson Sch Geosci, Austin, TX USA; [Pedro, Joel] Univ Copenhagen, Niels Bohr Inst, Ctr Ice &amp; Climate, Copenhagen, Denmark; [Siegert, Martin] Imperial Coll London, Grantham Inst, London, England; [Siegert, Martin] Imperial Coll London, Dept Earth Sci &amp; Engn, London, England</t>
  </si>
  <si>
    <t>Australian Antarctic Division; Antarctic Climate &amp; Ecosystems Cooperative Research Centre (ACE CRC); University of Tasmania; University of Melbourne; University of Newcastle; University of Tasmania; University of Texas System; University of Texas Austin; University of Copenhagen; Niels Bohr Institute; Imperial College London; Imperial College London</t>
  </si>
  <si>
    <t>Roberts, J (corresponding author), Australian Antarctic Div, Dept Environm, Kingston, Tas 7050, Australia.</t>
  </si>
  <si>
    <t>Jason.Roberts@aad.gov.au</t>
  </si>
  <si>
    <t>Pedro, Joel/M-5632-2014; Young, Duncan A./G-6256-2010; Siegert, Martin/M-9939-2019; Tozer, Carly R/E-9936-2013; Pedro, Joel Benjamin/L-8918-2019; Siegert, Martin J/A-3826-2008; Roberts, Jason L/B-2235-2012; van Ommen, Tas/B-5020-2012; McCormack, Felicity/B-9218-2015; Poynter, Samuel/O-9808-2016</t>
  </si>
  <si>
    <t>Pedro, Joel/0000-0002-0728-2712; Siegert, Martin/0000-0002-0090-4806; Tozer, Carly R/0000-0001-8605-5907; Pedro, Joel Benjamin/0000-0002-0728-2712; Siegert, Martin J/0000-0002-0090-4806; Roberts, Jason L/0000-0002-3477-4069; van Ommen, Tas/0000-0002-2463-1718; McCormack, Felicity/0000-0002-2324-2120; Poynter, Samuel/0000-0002-5841-2687; Vance, Tessa/0000-0001-6970-8646; Plummer, Christopher/0000-0002-9765-5753</t>
  </si>
  <si>
    <t>UK Natural Environment Research Council [NE/D003733/1]; NSF [ANT-0733025]; Jackson School of Geosciences; G. Unger Vetlesen Foundation; Australian Antarctic Division [AAS 757, 1172, 2198, 3025, 3103, 4061, 4077, 4346]; Australian Government's Cooperative Research Centres Programme through the Antarctic Climate &amp; Ecosystems Cooperative Research Centre (ACE CRC); Australian Research Council's Special Research Initiative for Antarctic Gateway Partnership [SR140300001]</t>
  </si>
  <si>
    <t>UK Natural Environment Research Council(UK Research &amp; Innovation (UKRI)Natural Environment Research Council (NERC)); NSF(National Science Foundation (NSF)); Jackson School of Geosciences; G. Unger Vetlesen Foundation; Australian Antarctic Division; Australian Government's Cooperative Research Centres Programme through the Antarctic Climate &amp; Ecosystems Cooperative Research Centre (ACE CRC)(Australian GovernmentDepartment of Industry, Innovation and ScienceCooperative Research Centres (CRC) Programme); Australian Research Council's Special Research Initiative for Antarctic Gateway Partnership(Australian Research Council)</t>
  </si>
  <si>
    <t>Funding for this work was provided by the UK Natural Environment Research Council Grant NE/D003733/1, NSF Grant ANT-0733025, the Jackson School of Geosciences and the G. Unger Vetlesen Foundation. The Australian Antarctic Division provided funding and logistical support (AAS 757, 1172, 2198, 3025, 3103, 4061, 4077 and 4346). This work was supported by the Australian Government's Cooperative Research Centres Programme through the Antarctic Climate &amp; Ecosystems Cooperative Research Centre (ACE CRC). This research was supported under Australian Research Council's Special Research Initiative for Antarctic Gateway Partnership (Project ID SR140300001).</t>
  </si>
  <si>
    <t>0098-3004</t>
  </si>
  <si>
    <t>1873-7803</t>
  </si>
  <si>
    <t>COMPUT GEOSCI-UK</t>
  </si>
  <si>
    <t>Comput. Geosci.</t>
  </si>
  <si>
    <t>10.1016/j.cageo.2016.09.011</t>
  </si>
  <si>
    <t>Computer Science, Interdisciplinary Applications; Geosciences, Multidisciplinary</t>
  </si>
  <si>
    <t>Computer Science; Geology</t>
  </si>
  <si>
    <t>EW2VA</t>
  </si>
  <si>
    <t>WOS:000402352900013</t>
  </si>
  <si>
    <t>Greene, CA; Gwyther, DE; Blankenship, DD</t>
  </si>
  <si>
    <t>Greene, Chad A.; Gwyther, David E.; Blankenship, Donald D.</t>
  </si>
  <si>
    <t>Antarctic Mapping Tools for MATLAB</t>
  </si>
  <si>
    <t>MATLAB; Antarctica; GIS</t>
  </si>
  <si>
    <t>ELEVATION CHANGE; SATELLITE RADAR</t>
  </si>
  <si>
    <t>We present the Antarctic Mapping Tools package, an open-source MATLAB toolbox for analysis and plotting of Antarctic geospatial datasets. This toolbox is designed to streamline scientific workflow and maximize repeatability through functions which allow fully scripted data analysis and mapping. Data access is facilitated by several dataset-specific plugins which are freely available online. An open architecture has been chosen to encourage users to develop and share plugins for future Antarctic geospatial datasets. This toolbox includes functions for coordinate transformations, flight line or ship track analysis, and data mapping in georeferenced or projected coordinates. Each function is thoroughly documented with clear descriptions of function syntax alongside examples of data analysis or display using Antarctic geospatial data. The Antarctic Mapping Tools package is designed for ease of use and allows users to perform each step of data processing including raw data import, data analysis, and creation of publication-quality maps, wholly within the numerical environment of MATLAB. (C) 2016 Elsevier Ltd. All rights reserved.</t>
  </si>
  <si>
    <t>[Greene, Chad A.; Blankenship, Donald D.] Univ Texas Austin, Inst Geophys, 10100 Burnet Rd, Austin, TX 78712 USA; [Gwyther, David E.] Univ Tasmania, Inst Marine &amp; Antarctic Studies, Private Bag 129, Hobart, Tas 7001, Australia; [Gwyther, David E.] Univ Tasmania, Antarctic Climate &amp; Ecosyst Cooperat Res Ctr, Private Bag 80, Hobart, Tas 7001, Australia</t>
  </si>
  <si>
    <t>University of Texas System; University of Texas Austin; University of Tasmania; Antarctic Climate &amp; Ecosystems Cooperative Research Centre (ACE CRC); University of Tasmania</t>
  </si>
  <si>
    <t>Greene, CA (corresponding author), Univ Texas Austin, Inst Geophys, 10100 Burnet Rd, Austin, TX 78712 USA.</t>
  </si>
  <si>
    <t>chad@chadagreene.com</t>
  </si>
  <si>
    <t>Greene, Chad/HTQ-9931-2023; Gwyther, David E/Q-2987-2018; Gwyther, David E/O-4880-2017; Greene, Chad A/Q-2471-2018; Blankenship, Donald D./G-5935-2010</t>
  </si>
  <si>
    <t>Greene, Chad/0000-0001-6710-6297; Gwyther, David E/0000-0002-7218-2785; Gwyther, David E/0000-0002-7218-2785; Greene, Chad A/0000-0001-6710-6297;</t>
  </si>
  <si>
    <t>NASA grant [NNX11AH89G]; NSF [CDI-0941678, PLR-1143843]; University of Texas at Austin's Jackson School of Geosciences; G. Unger Vetlesen Foundation; NASA [145068, NNX11AH89G] Funding Source: Federal RePORTER</t>
  </si>
  <si>
    <t>NASA grant(National Aeronautics &amp; Space Administration (NASA)); NSF(National Science Foundation (NSF)); University of Texas at Austin's Jackson School of Geosciences; G. Unger Vetlesen Foundation; NASA(National Aeronautics &amp; Space Administration (NASA))</t>
  </si>
  <si>
    <t>This work was supported by NASA grant NNX11AH89G, NSF grants CDI-0941678 and PLR-1143843, the University of Texas at Austin's Jackson School of Geosciences, and the G. Unger Vetlesen Foundation. We thank Laurie Padman and one anonymous reviewer for their helpful comments. AMT and supporting plugins include sections of code written by John Barber, Andrew K. Bliss, Aslak Grinsted, John Iversen, Kelly A. Kearney, Andrew Roberts, Douglas Schwarz, and James Slegers. All codes adapted for use in AMT are covered by the permissive free MIT or Berkeley Software Distribution license. This is UTIG contribution 2953.</t>
  </si>
  <si>
    <t>10.1016/j.cageo.2016.08.003</t>
  </si>
  <si>
    <t>WOS:000402352900016</t>
  </si>
  <si>
    <t>Sugden, DE; Hein, AS; Woodward, J; Marrero, SM; Rodés, A; Dunning, SA; Stuart, FM; Freeman, SPHT; Winter, K; Westoby, MJ</t>
  </si>
  <si>
    <t>Sugden, David E.; Hein, Andrew S.; Woodward, John; Marrero, Shasta M.; Rodes, Angel; Dunning, Stuart A.; Stuart, Finlay M.; Freeman, Stewart P. H. T.; Winter, Kate; Westoby, Matthew J.</t>
  </si>
  <si>
    <t>The million-year evolution of the glacial trimline in the southernmost Ellsworth Mountains, Antarctica</t>
  </si>
  <si>
    <t>West Antarctic Ice Sheet; Ellsworth Mountains; glacial trimline; exposure ages; mid-Miocene; depth profile</t>
  </si>
  <si>
    <t>WEDDELL SEA EMBAYMENT; ICE-SHEET; TRANSANTARCTIC MOUNTAINS; LANDSCAPE EVOLUTION; EROSION; CLIMATE; BENEATH; VALLEY; RANGE; FLOW</t>
  </si>
  <si>
    <t>An elevated erosional trimline in the heart of West Antarctica in the Ellsworth Mountains tells of thicker ice in the past and represents an important yet ambiguous stage in the evolution of the Antarctic Ice Sheet. Here we analyse the geomorphology of massifs in the southernmost Heritage Range where the surfaces associated with the trimline are overlain by surficial deposits that have the potential to be dated through cosmogenic nuclide analysis. Analysis of 100 rock samples reveals that some clasts have been exposed on glacially moulded surfaces for 1.4 Ma and perhaps more than 3.5 Ma, while others reflect fluctuations in thickness during Quaternary glacial cycles. Modelling the age of the glacially moulded bedrock surface based on cosmogenic 1 Be, (26)A1 and Ne-21 concentrations from a depth-profile indicates a minimum exposure age of 2.1-2.6 Ma. We conclude that the glacially eroded surfaces adjacent to the trimline predate the Last Glacial Maximum and indeed the Quaternary. Since erosion was by warm-based ice near an ice-sheet upper margin, we suggest it first occurred during the early glaciations of Antarctica before the stepped cooling of the mid-Miocene at 14 Ma. This was a time when the interior Antarctic continent had summers warm enough for tundra vegetation to grow and for mountain glaciers to consist of ice at the pressure melting point. During these milder conditions, and subsequently, erosion of glacial troughs is likely to have lowered the ice-sheet surface in relation to the mountains. This means that the range of orbitally induced cyclic fluctuations in ice thickness have progressively been confined to lower elevations. (C) 2017 The Authors. Published by Elsevier B.V. This is an open access article under the CC BY license</t>
  </si>
  <si>
    <t>[Sugden, David E.; Hein, Andrew S.; Marrero, Shasta M.] Univ Edinburgh, Inst Geog, Sch GeoSci, Edinburgh EH8 9XP, Midlothian, Scotland; [Woodward, John; Winter, Kate; Westoby, Matthew J.] Northumbria Univ, Dept Geog, Newcastle Upon Tyne NE1 8ST, Tyne &amp; Wear, England; [Rodes, Angel; Stuart, Finlay M.; Freeman, Stewart P. H. T.] Scottish Univ Environm Res Ctr, Rankine Ave, E Kilbride G75 0QF, Lanark, Scotland; [Dunning, Stuart A.] Newcastle Univ, Sch Geog Polit &amp; Sociol, Newcastle Upon Tyne NE1 7RU, Tyne &amp; Wear, England</t>
  </si>
  <si>
    <t>University of Edinburgh; Northumbria University; Scottish Universities Research &amp; Reactor Center; Newcastle University - UK</t>
  </si>
  <si>
    <t>Sugden, DE (corresponding author), Univ Edinburgh, Inst Geog, Sch GeoSci, Edinburgh EH8 9XP, Midlothian, Scotland.</t>
  </si>
  <si>
    <t>David.Sugden@ed.ac.uk</t>
  </si>
  <si>
    <t>Rodes, Angel/C-9228-2011; Freeman, Stewart/AAA-6544-2020; Stuart, Finlay M/E-7417-2010; Dunning, Stuart A/A-1820-2010; Hein, Andrew/JWO-3756-2024; Woodward, John/I-1046-2013; Westoby, Matthew/D-3880-2016</t>
  </si>
  <si>
    <t>Rodes, Angel/0000-0001-8488-7689; Freeman, Stewart/0000-0001-6148-3171; Marrero, Shasta/0000-0003-2917-0292; Westoby, Matthew/0000-0002-2070-5580; Winter, Kate/0000-0003-2389-8637; Woodward, John/0000-0002-4980-4080</t>
  </si>
  <si>
    <t>UK Natural Environment Research Council [NE/1025840/1, NE/1034194/1, NE/G013071/1]; NERC [NE/G013071/1, NE/I027576/1, ciaf010001] Funding Source: UKRI; Natural Environment Research Council [NE/I027576/1] Funding Source: researchfish</t>
  </si>
  <si>
    <t>The research was supported by the UK Natural Environment Research Council: Grant numbers NE/1025840/1, NE/1034194/1 and NE/G013071/1. We thank the British Antarctic Survey for logistical and field support. Peter Nienow, Greg Balco and Johan Kleman added constructive insights.</t>
  </si>
  <si>
    <t>10.1016/j.epsl.2017.04.006</t>
  </si>
  <si>
    <t>EW4AP</t>
  </si>
  <si>
    <t>WOS:000402444700004</t>
  </si>
  <si>
    <t>Gili, S; Gaiero, DM; Goldstein, SL; Chemale, F; Jweda, J; Kaplan, MR; Becchio, RA; Koester, E</t>
  </si>
  <si>
    <t>Gili, Stefania; Gaiero, Diego M.; Goldstein, Steven L.; Chemale, Farid, Jr.; Jweda, Jason; Kaplan, Michael R.; Becchio, Raul A.; Koester, Edinei</t>
  </si>
  <si>
    <t>Glacial/interglacial changes of Southern Hemisphere wind circulation from the geochemistry of South American dust</t>
  </si>
  <si>
    <t>Southern westerly winds; dust; REE; radiogenic isotopes; South America; Antarctica</t>
  </si>
  <si>
    <t>EAST ANTARCTICA; PATAGONIAN ANDES; GLACIAL PERIODS; ATLANTIC SECTOR; TALOS DOME; ICE CORE; OCEAN; ND; PROVENANCE; SEDIMENTS</t>
  </si>
  <si>
    <t>The latitudinal displacement of the southern westerlies and associated climate systems is a key parameter for understanding the variations of Southern Hemisphere atmospheric circulation during the Late Quaternary Period. To increase understanding of past atmospheric circulation and of the paleo-environmental conditions associated with continental dust sources, we dig deeper into dust provenance in paleo-archives of the Southern Hemisphere. We present here a Sr-Nd isotopic and rare earth element study of surface sediments collected along a similar to 4000 km latitudinal band from arid and semi-arid terrains in southern South America. Findings from terrains that served as paleo-dust suppliers are compared with modern dust collected from monitoring stations along the same latitudinal band, which affords a test on how actual present-day aeolian compositions compare to those of the past potential source areas. Moreover, the comparison between past and present-day datasets is useful for understanding presentday atmospheric circulation. Armed with a new comprehensive dataset, we revise previous interpretations of the provenance of dust trapped in the Antarctic ice and sediments deposited in the South Atlantic sector of the Southern Ocean. These comparisons support multiple source regions in southern South America that changed with climates. The findings reveal that, although Patagonia plays an important role in contributing dust to the higher latitudes, central Western Argentina and (to a lesser extent) the southern Puna region also emerge as potentially important dust sources during glacial times. The southern Altiplano appears to be a major contributor during interglacial periods as well. We rely in part on an understanding of modern wind-dust activities to conclude that the possible presence of southern South America source regions - other than Patagonia - in East Antarctic ice is consistent with an overall equatorward displacement during glacial times of both the mid-latitude westerlies and the subtropical jet stream. (C) 2017 Elsevier B.V. All rights reserved.</t>
  </si>
  <si>
    <t>[Gili, Stefania; Gaiero, Diego M.] Univ Nacl Cordoba, CICTERRA CONICET FCEFyN, Cordoba, Argentina; [Goldstein, Steven L.; Jweda, Jason; Kaplan, Michael R.] Columbia Univ, Lamont Doherty Earth Observ, Palisades, NY USA; [Goldstein, Steven L.; Jweda, Jason] Columbia Univ, Dept Earth &amp; Environm Sci, Palisades, NY USA; [Chemale, Farid, Jr.] Univ Vale Rio dos Sinos, Sao Leopoldo, Brazil; [Becchio, Raul A.] Univ Nacl Salta, Salta, Argentina; [Koester, Edinei] Univ Fed Rio Grande do Sul, Inst Geociencias, Porto Alegre, RS, Brazil</t>
  </si>
  <si>
    <t>National University of Cordoba; Columbia University; Columbia University; Universidade do Vale do Rio dos Sinos (Unisinos); Universidade Federal do Rio Grande do Sul</t>
  </si>
  <si>
    <t>Gaiero, DM (corresponding author), Univ Nacl Cordoba, CICTERRA CONICET FCEFyN, Cordoba, Argentina.</t>
  </si>
  <si>
    <t>diego.gaiero@unc.edu.ar</t>
  </si>
  <si>
    <t>Koester, Edinei/L-3684-2017; Kaplan, Michael R/D-4720-2011; Chemale, Farid/D-1798-2013</t>
  </si>
  <si>
    <t>Koester, Edinei/0000-0002-4424-4782; Chemale Junior, Farid/0000-0001-5003-5824; Goldstein, Steven L/0000-0001-7252-8064; Gaiero, Diego Marcelo/0000-0003-1029-2265</t>
  </si>
  <si>
    <t>Storke Endowment of the Department of Earth and Environmental Sciences, Columbia University; Antorchas; IAI; Weizmann Institute; SECyT/UNC; FONCyT [PICT-0625, 0525]</t>
  </si>
  <si>
    <t>Storke Endowment of the Department of Earth and Environmental Sciences, Columbia University; Antorchas; IAI; Weizmann Institute; SECyT/UNC(Secretaria de Ciencia y Tecnologia (SECYT)); FONCyT(FONCyT)</t>
  </si>
  <si>
    <t>This work was financially supported by grants awarded to D.M.G.: Antorchas, IAI, the Weizmann Institute, SECyT/UNC, FONCyT (PICT-0625 and 0525). It was also partly supported by the Storke Endowment of the Department of Earth and Environmental Sciences, Columbia University. We thank to J. Arce (INTA, Marcos Juarez), S. Bidart (UNS, Bahia Blanca), J. Busto and J. Gonzalez (Base Aeronaval Cte. Zar, Trelew), O. Cabrera (UNPSJB, San Julian) and J. Balderramas (Rio Grande) for help with the activities in the monitoring stations. We thank Louise Bolge for her efforts running the LDEO ICP-MS Lab. We are particularly thankful to the three reviewers and the Editor M. Frank, for helping to improve the paleo-data discussions of the manuscript. This is LDEO Contribution # 8108.</t>
  </si>
  <si>
    <t>10.1016/j.epsl.2017.04.007</t>
  </si>
  <si>
    <t>WOS:000402444700009</t>
  </si>
  <si>
    <t>Fu, DK; Leef, M; Nowak, B; Bridle, A</t>
  </si>
  <si>
    <t>Fu, Dingkun; Leef, Melanie; Nowak, Barbara; Bridle, Andrew</t>
  </si>
  <si>
    <t>Thyroid hormone related gene transcription in southern sand flathead (Platycephalus bassensis) is associated with environmental mercury and arsenic exposure</t>
  </si>
  <si>
    <t>ECOTOXICOLOGY</t>
  </si>
  <si>
    <t>Thyroid-related genes; Gene expression; Mercury; Arsenic; Biomarker; Fish</t>
  </si>
  <si>
    <t>IODOTHYRONINE DEIODINASES; METALLOTHIONEIN GENE; LARVAL DEVELOPMENT; DERWENT ESTUARY; EXPRESSION; FISH; INDUCTION; BINDING; TRANSTHYRETIN; DISRUPTION</t>
  </si>
  <si>
    <t>Arsenic (As) and mercury (Hg) are ubiquitous elements known to disrupt thyroid function in vertebrates. To explore the underlying mechanisms of Hg and As on the fish thyroid system, we investigated the associations between muscle concentrations of Hg and As with thyroid-related gene transcription in flathead (Platycephalus bassensis) from a contaminated estuary. We sampled fish at several sites to determine the hepatic expression of genes including deiodinases (D1 and D2), transthyretin (TTR), thyroid hormone receptors (TR alpha and TR beta) and related them to Hg and As levels in the same individuals. Negative correlations were observed between Hg levels and D2, TTR, TR alpha and TR beta, whereas positive associations were found between As concentrations and TTR and TR beta. These results suggest that Hg and As exposures from environmental pollution affect the regulation of genes important for normal thyroid function in fish. These thyroid-related genes could be used as biomarkers for monitoring environmental thyroid-hormone disrupting chemicals.</t>
  </si>
  <si>
    <t>[Fu, Dingkun; Leef, Melanie; Nowak, Barbara; Bridle, Andrew] Univ Tasmania, Inst Marine &amp; Antarctic Studies, Locked Bag 1370, Launceston, Tas 7250, Australia</t>
  </si>
  <si>
    <t>Bridle, Andrew/0000-0002-5788-1297; Nowak, Barbara/0000-0002-0347-643X</t>
  </si>
  <si>
    <t>We thank the Nyrstar N. V, Hobart, for allowing us to sample on their heavy metal survey program and for providing access to the heavy metals dataset. Mark Stalker, Catarina Norte dos Santos, Stuart Dick and Neil Linton Warnock are thanked for their help in the field. This work was funded by John Bicknell Scholarship and IPRS.</t>
  </si>
  <si>
    <t>0963-9292</t>
  </si>
  <si>
    <t>1573-3017</t>
  </si>
  <si>
    <t>Ecotoxicology</t>
  </si>
  <si>
    <t>10.1007/s10646-017-1793-4</t>
  </si>
  <si>
    <t>Ecology; Environmental Sciences; Toxicology</t>
  </si>
  <si>
    <t>EX7WZ</t>
  </si>
  <si>
    <t>WOS:000403461400003</t>
  </si>
  <si>
    <t>Dehnhard, N; Jaspers, VLB; Demongin, L; Van den Steen, E; Covaci, A; Pinxten, R; Crossin, GT; Quillfeldt, P; Eens, M; Poisbleau, M</t>
  </si>
  <si>
    <t>Dehnhard, Nina; Jaspers, Veerle L. B.; Demongin, Laurent; Van den Steen, Evi; Covaci, Adrian; Pinxten, Rianne; Crossin, Glenn T.; Quillfeldt, Petra; Eens, Marcel; Poisbleau, Maud</t>
  </si>
  <si>
    <t>Organohalogenated contaminants in plasma and eggs of rockhopper penguins: Does vitellogenin affect maternal transfer?</t>
  </si>
  <si>
    <t>Persistent organic pollutants (POPs); MeO-PBDEs; Eudyptes chrysocome chrysocome; Falkland Islands/Islas Malvinas; Bioaccumulation</t>
  </si>
  <si>
    <t>PERSISTENT ORGANIC POLLUTANTS; POLYBROMINATED DIPHENYL ETHERS; BREEDING GLAUCOUS GULLS; EUDYPTES-C.-CHRYSOCOME; ANTARCTIC SEABIRDS; ORGANOCHLORINE PESTICIDES; FALKLAND ISLANDS; HUMAN SERUM; POLYCHLORINATED-BIPHENYLS; ADELIE PENGUIN</t>
  </si>
  <si>
    <t>Although many studies have investigated organohalogenated contaminants (OHCs) in yolk, little is known about the mechanisms and timing of transfer of OHCs from the female to the egg. Vitellogenin, a yolk precursor, has been suggested to play a role in this transport. We here report for the first time the temporal changes in OHC and an index of vitellogenin concentrations in female plasma from the pre-laying period to clutch completion in free-living birds: the southern rockhopper penguin (Eudyptes chrysocome chrysocome) breeding in the Falkland/Malvinas Islands. In addition, OHC concentrations in the corresponding clutches were analysed. OHC concentrations in female plasma and in the yolk of both the first (A-) and the second (B-)eggs followed a similar pattern, with hexachlorobenzene (HCB) &gt; Sigma polychlorinated biphenyls (PCBs) &gt; Sigma dichlorodiphenyltrichloroethanes (DDTs) &gt; Sigma methoxylated polybrominated diphenyl ethers (MeO-PBDEs) &gt; Sigma chlordanes (CHLs) &gt; Sigma polybrominated diphenyl ethers (PBDEs) approximate to Sigma hexachlorocyclohexanes (HCHs). The higher concentrations of MeO-PBDEs compared to PBDEs indicate a diet containing naturally-produced MeO-PBDEs. All OHC compounds except for PBDEs increased from the pre-laying period to A-egg laying and subsequently declined from A-egg laying to B-egg laying, and female plasma vitellogenin showed the same pattern. For EPCBs and Sigma MeO-PBDEs, we found positive correlations between female plasma during A-egg laying and both eggs, and for HCB between female plasma and A-eggs only. During pre-laying, only Sigma MeO-PBDEs correlated between both eggs and female plasma, and no correlations between OHC concentrations in eggs and female plasma were found during B-egg laying, highlighting that maternal transfer of OHCs is time- and compound specific. Finally, female vitellogenin concentrations did not significantly correlate with any OHC compounds in either female plasma or eggs, and our results therefore did not confirm the suggested role of vitellogenin in the maternal transfer of OHC molecules into their eggs. (C) 2017 Elsevier Ltd. All rights reserved.</t>
  </si>
  <si>
    <t>[Dehnhard, Nina; Demongin, Laurent; Van den Steen, Evi; Pinxten, Rianne; Eens, Marcel; Poisbleau, Maud] Univ Antwerp, Dept Biol, Behav Ecol &amp; Ecophysiol Grp, Campus Drie Eiken,Univ Pl 1, B-2610 Antwerp, Belgium; [Jaspers, Veerle L. B.] Norwegian Univ Sci &amp; Technol, Dept Biol, Hgsk Ringen 5, N-7024 Trondheim, Norway; [Covaci, Adrian] Univ Antwerp, Toxicol Ctr, Campus Drie Eiken,Univ Pl 1, B-2610 Antwerp, Belgium; [Pinxten, Rianne] Univ Antwerp, Antwerp Sch Educ, Fac Social Sci, Venusstr 35, B-2000 Antwerp, Belgium; [Crossin, Glenn T.] Dalhousie Univ, Dept Biol, Halifax, NS, Canada; [Quillfeldt, Petra] Justus Liebig Univ Giessen, Heinrich Buff Ring 38, D-35392 Giessen, Germany</t>
  </si>
  <si>
    <t>University of Antwerp; Norwegian University of Science &amp; Technology (NTNU); University of Antwerp; University of Antwerp; Dalhousie University; Justus Liebig University Giessen</t>
  </si>
  <si>
    <t>Dehnhard, N (corresponding author), Univ Antwerp, Dept Biol, Behav Ecol &amp; Ecophysiol Grp, Campus Drie Eiken,Univ Pl 1, B-2610 Antwerp, Belgium.</t>
  </si>
  <si>
    <t>nina.dehnhard@uantwerpen.be</t>
  </si>
  <si>
    <t>Dehnhard, Nina/H-6160-2016; Covaci, Adrian/A-9058-2008; Jaspers, Veerle/E-1379-2011; Poisbleau, Maud/B-9968-2014; Eens, Marcel/AAC-8466-2020</t>
  </si>
  <si>
    <t>Dehnhard, Nina/0000-0002-4182-2698; Covaci, Adrian/0000-0003-0527-1136; Jaspers, Veerle/0000-0002-2385-4493; Crossin, Glenn/0000-0003-1080-1189</t>
  </si>
  <si>
    <t>Deutsche Forschungsgemeinschaft (DFG) [Qu 148/1-ff]; University of Antwerp; Research Fund - Flanders FWO [1.2.619.10.N.00, 1.5.020.11.N.00, 12Q6915N]; FWO; Norwegian University of Science and Technology</t>
  </si>
  <si>
    <t>Deutsche Forschungsgemeinschaft (DFG)(German Research Foundation (DFG)); University of Antwerp; Research Fund - Flanders FWO(FWO); FWO(FWO); Norwegian University of Science and Technology</t>
  </si>
  <si>
    <t>We are grateful to the New Island Conservation Trust for permission to work on the island and for logistic support. We wish to thank Ian, Maria and Georgina Strange for their support during the field seasons. Thanks also to Nick Rendell and the Falkland Islands Government for their logistical help and Tony D. Williams for the VTG analyses. All applicable institutional and/or national guidelines for the care and use of animals were followed. All work was conducted under research licenses granted by the Environmental Planning Department of the Falkland Islands Government [research license number R16/2007]. Fieldwork was funded by a grant of the Deutsche Forschungsgemeinschaft (DFG) to PQ [grant number Qu 148/1-ff]. This work was supported by the University of Antwerp and by the Research Fund - Flanders FWO with post-doctoral fellowship grants to MP [grant numbers 1.2.619.10.N.00, 1.5.020.11.N.00] and ND [12Q6915N]. ME, RP, EVdS and AC were supported by the University of Antwerp and FWO. VJ was supported by FWO and the Norwegian University of Science and Technology. We would like to thank three anonymous reviewers for helpful comments on this manuscript.</t>
  </si>
  <si>
    <t>10.1016/j.envpol.2017.03.071</t>
  </si>
  <si>
    <t>FB1CR</t>
  </si>
  <si>
    <t>WOS:000405881800030</t>
  </si>
  <si>
    <t>Yokoyama, F; Kawamoto, J; Imai, T; Kurihara, T</t>
  </si>
  <si>
    <t>Yokoyama, Fumiaki; Kawamoto, Jun; Imai, Tomoya; Kurihara, Tatsuo</t>
  </si>
  <si>
    <t>Characterization of extracellular membrane vesicles of an Antarctic bacterium, Shewanella livingstonensis Ac10, and their enhanced production by alteration of phospholipid composition</t>
  </si>
  <si>
    <t>Shewanella livingstonensis Ac10; Extracellular membrane vesicles; Membrane phospholipids; Eicosapentaenoic acid</t>
  </si>
  <si>
    <t>GRAM-NEGATIVE BACTERIA; PSYCHROTROPHIC BACTERIUM; ENVELOPE STRESS; STRAIN AC10; PROTEIN; BIOGENESIS</t>
  </si>
  <si>
    <t>A cold-adapted bacterium, Shewanella living-stonensis Ac10, which produces eicosapentaenoic acid (EPA) as a component of its membrane phospholipids, is useful as a model to study the function of EPA and as a host for heterologous production of thermolabile proteins at low temperatures. In this study, we characterized extracellular membrane vesicles (EMVs) of this bacterium to examine the involvement of EPA in the biogenesis of EMVs and for the future application of EMVs to extracellular protein production. We found that this strain produced EMVs from the cell surface. Cryo-electron microscopic observation showed that the majority of the EMVs had a single-bilayer structure with an average diameter of 110 nm, though EMVs with double-bilayer membranes and other diverse structures were also observed. Quantitative analysis demonstrated that the EMV production was significantly increased (3-5 fold) by the depletion of EPA-containing phospholipids. The lack of EPA also altered the protein composition of EMVs. In particular, incorporation of one of the cold-inducible outer membrane proteins, OmpC176, was significantly increased in EMVs after the depletion of EPA. These results provide a basis for the construction of an EMV-based, low-temperature protein production system and show the involvement of EPA in the regulation of EMV biogenesis.</t>
  </si>
  <si>
    <t>[Yokoyama, Fumiaki; Kawamoto, Jun; Kurihara, Tatsuo] Kyoto Univ, Inst Chem Res, Uji, Kyoto 6110011, Japan; [Imai, Tomoya] Kyoto Univ, Res Inst Sustainable Humanosphere, Uji, Kyoto 6110011, Japan</t>
  </si>
  <si>
    <t>Kyoto University; Kyoto University</t>
  </si>
  <si>
    <t>Kurihara, T (corresponding author), Kyoto Univ, Inst Chem Res, Uji, Kyoto 6110011, Japan.</t>
  </si>
  <si>
    <t>kurihara@scl.kyoto-u.ac.jp</t>
  </si>
  <si>
    <t>Kurihara, Tatsuo/ACX-5827-2022; 今井, 友也/M-1834-2019</t>
  </si>
  <si>
    <t>今井, 友也/0000-0001-7026-0287; Kawamoto, Jun/0000-0002-5025-5613; Yokoyama, Fumiaki/0000-0002-4139-4072</t>
  </si>
  <si>
    <t>JSPS [15K14732, 16K14885]; [24380047]; [25303028]; [15H04474]; Grants-in-Aid for Scientific Research [15K14732, 16K14885, 15H04474, 25303028] Funding Source: KAKEN</t>
  </si>
  <si>
    <t>JSPS(Ministry of Education, Culture, Sports, Science and Technology, Japan (MEXT)Japan Society for the Promotion of Science); ; ; ; Grants-in-Aid for Scientific Research(Ministry of Education, Culture, Sports, Science and Technology, Japan (MEXT)Japan Society for the Promotion of ScienceGrants-in-Aid for Scientific Research (KAKENHI))</t>
  </si>
  <si>
    <t>This work was supported in part by Grants-in-Aid for Scientific Research (B) (24380047, 25303028, and 15H04474 to T. K.) and Grants-in-Aid for Challenging Exploratory Research (15K14732 to T. K. and 16K14885 to J. K.) from JSPS.</t>
  </si>
  <si>
    <t>10.1007/s00792-017-0937-z</t>
  </si>
  <si>
    <t>WOS:000403945900006</t>
  </si>
  <si>
    <t>Coleine, C; Masonjones, S; Selbmann, L; Zucconi, L; Onofri, S; Pacelli, C; Stajich, JE</t>
  </si>
  <si>
    <t>Coleine, Claudia; Masonjones, Sawyer; Selbmann, Laura; Zucconi, Laura; Onofri, Silvano; Pacelli, Claudia; Stajich, Jason E.</t>
  </si>
  <si>
    <t>Draft Genome Sequences of the Antarctic Endolithic Fungi Rachicladosporium antarcticum CCFEE 5527 and Rachicladosporium sp. CCFEE 5018</t>
  </si>
  <si>
    <t>BLACK FUNGI; PREDICTION; PHYLOGENY</t>
  </si>
  <si>
    <t>The draft genome sequences of Rachicladosporium antarcticum CCFEE 5527 and Rachicladosporium sp. CCFEE 5018 are the first sequenced genomes from this genus, which comprises rock-inhabiting fungi. These endolithic strains were isolated from inside rocks collected from the Antarctic Peninsula and Battleship Promontory (McMurdo Dry Valleys), Antarctica, respectively.</t>
  </si>
  <si>
    <t>[Coleine, Claudia; Selbmann, Laura; Zucconi, Laura; Onofri, Silvano; Pacelli, Claudia] Univ Tuscia, Dept Ecol &amp; Biol Sci, Viterbo, Italy; [Coleine, Claudia; Masonjones, Sawyer; Stajich, Jason E.] Univ Calif Riverside, Dept Plant Pathol &amp; Microbiol, Riverside, CA 92521 USA; [Coleine, Claudia; Masonjones, Sawyer; Stajich, Jason E.] Univ Calif Riverside, Inst Integrat Genome Biol, Riverside, CA 92521 USA</t>
  </si>
  <si>
    <t>Tuscia University; University of California System; University of California Riverside; University of California System; University of California Riverside</t>
  </si>
  <si>
    <t>Stajich, JE (corresponding author), Univ Calif Riverside, Dept Plant Pathol &amp; Microbiol, Riverside, CA 92521 USA.;Stajich, JE (corresponding author), Univ Calif Riverside, Inst Integrat Genome Biol, Riverside, CA 92521 USA.</t>
  </si>
  <si>
    <t>jason.stajich@ucr.edu</t>
  </si>
  <si>
    <t>Selbmann, Laura/L-3056-2013; Zucconi, L./U-9781-2018; Stajich, Jason Eric/C-7297-2008; Coleine, Claudia/AAE-1889-2020; Pacelli, Claudia/AAI-2677-2020</t>
  </si>
  <si>
    <t>Selbmann, Laura/0000-0002-8967-3329; Zucconi, L./0000-0001-9793-2303; Stajich, Jason Eric/0000-0002-7591-0020; Coleine, Claudia/0000-0002-9289-6179; Pacelli, Claudia/0000-0001-5113-4293; ONOFRI, Silvano/0000-0001-8872-1440</t>
  </si>
  <si>
    <t>Italian National Program for Antarctic Researches [2013/AZ-17]; Italian National Museum of Antarctica (MNA); USDA Agriculture Experimental Station at the University of California, Riverside; NIFA Hatch project [CA-R-PPA-5062-H]; [NSF DBI-1429826]; [NIH S10-OD016290]</t>
  </si>
  <si>
    <t>Italian National Program for Antarctic Researches; Italian National Museum of Antarctica (MNA); USDA Agriculture Experimental Station at the University of California, Riverside; NIFA Hatch project; ;</t>
  </si>
  <si>
    <t>We thank the Italian National Program for Antarctic Researches for funding sampling campaigns and research in the frame of project 2013/AZ-17. The Italian National Museum of Antarctica (MNA) is acknowledged for financial support to the Culture Collection of Fungi from Extreme Environments (CCFEE), the mycological section of the MNA, and for kindly providing the strains. This work was partially supported by the USDA Agriculture Experimental Station at the University of California, Riverside and NIFA Hatch project CA-R-PPA-5062-H to J.E.S., and high-performance computing resources in the Institute for Integrative Genome Biology (IIGB) at UC Riverside supported by grants NSF DBI-1429826 and NIH S10-OD016290.</t>
  </si>
  <si>
    <t>e00397-17</t>
  </si>
  <si>
    <t>10.1128/genomeA.00397-17</t>
  </si>
  <si>
    <t>VI1EV</t>
  </si>
  <si>
    <t>WOS:000460704300004</t>
  </si>
  <si>
    <t>Schultz, J; de Souza, YAP; Mansur, MCPPR; Vermelho, AB; da Mota, FF; Rosado, AS</t>
  </si>
  <si>
    <t>Schultz, Junia; Pinheiro de Souza, Yuri Alves; Pereira Reis Mansur, Maria Cristina Pinheiro; Vermelho, Alane Beatriz; da Mota, Fabio Faria; Rosado, Alexandre Soares</t>
  </si>
  <si>
    <t>Draft Genome Sequence of Microbacterium sp. Strain LEMMJ01, Isolated from Antarctic Ornithogenic Soil</t>
  </si>
  <si>
    <t>We report here the 3,637,012-bp draft genome sequence of Microbacterium sp. strain LEMMJ01, isolated from ornithogenic soil from King George Island, Antarctica. The total number of genes presented in the draft genome sequence was 3,553, and the total number of coding sequences was 3,497. In addition, genes related to the production of terpene and carotenoids were revealed.</t>
  </si>
  <si>
    <t>[Schultz, Junia; Pinheiro de Souza, Yuri Alves; Rosado, Alexandre Soares] Univ Fed Rio de Janeiro, Inst Microbiol, Lab Mol Microbial Ecol, Rio De Janeiro, Brazil; [Pereira Reis Mansur, Maria Cristina Pinheiro; Vermelho, Alane Beatriz] Univ Fed Rio de Janeiro, Inst Microbiol, BioInovar Lab, Rio De Janeiro, Brazil; [da Mota, Fabio Faria] Fiocruz MS, Inst Oswaldo Cruz, Rio De Janeiro, Brazil</t>
  </si>
  <si>
    <t>Universidade Federal do Rio de Janeiro; Universidade Federal do Rio de Janeiro; Fundacao Oswaldo Cruz</t>
  </si>
  <si>
    <t>Rosado, AS (corresponding author), Univ Fed Rio de Janeiro, Inst Microbiol, Lab Mol Microbial Ecol, Rio De Janeiro, Brazil.</t>
  </si>
  <si>
    <t>asrosado@micro.ufrj.br</t>
  </si>
  <si>
    <t>VERMELHO, ALANE BEATRIZ/J-8803-2013; Mota, Fabio/AAR-6946-2021; Rosado, Alexandre Soares/G-1955-2012</t>
  </si>
  <si>
    <t>VERMELHO, ALANE BEATRIZ/0000-0001-5926-4172; Rosado, Alexandre Soares/0000-0001-5135-1394; da Mota, Fabio Faria/0000-0002-0692-4939; Pinheiro Pereira Reis Mansur, Maria Cristina/0000-0001-8587-8274</t>
  </si>
  <si>
    <t>National Council for Research and Development (CNPq); Carlos Chagas Research Support Foundation of the State of Rio de Janeiro (FAPERJ)</t>
  </si>
  <si>
    <t>National Council for Research and Development (CNPq)(Conselho Nacional de Desenvolvimento Cientifico e Tecnologico (CNPQ)); Carlos Chagas Research Support Foundation of the State of Rio de Janeiro (FAPERJ)(Fundacao Carlos Chagas Filho de Amparo a Pesquisa do Estado do Rio De Janeiro (FAPERJ))</t>
  </si>
  <si>
    <t>This work received scientific and financial support from the National Council for Research and Development (CNPq) and the Carlos Chagas Research Support Foundation of the State of Rio de Janeiro (FAPERJ).</t>
  </si>
  <si>
    <t>e00672-17</t>
  </si>
  <si>
    <t>10.1128/genomeA.00672-17</t>
  </si>
  <si>
    <t>VI1EX</t>
  </si>
  <si>
    <t>WOS:000460705500022</t>
  </si>
  <si>
    <t>Li, DW; Zheng, LW; Jaccard, SL; Fang, TH; Paytan, A; Zheng, XF; Chang, YP; Kao, SJ</t>
  </si>
  <si>
    <t>Li, Dawei; Zheng, Li-Wei; Jaccard, Samuel L.; Fang, Tien-Hsi; Paytan, Adina; Zheng, Xufeng; Chang, Yuan-Pin; Kao, Shuh-Ji</t>
  </si>
  <si>
    <t>Millennial-scale ocean dynamics controlled export productivity in the subtropical North Pacific</t>
  </si>
  <si>
    <t>MERIDIONAL OVERTURNING CIRCULATION; MARINE PRODUCTIVITY; DOME C; SEA; CLIMATE; VARIABILITY; WATER; NUTRIENTS; DUST; CO2</t>
  </si>
  <si>
    <t>The integrated effects of ocean-climate dynamics on export production in the North Pacific have remained elusive. We present a 91 k.y. export productivity (EP) record based on sedimentary reactive phosphorus from the western subtropical North Pacific. On a millennial time scale, EP decreased during Northern Hemisphere cold events when atmospheric dust loading was high, and increased during warm episodes. The inferred antiphase relation between dust and EP suggests that the supply of macronutrients to the sunlit surface ocean, modulated by the penetration depth of North Pacific Intermediate Water and not eolian Fe, exerted a major control on EP in the subtropical North Pacific. A compilation of global EP records suggests that eolian Fe most likely played a role in stimulating EP regionally only in the Subantarctic zone of the Southern Ocean. Over the past 91 k.y., during the cold-south-warm-north phase of the bipolar seesaw, the biological pump in both hemispheres was enhanced synchronously, yet by different drivers; atmospheric Fe input for the Subantarctic and subsurface macronutrient supply for the North Pacific, including the tropical and/or subtropical Pacific, and the Antarctic zone of the Southern Ocean.</t>
  </si>
  <si>
    <t>[Li, Dawei; Zheng, Li-Wei; Kao, Shuh-Ji] Xiamen Univ, State Key Lab Marine Environm Sci, 422 Siming South Rd, Xiamen 361102, Peoples R China; [Jaccard, Samuel L.] Univ Bern, Inst Geol Sci, CH-3012 Bern, Switzerland; [Jaccard, Samuel L.] Univ Bern, Oeschger Ctr Climate Change Res, CH-3012 Bern, Switzerland; [Fang, Tien-Hsi] Natl Taiwan Ocean Univ, Dept Marine Environm Informat, 2 Beining Rd, Keelung 202, Taiwan; [Paytan, Adina] Univ Calif Santa Cruz, Earth &amp; Planetary Sci, 1156 High St, Santa Cruz, CA 95064 USA; [Zheng, Xufeng] Chinese Acad Sci, South China Sea Inst Oceanol, Key Lab Marginal Sea Geol, 164 West Xingang Rd, Guangzhou 510301, Guangdong, Peoples R China; [Chang, Yuan-Pin] Natl Sun Yat Sen Univ, Dept Oceanog, 70 Lien Hai Rd, Kaohsiung 806, Taiwan</t>
  </si>
  <si>
    <t>Xiamen University; University of Bern; University of Bern; National Taiwan Ocean University; University of California System; University of California Santa Cruz; Chinese Academy of Sciences; South China Sea Institute of Oceanology, CAS; National Sun Yat Sen University</t>
  </si>
  <si>
    <t>Kao, SJ (corresponding author), Xiamen Univ, State Key Lab Marine Environm Sci, 422 Siming South Rd, Xiamen 361102, Peoples R China.</t>
  </si>
  <si>
    <t>sjkao@xmu.edu.cn</t>
  </si>
  <si>
    <t>Jaccard, Samuel/G-3447-2014; Chang, Yuan-Pin/C-1656-2009; Kao, Shuh-Ji/F-8418-2015; Jaccard, Samuel/IZP-9669-2023; 郑, 旭/JAO-2624-2023; Li, Da-Wei/P-6515-2019; Zheng, Xufeng/HPC-4252-2023</t>
  </si>
  <si>
    <t>Jaccard, Samuel/0000-0002-5793-0896; Li, Da-Wei/0000-0002-7758-4927; Zheng, Li-Wei/0000-0001-9772-9698</t>
  </si>
  <si>
    <t>National Basic Research Program of China (973 Program) [2014CB953702, 2015CB954003]; National Natural Science Foundation of China [91328207, 41503069, 41176059, U1305233]</t>
  </si>
  <si>
    <t>National Basic Research Program of China (973 Program)(National Basic Research Program of China); National Natural Science Foundation of China(National Natural Science Foundation of China (NSFC))</t>
  </si>
  <si>
    <t>We thank S.-H. Lin and S.-C. Hsu at the Research Center for Environmental Changes (Academia Sinica, Taipei, Taiwan) for metal analysis. This study was supported by the National Basic Research Program of China (973 Program, grants 2014CB953702 and 2015CB954003) and the National Natural Science Foundation of China (grants 91328207, 41503069, 41176059, and U1305233). The manuscript was greatly improved by comments from Christian Marz and two anonymous reviewers, and by editor J. Totman Parrish. This is MEL (State Key Laboratory of Marine Environmental Science) publication 2017184.</t>
  </si>
  <si>
    <t>10.1130/G38981.1</t>
  </si>
  <si>
    <t>WOS:000404104300023</t>
  </si>
  <si>
    <t>Baker, CA; Henson, SA; Cavan, EL; Giering, SLC; Yool, A; Gehlen, M; Belcher, A; Riley, JS; Smith, HEK; Sanders, R</t>
  </si>
  <si>
    <t>Baker, Chelsey A.; Henson, Stephanie A.; Cavan, Emma L.; Giering, Sarah L. C.; Yool, Andrew; Gehlen, Marion; Belcher, Anna; Riley, Jennifer S.; Smith, Helen E. K.; Sanders, Richard</t>
  </si>
  <si>
    <t>Slow-sinking particulate organic carbon in the Atlantic Ocean: Magnitude, flux, and potential controls</t>
  </si>
  <si>
    <t>ZOOPLANKTON FECAL PELLETS; MARINE SNOW; BIOGEOCHEMICAL MODEL; SMALL PARTICLES; GLOBAL OCEAN; EXPORT; PHYTOPLANKTON; SEA; PRODUCTIVITY; RESPIRATION</t>
  </si>
  <si>
    <t>The remineralization depth of particulate organic carbon (POC) fluxes exported from the surface ocean exerts a major control over atmospheric CO2 levels. According to a long-held paradigm most of the POC exported to depth is associated with large particles. However, recent lines of evidence suggest that slow-sinking POC (SSPOC) may be an important contributor to this flux. Here we assess the circumstances under which this occurs. Our study uses samples collected using the Marine Snow Catcher throughout the Atlantic Ocean, from high latitudes to midlatitudes. We find median SSPOC concentrations of 5.5 mu g L-1, 13 times smaller than suspended POC concentrations and 75 times higher than median fast-sinking POC (FSPOC) concentrations (0.07 mu g L-1). Export fluxes of SSPOC generally exceed FSPOC flux, with the exception being during a spring bloom sampled in the Southern Ocean. In the Southern Ocean SSPOC fluxes often increase with depth relative to FSPOC flux, likely due to midwater fragmentation of FSPOC, a process which may contribute to shallow mineralization of POC and hence to reduced carbon storage. Biogeochemical models do not generally reproduce this behavior, meaning that they likely overestimate long-term ocean carbon storage.</t>
  </si>
  <si>
    <t>[Baker, Chelsey A.; Henson, Stephanie A.; Cavan, Emma L.; Giering, Sarah L. C.; Yool, Andrew; Belcher, Anna; Riley, Jennifer S.; Smith, Helen E. K.; Sanders, Richard] Natl Oceanog Ctr, Southampton, Hants, England; [Baker, Chelsey A.; Cavan, Emma L.; Belcher, Anna] Univ Southampton, Natl Oceanog Ctr, Ocean &amp; Earth Sci, Southampton, Hants, England; [Cavan, Emma L.] Univ Tasmania, Inst Marine &amp; Antarctic Studies, Hobart, Tas, Australia; [Gehlen, Marion] CEA CNRS UVSQ Orme Merisiers, LSCE, IPSL, Gif Sur Yvette, France</t>
  </si>
  <si>
    <t>NERC National Oceanography Centre; University of Southampton; NERC National Oceanography Centre; University of Tasmania; Universite Paris Cite; CEA; Centre National de la Recherche Scientifique (CNRS); Universite Paris Saclay</t>
  </si>
  <si>
    <t>Baker, CA (corresponding author), Natl Oceanog Ctr, Southampton, Hants, England.;Baker, CA (corresponding author), Univ Southampton, Natl Oceanog Ctr, Ocean &amp; Earth Sci, Southampton, Hants, England.</t>
  </si>
  <si>
    <t>chelsey.a.baker@soton.ac.uk</t>
  </si>
  <si>
    <t>Yool, Andrew/B-4799-2012; Henson, Stephanie/AAC-9709-2019; Sanders, Richard J/B-8717-2012; Baker, Chelsey/N-6438-2017</t>
  </si>
  <si>
    <t>Yool, Andrew/0000-0002-9879-2776; Sanders, Richard J/0000-0002-6884-7131; Henson, Stephanie/0000-0002-3875-6802; Baker, Chelsey/0000-0002-0840-2333; Gehlen, Marion/0000-0002-9688-0692; cavan, emma/0000-0003-1099-6705; Belcher, Anna/0000-0002-9583-5910; Giering, Sarah Lou Carolin/0000-0002-3090-1876</t>
  </si>
  <si>
    <t>Natural Environmental Research Council [NE/L002531/1]; Natural Environment Research Council [1362197, noc010009, 1641902, noc010010] Funding Source: researchfish; NERC [noc010010, NE/N018036/1, noc010009] Funding Source: UKRI</t>
  </si>
  <si>
    <t>Natural Environmental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</si>
  <si>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MODIS-Aqua data were downloaded from OBPG/NASA (https://oceandata.sci.gsfc.nasa.gov/MODIS-Aqua/Mapped/). This work is funded by the Natural Environmental Research Council (grant NE/L002531/1).</t>
  </si>
  <si>
    <t>10.1002/2017GB005638</t>
  </si>
  <si>
    <t>FD2MS</t>
  </si>
  <si>
    <t>WOS:000407369600002</t>
  </si>
  <si>
    <t>Van Gennip, SJ; Popova, EE; Yool, A; Pecl, GT; Hobday, AJ; Sorte, CJB</t>
  </si>
  <si>
    <t>Van Gennip, Simon J.; Popova, Ekaterina E.; Yool, Andrew; Pecl, Gretta T.; Hobday, Alistair J.; Sorte, Cascade J. B.</t>
  </si>
  <si>
    <t>Going with the flow: the role of ocean circulation in global marine ecosystems under a changing climate</t>
  </si>
  <si>
    <t>climate change; coastal connectivity; ecosystems; global ocean circulation model; larval dispersal range</t>
  </si>
  <si>
    <t>PROPAGULE DISPERSAL; IRON FERTILIZATION; RANGE SHIFTS; LIFE-HISTORY; FUTURE; PACIFIC; DRIVEN; DEEP; ACIDIFICATION; DISTANCE</t>
  </si>
  <si>
    <t>Ocean warming, acidification, deoxygenation and reduced productivity are widely considered to be the major stressors to ocean ecosystems induced by emissions of CO2. However, an overlooked stressor is the change in ocean circulation in response to climate change. Strong changes in the intensity and position of the western boundary currents have already been observed, and the consequences of such changes for ecosystems are beginning to emerge. In this study, we address climatically induced changes in ocean circulation on a global scale but relevant to propagule dispersal for species inhabiting global shelf ecosystems, using a high-resolution global ocean model run under the IPCC RCP 8.5 scenario. The 1/4 degree model resolution allows improved regional realism of the ocean circulation beyond that of available CMIP5-class models. We use a Lagrangian approach forced by modelled ocean circulation to simulate the circulation pathways that disperse planktonic life stages. Based on trajectory backtracking, we identify present-day coastal retention, dominant flow and dispersal range for coastal regions at the global scale. Projecting into the future, we identify areas of the strongest projected circulation change and present regional examples with the most significant modifications in their dominant pathways. Climatically induced changes in ocean circulation should be considered as an additional stressor of marine ecosystems in a similar way to ocean warming or acidification.</t>
  </si>
  <si>
    <t>[Van Gennip, Simon J.; Popova, Ekaterina E.; Yool, Andrew] Univ Southampton, Natl Oceanog Ctr, Waterfront Campus,European Way, Southampton SO14 3ZH, Hants, England; [Pecl, Gretta T.] Univ Tasmania, Inst Marine &amp; Antarctic Studies, POB 49, Hobart, Tas 7001, Australia; [Hobday, Alistair J.] CSIRO Oceans &amp; Atmosphere, Hobart, Tas 7000, Australia; [Sorte, Cascade J. B.] Univ Calif Irvine, 321 Steinhaus Hall, Irvine, CA 92697 USA</t>
  </si>
  <si>
    <t>NERC National Oceanography Centre; University of Southampton; University of Tasmania; Commonwealth Scientific &amp; Industrial Research Organisation (CSIRO); University of California System; University of California Irvine</t>
  </si>
  <si>
    <t>Van Gennip, SJ (corresponding author), Univ Southampton, Natl Oceanog Ctr, Waterfront Campus,European Way, Southampton SO14 3ZH, Hants, England.</t>
  </si>
  <si>
    <t>sjvg@outlook.com</t>
  </si>
  <si>
    <t>Yool, Andrew/B-4799-2012; Pecl, Gretta/D-7267-2011; Popova, Ekaterina E/B-4520-2012; Hobday, Alistair/A-1460-2012</t>
  </si>
  <si>
    <t>Yool, Andrew/0000-0002-9879-2776; Pecl, Gretta/0000-0003-0192-4339; Popova, Ekaterina E/0000-0002-2012-708X; van Gennip, Simon/0000-0002-3758-7090</t>
  </si>
  <si>
    <t>Belmont Forum by national and regional science agencies, CSIRO; University of Tasmania Institute for Marine and Antarctic Studies (Australia); NERC (UK) within GULLS project (NSF) [G8MUREFU3FP-2201-081]; ARC Future Fellowship; NERC [NEW322900]; Strategic Research Impact project (SIRENA) [NE/M00693X/1]; Regional Ocean Acidification Modelling project (ROAM) [NE/ H017372/1]; NERC [NE/N018036/1, NE/M00693X/1, NE/M007634/1, noc010010] Funding Source: UKRI; Natural Environment Research Council [NE/N018036/1, NE/M007634/1, NE/M00693X/1, noc010010] Funding Source: researchfish</t>
  </si>
  <si>
    <t>Belmont Forum by national and regional science agencies, CSIRO; University of Tasmania Institute for Marine and Antarctic Studies (Australia); NERC (UK) within GULLS project (NSF); ARC Future Fellowship(Australian Research Council); NERC(UK Research &amp; Innovation (UKRI)Natural Environment Research Council (NERC)); Strategic Research Impact project (SIRENA); Regional Ocean Acidification Modelling project (ROAM); NERC(UK Research &amp; Innovation (UKRI)Natural Environment Research Council (NERC)); Natural Environment Research Council(UK Research &amp; Innovation (UKRI)Natural Environment Research Council (NERC))</t>
  </si>
  <si>
    <t>We are grateful for funding provided under the Belmont Forum by national and regional science agencies, including CSIRO and the University of Tasmania Institute for Marine and Antarctic Studies (Australia) and NERC (UK), within the framework of the international GULLS project (NSF code G8MUREFU3FP-2201-081). GTP was supported by an ARC Future Fellowship. The modelling work was supported by NERC National Capability funding (NEW322900), the Strategic Research Impact project (SIRENA; NE/M00693X/1) and the Regional Ocean Acidification Modelling project (ROAM; NE/ H017372/1). This work used the ARCHER UK National Supercomputing Service (http://www.archer.ac.uk) for the high-resolution component of the modelling. Lagrangian analysis was carried out using computational tool ARIANE developed by B. Blanke and N. Grima.</t>
  </si>
  <si>
    <t>10.1111/gcb.13586</t>
  </si>
  <si>
    <t>EW4ZQ</t>
  </si>
  <si>
    <t>WOS:000402514900008</t>
  </si>
  <si>
    <t>Barnes, DKA</t>
  </si>
  <si>
    <t>Barnes, David K. A.</t>
  </si>
  <si>
    <t>Iceberg killing fields limit huge potential for benthic blue carbon in Antarctic shallows</t>
  </si>
  <si>
    <t>benthos; blue carbon sink; climate change; feedback; phytoplankton; Southern Ocean</t>
  </si>
  <si>
    <t>SEA-ICE; SOUTHERN-OCEAN; RYDER BAY; PENINSULA; IMPACT; PRODUCTIVITY; COMMUNITIES; DISTURBANCE; INTENSITY; ABUNDANCE</t>
  </si>
  <si>
    <t>Climate-forced ice losses are increasing potential for iceberg-seabed collisions, termed ice scour. At Ryder Bay, West Antarctic Peninsula (WAP) sea ice, oceanography, phytoplankton and encrusting zoobenthos have been monitored since 1998. In 2003, grids of seabed markers, covering 225 m(2), were established, surveyed and replaced annually to measure ice scour frequency. Disturbance history has been recorded for each m(2) of seabed monitored at 5-25 m for similar to 13 years. Encrusting fauna, collected from impacted and nonimpacted metres each year, show coincident benthos responses in growth, mortality and mass of benthic immobilized carbon. Encrusting benthic growth was mainly determined by microalgal bloom duration; each day, nanophytoplankton exceeded 200 mu g L-1 produced similar to 0.05 mm radial growth of bryozoans, and sea temperature &gt; 0 degrees C added 0.002 mm day(-1). Mortality and persistence of growth, as benthic carbon immobilization, were mainly influenced by ice scour. Nearly 30% of monitored seabed was hit each year, and just 7% of shallows were not hit. Hits in deeper water were more deadly, but less frequent, so mortality decreased with depth. Five-year recovery time doubled benthic carbon stocks. Scour-driven mortality varied annually, with two-thirds of all monitored fauna killed in a single year (2009). Reduced fast ice after 2006 ramped iceberg scouring, killing half the encrusting benthos each year in following years. Ice scour coupled with low phytoplankton biomass drove a phase shift to high mortality and depressed zoobenthic immobilized carbon stocks, which has persevered for 10 years since. Stocks of immobilized benthic carbon averaged nearly 15 g m(-2). WAP ice scouring may be recycling 80 000 tonnes of carbon yr(-1). Without scouring, such carbon would remain immobilized and the 2.3% of shelf which are shallows could be as productive as all the remaining continental shelf. The region's future, when glaciers reach grounding lines and iceberg production diminishes, is as a major global sink of carbon storage.</t>
  </si>
  <si>
    <t>[Barnes, David K. A.] British Antarctic Survey, Nat Environm Res Council, Madingley Rd, Cambridge CB3 OET, England</t>
  </si>
  <si>
    <t>Barnes, DKA (corresponding author), British Antarctic Survey, Nat Environm Res Council, Madingley Rd, Cambridge CB3 OET, England.</t>
  </si>
  <si>
    <t>dkab@bas.ac.uk</t>
  </si>
  <si>
    <t>NERC [bas0100036] Funding Source: UKRI; Natural Environment Research Council [bas0100036] Funding Source: researchfish</t>
  </si>
  <si>
    <t>10.1111/gcb.13523</t>
  </si>
  <si>
    <t>WOS:000402514900012</t>
  </si>
  <si>
    <t>Viteri, R; Villamizar, JE; Alejandra, U; Quintero, A; Salazar, FJ</t>
  </si>
  <si>
    <t>Viteri, Rafael; Villamizar, Jose E.; Alejandra, Ugarte; Quintero, Alberto; Salazar, Franklin J.</t>
  </si>
  <si>
    <t>A new tetrahydrodibenzofuran and other constituents from the lichen Usnea antarctica</t>
  </si>
  <si>
    <t>JOURNAL OF CHEMICAL RESEARCH</t>
  </si>
  <si>
    <t>lichen; Usnea antarctica; tetrahydrobenzofuran; depsidone</t>
  </si>
  <si>
    <t>USNIC ACID-DERIVATIVES; MYCOBIONT</t>
  </si>
  <si>
    <t>A new tetrahydrodibenzofuran, 2,6-diacetyl-3,4a, 7,9-tetrahydroxy-8,9b-dimethyl-1-oxo-1,4,4a, 9b-tetrahydrodibenzofuran, together with seven known compounds were isolated from the lichen Usnea antarctica. Their structures were elucidated on the basis of spectroscopic methods and by comparison with literature values.</t>
  </si>
  <si>
    <t>[Viteri, Rafael; Villamizar, Jose E.; Salazar, Franklin J.] Inst Venezolano Invest Cient, Ctr Quim, Caracas 1020 A, Venezuela; [Viteri, Rafael] Escuela Super Politecn Litoral, Ctr Invest Biotecnol Ecuador, Km 30-5 Via Perimetral,Apartado 09-01-5863, Guayaquil, Ecuador; [Viteri, Rafael] Inst Antartico Ecuatoriano, Guayaquil 09017658, Ecuador; [Villamizar, Jose E.; Alejandra, Ugarte; Quintero, Alberto] Inst Venezolano Invest Cient, Dept Quim Med, Caracas 1020 A, Venezuela</t>
  </si>
  <si>
    <t>Venezuelan Institute Science Research; Escuela Superior Politecnica del Litoral; Venezuelan Institute Science Research</t>
  </si>
  <si>
    <t>Salazar, FJ (corresponding author), Inst Venezolano Invest Cient, Ctr Quim, Caracas 1020 A, Venezuela.</t>
  </si>
  <si>
    <t>fsalazar@ivic.gob.ve</t>
  </si>
  <si>
    <t>Villamizar, Jose/O-6728-2019</t>
  </si>
  <si>
    <t>Villamizar, Jose/0000-0001-9913-1112; Viteri, Rafael/0000-0003-3001-7025</t>
  </si>
  <si>
    <t>Venezuelan Antarctic Program; Ecuadorian Antarctic Institute (INAE); Secretariat of Science, Technology and Innovation of the Republic of Ecuador (SENESCYT)</t>
  </si>
  <si>
    <t>Financial support by the Venezuelan Antarctic Program, the Ecuadorian Antarctic Institute (INAE) and Secretariat of Science, Technology and Innovation of the Republic of Ecuador (SENESCYT) is gratefully acknowledged. The authors thank PhD. Juan Alfonso (Oceanology Center and Antarctic Studies, COEA) and the laboratories of IR (Liz Cubillan), Mass Spectrometry (Ana Angarita, Janeth Salas and Matilde Gomez), HRMS (Eva Vonasek and Yolimar Gil) and NMR (Sara Pekerar, Alberto Fuentes, Daniela Briceno, Ligia Llovera, Maria Nunez and Yokoy Leon) of Scientific Research Venezuelan Institute (IVIC) for support of this research.</t>
  </si>
  <si>
    <t>1747-5198</t>
  </si>
  <si>
    <t>2047-6507</t>
  </si>
  <si>
    <t>J CHEM RES</t>
  </si>
  <si>
    <t>J. Chem. Res</t>
  </si>
  <si>
    <t>10.3184/174751917X14967701766996</t>
  </si>
  <si>
    <t>FN5KD</t>
  </si>
  <si>
    <t>WOS:000416045400005</t>
  </si>
  <si>
    <t>Kumar, A; Dwivedi, S; Rajak, DR</t>
  </si>
  <si>
    <t>Kumar, Anurag; Dwivedi, Suneet; Rajak, D. Ram</t>
  </si>
  <si>
    <t>Ocean sea-ice modelling in the Southern Ocean around Indian Antarctic stations</t>
  </si>
  <si>
    <t>Sea ice concentration; sea ice thickness; sea surface temperature; sea surface salinity; southern Ocean</t>
  </si>
  <si>
    <t>VARIABILITY; TRENDS; EXTENT; SIMULATION; WIND</t>
  </si>
  <si>
    <t>An eddy-resolving coupled ocean sea-ice modelling is carried out in the Southern Ocean region (9 degrees-78 degrees E; 51 degrees-71 degrees S) using the MITgcm. The model domain incorporates the Indian Antarctic stations, Maitri (11.7 degrees E; 70.7 degrees S) and Bharati (76.1 degrees E; 69.4 degrees S). The realistic simulation of the surface variables, namely, sea surface temperature (SST), sea surface salinity (SSS), surface currents, sea ice concentration (SIC) and sea ice thickness (SIT) is presented for the period of 1997-2012. The horizontal resolution of the model varies between 6 and 10 km. The highest vertical resolution of 5 m is taken near the surface, which gradually increases with increasing depths. The seasonal variability of the SST, SSS, SIC and currents is compared with the available observations in the region of study. It is found that the SIC of the model domain is increasing at a rate of 0.09% per month (nearly 1% per year), whereas, the SIC near Maitri and Bharati regions is increasing at a rate of 0.14 and 0.03% per month, respectively. The variability of the drift of the sea-ice is also estimated over the period of simulation. It is also found that the sea ice volume of the region increases at the rate of 0.0004 km(3) per month (nearly 0.005 km(3) per year). Further, it is revealed that the accumulation of sea ice around Bharati station is more as compared to Maitri station.</t>
  </si>
  <si>
    <t>[Kumar, Anurag; Dwivedi, Suneet] Univ Allahabad, K Banerjee Ctr Atmospher &amp; Ocean Studies, Allahabad 211002, Uttar Pradesh, India; [Kumar, Anurag; Dwivedi, Suneet] Univ Allahabad, MN Saha Ctr Space Studies, Allahabad 211002, Uttar Pradesh, India; [Rajak, D. Ram] Indian Space Res Org, Space Applicat Ctr, Ahmadabad 380015, Gujarat, India</t>
  </si>
  <si>
    <t>University of Allahabad; University of Allahabad; Department of Space (DoS), Government of India; Indian Space Research Organisation (ISRO); Space Applications Centre (SAC)</t>
  </si>
  <si>
    <t>Dwivedi, S (corresponding author), Univ Allahabad, K Banerjee Ctr Atmospher &amp; Ocean Studies, Allahabad 211002, Uttar Pradesh, India.;Dwivedi, S (corresponding author), Univ Allahabad, MN Saha Ctr Space Studies, Allahabad 211002, Uttar Pradesh, India.</t>
  </si>
  <si>
    <t>suneetdwivedi@gmail.com</t>
  </si>
  <si>
    <t>Dwivedi, Suneet/D-8008-2019</t>
  </si>
  <si>
    <t>Dwivedi, Suneet/0000-0001-9377-7713; Kumar, Anurag/0000-0002-5039-412X</t>
  </si>
  <si>
    <t>ISRO; NCAOR/ISRO/DST</t>
  </si>
  <si>
    <t>The authors thank the anonymous reviewer and editor for the constructive comments that led to improvement of the manuscript. AK is thankful to ISRO for providing Junior Research Fellowship. SD is thankful to the NCAOR/ISRO/DST for financial assistance in the form of research project. Thanks are also due to the NCEP/NCAR, ORAS4, HadISST, AVHRR, SOSE, GECCO2, SSM/I, and GIOMAS communities for making their data freely available for research purpose.</t>
  </si>
  <si>
    <t>2347-4327</t>
  </si>
  <si>
    <t>10.1007/s12040-017-0848-5</t>
  </si>
  <si>
    <t>FF1AQ</t>
  </si>
  <si>
    <t>WOS:000408632600009</t>
  </si>
  <si>
    <t>Spagnolo, M; Bartholomaus, TC; Clark, CD; Stokes, CR; Atkinson, N; Dowdeswell, JA; Ely, JC; Graham, AGC; Hogan, KA; King, EC; Larter, RD; Livingstone, SJ; Pritchard, HD</t>
  </si>
  <si>
    <t>Spagnolo, Matteo; Bartholomaus, Timothy C.; Clark, Chris D.; Stokes, Chris R.; Atkinson, Nigel; Dowdeswell, Julian A.; Ely, Jeremy C.; Graham, Alastair G. C.; Hogan, Kelly A.; King, Edward C.; Larter, Robert D.; Livingstone, Stephen J.; Pritchard, Hamish D.</t>
  </si>
  <si>
    <t>The periodic topography of ice stream beds: Insights from the Fourier spectra of mega-scale glacial lineations</t>
  </si>
  <si>
    <t>ice stream bed; mega-scale glacial lineations; period topography; pattern topography; Fourier</t>
  </si>
  <si>
    <t>SUBGLACIAL BEDFORMS; CONTINENTAL-SHELF; SELF-ORGANIZATION; SHEET; FLOW; LAURENTIDE; BENEATH; NORTH; TILL; ANTARCTICA</t>
  </si>
  <si>
    <t>Ice stream bed topography contains key evidence for the ways ice streams interact with, and are potentially controlled by, their beds. Here we present the first application of two-dimensional Fourier analysis to 22 marine and terrestrial topographies from 5 regions in Antarctica and Canada, with and without mega-scale glacial lineations (MSGLs). We find that the topography of MSGL-rich ice stream sedimentary beds is characterized by multiple, periodic wavelengths between 300 and 1200m and amplitudes from decimeters to a few meters. This periodic topography is consistent with the idea that instability is a key element to the formation of MSGL bedforms. Dominant wavelengths vary among locations and, on one paleo ice stream bed, increase along the direction of ice flow by 1.70.52%km(-1). We suggest that these changes are likely to reflect pattern evolution via downstream wavelength coarsening, even under potentially steady ice stream geometry and flow conditions. The amplitude of MSGLs is smaller than that of other fluvial and glacial topographies but within the same order of magnitude. However, MSGLs are a striking component of ice stream beds because the topographic amplitude of features not aligned with ice flow is reduced by an order of magnitude relative to those oriented with the flow direction. This study represents the first attempt to automatically derive the spectral signatures of MSGLs. It highlights the plausibility of identifying these landform assemblages using automated techniques and provides a benchmark for numerical models of ice stream flow and subglacial landscape evolution.</t>
  </si>
  <si>
    <t>[Spagnolo, Matteo] Univ Aberdeen, Sch Geosci, Dept Geog &amp; Environm, Aberdeen, Scotland; [Spagnolo, Matteo] Univ Calif Berkeley, Dept Earth &amp; Planetary Sci, Berkeley, CA 94720 USA; [Bartholomaus, Timothy C.] Univ Idaho, Dept Geol Sci, Moscow, ID 83843 USA; [Clark, Chris D.; Ely, Jeremy C.; Livingstone, Stephen J.] Univ Sheffield, Dept Geog, Sheffield, S Yorkshire, England; [Stokes, Chris R.] Univ Durham, Dept Geog, Durham, England; [Atkinson, Nigel] Alberta Geol Survey, Edmonton, AB, Canada; [Dowdeswell, Julian A.] Univ Cambridge, Scott Polar Res Inst, Cambridge, England; [Graham, Alastair G. C.] Univ Exeter, Dept Geog, Exeter, Devon, England; [Hogan, Kelly A.; King, Edward C.; Larter, Robert D.; Pritchard, Hamish D.] British Antarctic Survey, Cambridge, England</t>
  </si>
  <si>
    <t>University of Aberdeen; University of California System; University of California Berkeley; Idaho; University of Idaho; University of Sheffield; Durham University; University of Cambridge; University of Exeter; UK Research &amp; Innovation (UKRI); Natural Environment Research Council (NERC); NERC British Antarctic Survey</t>
  </si>
  <si>
    <t>Spagnolo, M (corresponding author), Univ Aberdeen, Sch Geosci, Dept Geog &amp; Environm, Aberdeen, Scotland.;Spagnolo, M (corresponding author), Univ Calif Berkeley, Dept Earth &amp; Planetary Sci, Berkeley, CA 94720 USA.</t>
  </si>
  <si>
    <t>m.spagnolo@abdn.ac.uk</t>
  </si>
  <si>
    <t>Spagnolo, Matteo/G-2415-2011; Pritchard, Hamish Daniel/AAU-4696-2021; clark, chris/C-3830-2009; Bartholomaus, Timothy/C-1781-2015; Stokes, Chris/A-1957-2011</t>
  </si>
  <si>
    <t>Spagnolo, Matteo/0000-0002-2753-338X; clark, chris/0000-0002-1021-6679; Bartholomaus, Timothy/0000-0002-1470-6720; Livingstone, Stephen/0000-0002-7240-5037; Ely, Jeremy/0000-0003-4007-1500; Stokes, Chris/0000-0003-3355-1573; Dowdeswell, Julian/0000-0003-1369-9482</t>
  </si>
  <si>
    <t>NERC New Investigator grant [NE/J004766/1]; NERC SAGES PECRE grant [NE/J004766/1]; NERC [bas0100030, bas0100034] Funding Source: UKRI; Natural Environment Research Council [bas0100034, bas0100030] Funding Source: researchfish</t>
  </si>
  <si>
    <t>NERC New Investigator grant(UK Research &amp; Innovation (UKRI)Natural Environment Research Council (NERC)); NERC SAGES PECRE grant; NERC(UK Research &amp; Innovation (UKRI)Natural Environment Research Council (NERC)); Natural Environment Research Council(UK Research &amp; Innovation (UKRI)Natural Environment Research Council (NERC))</t>
  </si>
  <si>
    <t>The research was funded by the NE/J004766/1 NERC New Investigator and SAGES PECRE grants awarded to M.S. The Amundsen Sea Embayment multibeam data were acquired on cruise JR141 of the RRS James Clark Ross in 2006 (principal investigator, PI: R. Larter, British Antarctic Survey). The Pine Island multibeam data were acquired on cruise OSO0910 (Chief scientists: J. Anderson, Rice University, and M. Jakobsson, Stockholm University). The Marguerite Trough multibeam data were acquired on cruises JR59, JR71, JR157, and NBP0201. This research would not have been possible without the hard work of scientists and crew during these research cruises. John Anderson and Martin Jakobsson are thanked for providing easy access to the Pine Island bathymetries. We would like to thank John Shaw, Roger Hooke, an anonymous reviewer, and the Editors, Bryn Hubbard and John Buffington, for their constructive comments and suggestions that have greatly improved the original manuscript. Underlying bathymetric/topographic data are available by request to the PI/chief scientists of the respective cruises/LIDAR acquisition programs. The spectral results can be accessed by request to T. C. Bartholomaus (tbartholomaus@uidaho.edu) or M. Spagnolo (m.spagnolo@abdn.ac.uk).</t>
  </si>
  <si>
    <t>10.1002/2016JF004154</t>
  </si>
  <si>
    <t>FD5IS</t>
  </si>
  <si>
    <t>WOS:000407564700004</t>
  </si>
  <si>
    <t>Hartinger, MD; Xu, Z; Clauer, CR; Yu, Y; Weimer, DR; Kim, H; Pilipenko, V; Welling, DT; Behlke, R; Willer, AN</t>
  </si>
  <si>
    <t>Hartinger, M. D.; Xu, Z.; Clauer, C. R.; Yu, Y.; Weimer, D. R.; Kim, H.; Pilipenko, V.; Welling, D. T.; Behlke, R.; Willer, A. N.</t>
  </si>
  <si>
    <t>Associating ground magnetometer observations with current or voltage generators</t>
  </si>
  <si>
    <t>TRAVELING CONVECTION VORTICES; INTERPLANETARY SHOCK GEOEFFECTIVENESS; IMPACT ANGLE CONTROL; SOLAR-WIND; SUDDEN COMMENCEMENT; PLASMA PROCESSES; MAGNETIC-FIELD; TWIN-VORTICES; MAGNETOSPHERE; IONOSPHERE</t>
  </si>
  <si>
    <t>A circuit analogy for magnetosphere-ionosphere current systems has two extremes for drivers of ionospheric currents: ionospheric electric fields/voltages constant while current/conductivity vary-the voltage generator-and current constant while electric field/conductivity vary-the current generator. Statistical studies of ground magnetometer observations associated with dayside Transient High Latitude Current Systems (THLCS) driven by similar mechanisms find contradictory results using this paradigm: some studies associate THLCS with voltage generators, others with current generators. We argue that most of this contradiction arises from two assumptions used to interpret ground magnetometer observations: (1) measurements made at fixed position relative to the THLCS field-aligned current and (2) negligible auroral precipitation contributions to ionospheric conductivity. We use observations and simulations to illustrate how these two assumptions substantially alter expectations for magnetic perturbations associated with either a current or a voltage generator. Our results demonstrate that before interpreting ground magnetometer observations of THLCS in the context of current/voltage generators, the location of a ground magnetometer station relative to the THLCS field-aligned current and the location of any auroral zone conductivity enhancements need to be taken into account.</t>
  </si>
  <si>
    <t>[Hartinger, M. D.; Xu, Z.; Clauer, C. R.; Weimer, D. R.] Virginia Polytech Inst &amp; State Univ, Bradley Dept Elect &amp; Comp Engn, Blacksburg, VA 24061 USA; [Hartinger, M. D.; Xu, Z.; Clauer, C. R.; Weimer, D. R.] NIA, Hampton, VA 23666 USA; [Yu, Y.] Beihang Univ, Sch Space &amp; Environm, Beijing, Peoples R China; [Kim, H.] New Jersey Inst Technol, Ctr Solar Terr Res, Newark, NJ 07102 USA; [Pilipenko, V.] Space Res Inst, Moscow, Russia; [Welling, D. T.] Univ Michigan, Climate &amp; Space Sci &amp; Engn Dept, Ann Arbor, MI 48109 USA; [Behlke, R.; Willer, A. N.] Tech Univ Denmark, Natl Space Inst, Lyngby, Denmark</t>
  </si>
  <si>
    <t>Virginia Polytechnic Institute &amp; State University; National Institute for Aerospace; Beihang University; New Jersey Institute of Technology; Russian Academy of Sciences; Space Research Institute of the Russian Academy of Sciences; University of Michigan System; University of Michigan; Technical University of Denmark</t>
  </si>
  <si>
    <t>Hartinger, MD (corresponding author), Virginia Polytech Inst &amp; State Univ, Bradley Dept Elect &amp; Comp Engn, Blacksburg, VA 24061 USA.;Hartinger, MD (corresponding author), NIA, Hampton, VA 23666 USA.</t>
  </si>
  <si>
    <t>mdhartin@vt.edu</t>
  </si>
  <si>
    <t>Yu, Yiqun/E-2710-2012; Weimer, Daniel/AAI-7577-2020; Pilipenko, Vyacheslav/K-9747-2015; Hartinger, Michael/H-9088-2012</t>
  </si>
  <si>
    <t>Weimer, Daniel/0000-0003-1264-3612; Xu, Zhonghua/0000-0002-3800-2162; Naemi Willer, Anna/0000-0002-1762-7630; Pilipenko, Vyacheslav/0000-0003-3056-7465; Hartinger, Michael/0000-0002-2643-2202; Welling, Daniel/0000-0002-0590-1022</t>
  </si>
  <si>
    <t>NSF [AGS-1049403, PLR-1543364, AGS-1264146, PLR-1443507]; National Science Foundation; Directorate For Geosciences; Office of Polar Programs (OPP) [1443507] Funding Source: National Science Foundation</t>
  </si>
  <si>
    <t>NSF(National Science Foundation (NSF)); National Science Foundation(National Science Foundation (NSF)); Directorate For Geosciences; Office of Polar Programs (OPP)(National Science Foundation (NSF)NSF - Directorate for Geosciences (GEO))</t>
  </si>
  <si>
    <t>M.D. Hartinger was supported by NSF grants AGS-1049403 and PLR-1543364. V. Pilipenko was supported by NSF AGS-1264146. We acknowledge high-performance computing support from Yellowstone (ark:/85065/d7wd3xhc) provided by NCAR's Computational and Information Systems Laboratory, sponsored by the National Science Foundation. This work was carried out using the SWMF/BATS-R-US tools developed at The University of Michigan Center for Space Environment Modeling (CSEM). Magnetometer observations and simulation output files are available upon request from the corresponding author (M.D. Hartinger, mdhartin@vt.edu). Most ground magnetometer measurements and SPEDAS software for plotting can be obtained from the THEMIS website (http://themis.ssl.berkeley.edu/index.shtml). AGO and BAS magnetometer data are available upon request from NJIT and BAS. The authors thank Andrew Gerrard (PI, NJIT, under NSF grant PLR-1443507) for providing fluxgate magnetometer data from the AGO station. We thank the British Antarctic Survey for providing the low-power magnetometer data (PI Mervyn Freeman) from B14 (m81-338) and B16 (m83-347). We thank the National Space Institute at the Technical University of Denmark (DTU Space) for providing magnetometer data from the Greenland Magnetometer Array. We thank the NASA Space Science Data facility for use of Virtual Ionosphere, Thermosphere, Mesosphere Observatory models via the OMNIWeb interface. M.D. Hartinger thanks Mark Engebretson, Jennifer Posch, and Aaron Ridley for informative discussions.</t>
  </si>
  <si>
    <t>10.1002/2017JA024140</t>
  </si>
  <si>
    <t>WOS:000407627100015</t>
  </si>
  <si>
    <t>Kim, H; Clauer, CR; Gerrard, AJ; Engebretson, MJ; Hartinger, MD; Lessard, MR; Matzka, J; Sibeck, DG; Singer, HJ; Stolle, C; Weimer, DR; Xu, ZH</t>
  </si>
  <si>
    <t>Kim, Hyomin; Clauer, C. Robert; Gerrard, Andrew J.; Engebretson, Mark J.; Hartinger, Michael D.; Lessard, Marc R.; Matzka, Juergen; Sibeck, David G.; Singer, Howard J.; Stolle, Claudia; Weimer, Daniel R.; Xu, Zhonghua</t>
  </si>
  <si>
    <t>Conjugate observations of electromagnetic ion cyclotron waves associated with traveling convection vortex events</t>
  </si>
  <si>
    <t>WIND DYNAMIC PRESSURE; DAWN-DUSK ASYMMETRY; SOLAR-WIND; EMIC WAVES; PROTON PRECIPITATION; GEOMAGNETIC CONDITIONS; IMPULSE EVENTS; MAGNETOSPHERE; VORTICES; MAGNETOPAUSE</t>
  </si>
  <si>
    <t>We report on simultaneous observations of electromagnetic ion cyclotron (EMIC) waves associated with traveling convection vortex (TCV) events caused by transient solar wind dynamic pressure (P-d) impulse events. The Time History of Events and Macroscale Interactions during Substorms (THEMIS) spacecraft located near the magnetopause observed radial fluctuations of the magnetopause, and the GOES spacecraft measured sudden compressions of the magnetosphere in response to sudden increases in Pd. During the transient events, EMIC waves were observed by interhemispheric conjugate ground-based magnetometer arrays as well as the GOES spacecraft. The spectral structures of the waves appear to be well correlated with the fluctuating motion of the magnetopause, showing compression-associated wave generation. In addition, the wave features are remarkably similar in conjugate hemispheres in terms of bandwidth, quasiperiodic wave power modulation, and polarization. Proton precipitation was also observed by the DMSP spacecraft during the wave events, from which the wave source region is estimated to be 72 degrees-74 degrees in magnetic latitude, consistent with the TCV center. The confluence of space-borne and ground instruments including the interhemispheric, high-latitude, fluxgate/induction coil magnetometer array allows us to constrain the EMIC source region while also confirming the relationship between EMIC waves and the TCV current system.</t>
  </si>
  <si>
    <t>[Kim, Hyomin; Gerrard, Andrew J.] New Jersey Inst Technol, Ctr Solar Terr Res, Newark, NJ 07102 USA; [Clauer, C. Robert; Hartinger, Michael D.; Weimer, Daniel R.; Xu, Zhonghua] Virginia Polytech Inst &amp; State Univ, Ctr Space Sci &amp; Engn Res, Blacksburg, VA 24061 USA; [Clauer, C. Robert; Hartinger, Michael D.; Weimer, Daniel R.; Xu, Zhonghua] Virginia Polytech Inst &amp; State Univ, Dept Elect &amp; Comp Engn, Blacksburg, VA 24061 USA; [Engebretson, Mark J.] Augsburg Coll, Dept Phys, Minneapolis, MN USA; [Lessard, Marc R.] Univ New Hampshire, Space Sci Ctr, Durham, NH 03824 USA; [Matzka, Juergen; Stolle, Claudia] GFZ German Res Ctr Geosci, Potsdam, Germany; [Sibeck, David G.] NASA, Goddard Space Flight Ctr, Greenbelt, MD USA; [Singer, Howard J.] NOAA, Space Weather Predict Ctr, Boulder, CO USA</t>
  </si>
  <si>
    <t>New Jersey Institute of Technology; Virginia Polytechnic Institute &amp; State University; Virginia Polytechnic Institute &amp; State University; Augsburg University; University System Of New Hampshire; University of New Hampshire; Helmholtz Association; Helmholtz-Center Potsdam GFZ German Research Center for Geosciences; National Aeronautics &amp; Space Administration (NASA); NASA Goddard Space Flight Center; National Oceanic Atmospheric Admin (NOAA) - USA</t>
  </si>
  <si>
    <t>Kim, H (corresponding author), New Jersey Inst Technol, Ctr Solar Terr Res, Newark, NJ 07102 USA.</t>
  </si>
  <si>
    <t>hmkim@njit.edu</t>
  </si>
  <si>
    <t>Sibeck, David G/D-4424-2012; Weimer, Daniel/AAI-7577-2020; Matzka, Jurgen/J-9420-2014; Hartinger, Michael/H-9088-2012</t>
  </si>
  <si>
    <t>Weimer, Daniel/0000-0003-1264-3612; Stolle, Claudia/0000-0002-5717-1623; Gerrard, Andrew/0000-0002-9626-2085; Matzka, Jurgen/0000-0001-9926-2796; Xu, Zhonghua/0000-0002-3800-2162; Hartinger, Michael/0000-0002-2643-2202</t>
  </si>
  <si>
    <t>National Science Foundation (NSF) [AGS-1547252]; NSF [PLR-1543364, PLR-1247975, PLR-1443507, PLR-1341677, PLR-1341493]; Directorate For Geosciences; Office of Polar Programs (OPP) [1443507, 1341677] Funding Source: National Science Foundation; Div Atmospheric &amp; Geospace Sciences; Directorate For Geosciences [1202827] Funding Source: National Science Foundation; Office of Polar Programs (OPP); Directorate For Geosciences [1341493, 1247975] Funding Source: National Science Foundation</t>
  </si>
  <si>
    <t>National Science Foundation (NSF)(National Science Foundation (NSF)); NSF(National Science Foundation (NSF)); Directorate For Geosciences; Office of Polar Programs (OPP)(National Science Foundation (NSF)NSF - Directorate for Geosciences (GEO)); Div Atmospheric &amp; Geospace Sciences; Directorate For Geosciences(National Science Foundation (NSF)NSF - Directorate for Geosciences (GEO)); Office of Polar Programs (OPP); Directorate For Geosciences(National Science Foundation (NSF)NSF - Directorate for Geosciences (GEO))</t>
  </si>
  <si>
    <t>The work at New Jersey Institute of Technology was supported by National Science Foundation (NSF) grant AGS-1547252. The work at Virginia Tech was supported by NSF grant PLR-1543364. The fluxgate magnetometer projects at SPA and AGOs are supported by NSF grants PLR-1247975 and PLR-1443507, respectively, to New Jersey Institute of Technology. The induction coil magnetometer projects at STF, IQA, SPA, and AGOs are supported by NSF grants PLR-1341677 to the University of New Hampshire and PLR-1341493 to Augsburg College. The authors would like to thank the following persons/institutes for providing data: the THEMIS team for fluxgate magnetometer and electrostatic analyzer data; the NOAA GOES team for fluxgate magnetometer data; the DMSP team for SSJ particle data; Lorne McKee at Natural Resources Canada (NRCan) and INTERMAGNET for fluxgate magnetometer data from IQA, which is operated by NRCan; the Technical University of Denmark National Space Institute (DTU Space) for the fluxgate magnetometer data (STF); the British Antarctic Survey (BAS) team for fluxgate data (HBA); and the AGO project team for operations of the magnetometer stations. All data used in this study can be obtained from the following data repositories and tools: OMNI, ACE, and THEMIS data from the NASA Coordinated Data Analysis Web (CDAWeb) at http://cdaweb.sci.gsfc.nasa.gov and Space Physics Environment Data Analysis Software (SPEDAS); GOES magnetometer data from the data archive at National Oceanic and Atmospheric Administration (NOAA) National Centers for Environmental Information (NCEI, previously known as NGDC) (http://satdat.ngdc.noaa.gov/sem/goes/data/new_full/); DMSP particle data from the DMSP Online Spectrogram Viewer Tool at http://sd-www.jhuapl.edu/Aurora/spectrogram/index.html; IQA fluxgate data from the Intermagnet (www.intermagnet.org); STF fluxgate magnetometer data from the DTU database (https://ftp.space.dtu.dk/data/Ground_magnetometers/Adjusted/); HBA fluxgate data from the BAS Data Access System (http://psddb.nerc-bas.ac.uk); and SPA and AGO fluxgate and induction coil magnetometer data from the New Jersey Institute of Technology database (www.antarcticgeospace.org).</t>
  </si>
  <si>
    <t>10.1002/2017JA024108</t>
  </si>
  <si>
    <t>WOS:000407627100029</t>
  </si>
  <si>
    <t>van Haren, H</t>
  </si>
  <si>
    <t>van Haren, Hans</t>
  </si>
  <si>
    <t>AABW-transport variation and its effect on internal wave motions between top and bottom of the Puerto Rico Trench</t>
  </si>
  <si>
    <t>JOURNAL OF MARINE RESEARCH</t>
  </si>
  <si>
    <t>Deep-ocean internal wave breaking; Puerto Rico Trench; Antarctic Bottom Water; high-resolution temperature observations; internal wave and large-scale flow coupling</t>
  </si>
  <si>
    <t>DISSIPATION; WATER; TEMPERATURE; CIRCULATION; TURBULENCE</t>
  </si>
  <si>
    <t>Slow subinertial variations in Antarctic Bottom Water (AABW) are investigated interacting with internal waves and associated turbulent mixing in the Puerto Rico Trench (PRT), northwest Atlantic. Just below the PRT's top at 5,500 m, a deep-sea mooring was deployed for 14 months. Around 6,100 m, the line held a 200 m long string of 101 high-resolution temperature sensors and a current meter. Around 8,250 m, a similar string held 102 sensors, of which the lowest was 9 m above the bottom. As was measured with shipborne conductivity-temperature-depth profiling down to 7,150 m, PRT waters are very weakly stratified, with local mean buoyancy frequency equaling 1-1.7 times the semidiurnal tidal frequency. The observations show alternating quiescent and relatively turbulent periods that correspond with relatively cooler and warmer AABW, respectively. Over the 2,100 m distance between the two temperature strings, only semidiurnal tidal variations significantly correlate with an average phase difference of 90 degrees (3 h) for the entire recording period. This suggests a dominant baroclinic rather than a barotropic coupling. During quiescent periods, the vertical internal wave scale is rather small with out-of-phase tidal motions between the two data sets and vertical excursions of 40 m. During turbulent periods, internal wave motions at all frequencies are close to in phase between the two data sets, suggesting fast vertical propagation with excursions exceeding 200 m. Increased subinertial energy levels, probably reflecting trapped internal waves, are found near the bottom during such periods. It is suggested that internal wave turbulence dominates the deep-sea transport of heat and suspended materials over the entire PRT height and possibly beyond.</t>
  </si>
  <si>
    <t>[van Haren, Hans] Royal Netherlands Inst Sea Res NIOZ, POB 59, NL-1790 AB Den Burg, Netherlands; [van Haren, Hans] Univ Utrecht, POB 59, NL-1790 AB Den Burg, Netherlands</t>
  </si>
  <si>
    <t>Utrecht University; Royal Netherlands Institute for Sea Research (NIOZ); Utrecht University</t>
  </si>
  <si>
    <t>van Haren, H (corresponding author), Royal Netherlands Inst Sea Res NIOZ, POB 59, NL-1790 AB Den Burg, Netherlands.;van Haren, H (corresponding author), Univ Utrecht, POB 59, NL-1790 AB Den Burg, Netherlands.</t>
  </si>
  <si>
    <t>hans.van.haren@nioz.nl</t>
  </si>
  <si>
    <t>NWO, the Netherlands Organization for the Advancement of Scientific Research</t>
  </si>
  <si>
    <t>The captain and crew of the R/V Pelagia are thanked for the pleasant cooperation during the sea operations. I greatly thank M. Laan and L. Gostiaux for their collaboration in design and construction of NIOZ temperature sensors, hardware and software, and many discussions. The construction of the NIOZ temperature sensors has been financed in part by NWO, the Netherlands Organization for the Advancement of Scientific Research.</t>
  </si>
  <si>
    <t>SEARS FOUNDATION MARINE RESEARCH</t>
  </si>
  <si>
    <t>NEW HAVEN</t>
  </si>
  <si>
    <t>YALE UNIV, KLINE GEOLOGY LAB, 210 WHITNEY AVENUE, NEW HAVEN, CT 06520-8109 USA</t>
  </si>
  <si>
    <t>0022-2402</t>
  </si>
  <si>
    <t>1543-9542</t>
  </si>
  <si>
    <t>J MAR RES</t>
  </si>
  <si>
    <t>J. Mar. Res.</t>
  </si>
  <si>
    <t>FK9KG</t>
  </si>
  <si>
    <t>WOS:000413829500001</t>
  </si>
  <si>
    <t>Sévellec, F; de Verdiére, AC; Ollitrault, M</t>
  </si>
  <si>
    <t>Sevellec, F.; de Verdiere, A. Colin; Ollitrault, M.</t>
  </si>
  <si>
    <t>Evolution of Intermediate Water Masses Based on Argo Float Displacements</t>
  </si>
  <si>
    <t>NORTH-ATLANTIC; MEDITERRANEAN OUTFLOW; MATERIAL TRANSPORT; OCEANIC GYRES; OVERTURNING CIRCULATION; GENERAL-CIRCULATION; STOCHASTIC-MODELS; SOUTHERN-OCEAN; HEAT-TRANSPORT; SOFAR FLOATS</t>
  </si>
  <si>
    <t>The evolution and dispersion of intermediate water masses in the ocean interior is studied. To this purpose, an empirical statistical model of Lagrangian tracers at a constant depth level is developed. The model follows the transfer operator based on 10-day deep displacements of Argo floats at; similar to 1000m depth. An asymptotic analysis of the model shows the existence of 10 principal stationary points (the 10 locations attract asymptotically 97% of the tracers). It takes; 1000 years to reach this asymptotic regime relevant for estimating the stationary points. For Lagrangian floats, the concept of attractor needs to be generalized in a statistical sense (versus deterministic), except for a few places in the ocean. In this new framework, a tracer has a likelihood to reach the stationary points, rather than a certainty to reach a single stationary point. The empirical statistical model is used to describe the fate of three intermediate water masses: North Pacific Intermediate Water (NPIW), Mediterranean Water (MW), and Antarctic Intermediate Water (AAIW). These experiments show a dramatic difference in the long-time behavior of NPIW, MW, and AAIW. In the permanent regime, the NPIW concentrates locally (in the Kuroshio recirculation) and the MW remains mainly regional (concentrated in the subtropical gyre of the North Atlantic), whereas the AAIW spreads globally (well mixed throughout the entire ocean).</t>
  </si>
  <si>
    <t>[Sevellec, F.] Univ Southampton, Ocean &amp; Earth Sci, Southampton, Hants, England; [de Verdiere, A. Colin; Ollitrault, M.] UBO, Lab Oceanog Phys &amp; Spatiale, UMR 6523, CNRS,IFREMER,IRD, Brest, France</t>
  </si>
  <si>
    <t>University of Southampton; Universite de Bretagne Occidentale; Centre National de la Recherche Scientifique (CNRS); CNRS - National Institute for Earth Sciences &amp; Astronomy (INSU); Ifremer; Institut de Recherche pour le Developpement (IRD)</t>
  </si>
  <si>
    <t>Sévellec, F (corresponding author), Univ Southampton, Ocean &amp; Earth Sci, Southampton, Hants, England.</t>
  </si>
  <si>
    <t>florian.sevellec@noc.soton.ac.uk</t>
  </si>
  <si>
    <t>Sevellec, Florian/L-3125-2015</t>
  </si>
  <si>
    <t>Sevellec, Florian/0000-0002-8498-0004</t>
  </si>
  <si>
    <t>Natural and Environmental Research Council UK (MESO-CLIP) [NE/K005928/1]; Universite de Bretagne Occidentale; Natural and Environmental Research Council UK (SMURPHS) [NE/N005767/1]; Natural Environment Research Council [NE/N005767/1, NE/K005928/1, NE/K005154/1] Funding Source: researchfish; NERC [NE/N005767/1, NE/K005928/1, NE/K005154/1] Funding Source: UKRI</t>
  </si>
  <si>
    <t>Natural and Environmental Research Council UK (MESO-CLIP); Universite de Bretagne Occidentale; Natural and Environmental Research Council UK (SMURPHS); Natural Environment Research Council(UK Research &amp; Innovation (UKRI)Natural Environment Research Council (NERC)); NERC(UK Research &amp; Innovation (UKRI)Natural Environment Research Council (NERC))</t>
  </si>
  <si>
    <t>This research was supported by grants from Natural and Environmental Research Council UK (MESO-CLIP, NE/K005928/1 and SMURPHS, NE/N005767/1). F.S. thanks the Universite de Bretagne Occidentale for its financial support during his visit in summer 2015.</t>
  </si>
  <si>
    <t>10.1175/JPO-D-16-0182.1</t>
  </si>
  <si>
    <t>WOS:000405111400004</t>
  </si>
  <si>
    <t>Adams, KA; Hosegood, P; Taylor, JR; Sallée, JB; Bachman, S; Torres, R; Stamper, M</t>
  </si>
  <si>
    <t>Adams, Katherine A.; Hosegood, Philip; Taylor, John R.; Sallee, Jean-Baptiste; Bachman, Scott; Torres, Ricardo; Stamper, Megan</t>
  </si>
  <si>
    <t>Frontal Circulation and Submesoscale Variability during the Formation of a Southern Ocean Mesoscale Eddy</t>
  </si>
  <si>
    <t>ANTARCTIC CIRCUMPOLAR CURRENT; MIXED-LAYER; GULF-STREAM; BAROCLINIC INSTABILITY; ANTHROPOGENIC CARBON; PART I; SUBDUCTION; RESTRATIFICATION; PHYSICS; IMPACT</t>
  </si>
  <si>
    <t>Observations made in the Scotia Sea during the May 2015 Surface Mixed Layer Evolution at Submesoscales (SMILES) research cruise captured submesoscale, O(1-10) km, variability along the periphery of a mesoscale O(10-100) km meander precisely as it separated from the Antarctic Circumpolar Current (ACC) and formed a cyclonic eddy; 120 km in diameter. The meander developed in the Scotia Sea, an eddy-rich region east of the Drake Passage where the Subantarctic and Polar Fronts converge and modifications of Subantarctic Mode Water (SAMW) occur. In situ measurements reveal a rich submesoscale structure of temperature and salinity and a loss of frontal integrity along the newly formed southern sector of the eddy. A mathematical framework is developed to estimate vertical velocity from collocated drifter and horizontal water velocity time series, under certain simplifying assumptions appropriate for the current dataset. Upwelling (downwelling) rates of O(100) mday (1) are found in the northern (southern) eddy sector. Favorable conditions for submesoscale instabilities are found in the mixed layer, particularly at the beginning of the survey in the vicinity of density fronts. Shallower mixed layer depths and increased stratification are observed later in the survey on the inner edge of the front. Evolution in temperature-salinity (T-S) space indicates modification of water mass properties in the upper 200m over 2 days. Modifications along sigma(theta) - 27-27.2 kgm(-3) have climate-related implications for mode and intermediate water transformation in the Scotia Sea on finer spatiotemporal scales than observed previously.</t>
  </si>
  <si>
    <t>[Adams, Katherine A.; Hosegood, Philip] Plymouth Univ, Sch Biol &amp; Marine Sci, Plymouth, Devon, England; [Taylor, John R.; Bachman, Scott; Stamper, Megan] Univ Cambridge, Dept Appl Math &amp; Theoret Phys, Cambridge, England; [Sallee, Jean-Baptiste] UPMC, CNRS, LOCEAN Lab, Sorbonne Univ, Paris, France; [Torres, Ricardo] Plymouth Marine Lab, Plymouth, Devon, England</t>
  </si>
  <si>
    <t>University of Plymouth; University of Cambridge; Sorbonne Universite; Museum National d'Histoire Naturelle (MNHN); Centre National de la Recherche Scientifique (CNRS); Plymouth Marine Laboratory</t>
  </si>
  <si>
    <t>Adams, KA (corresponding author), Plymouth Univ, Sch Biol &amp; Marine Sci, Plymouth, Devon, England.</t>
  </si>
  <si>
    <t>kate.adams@plymouth.ac.uk</t>
  </si>
  <si>
    <t>Torres, Ricardo/HTP-7351-2023; SALLEE, Jean baptiste/HDO-5355-2022; SALLEE, Jean baptiste/A-5837-2010</t>
  </si>
  <si>
    <t>Torres, Ricardo/0000-0002-9035-2637; Bachman, Scott/0000-0002-6479-4300; Hosegood, Philip/0000-0002-4415-7152; SALLEE, Jean baptiste/0000-0002-6109-5176</t>
  </si>
  <si>
    <t>National Environmental Research Council [NE/J009857/1]; Cnes; National Oceanographic Partnership Program (NOPP); NASA Earth Science Physical Oceanography Program; NERC [NE/J009857/1, pml010010, NE/J010472/1, pml010009, NE/J010367/1] Funding Source: UKRI; Natural Environment Research Council [pml010010, pml010009, NE/J010367/1, NE/J010472/1, NE/J009857/1] Funding Source: researchfish</t>
  </si>
  <si>
    <t>National Environmental Research Council(UK Research &amp; Innovation (UKRI)Natural Environment Research Council (NERC)); Cnes(Centre National D'etudes Spatiales); National Oceanographic Partnership Program (NOPP); NASA Earth Science Physical Oceanography Program(National Aeronautics &amp; Space Administration (NASA)); NERC(UK Research &amp; Innovation (UKRI)Natural Environment Research Council (NERC)); Natural Environment Research Council(UK Research &amp; Innovation (UKRI)Natural Environment Research Council (NERC))</t>
  </si>
  <si>
    <t>The SMILES project is funded through the National Environmental Research Council, standard Grant NE/J009857/1. JR311 data collection and technical support were received from the British Antarctic Survey, the crew of RRS James Clark Ross, and the NEODAAS and PML remote sensing groups. Seasoar operations were led by National Marine Facilities technicians Paul Provost, Dougal Mountifield, Julie Wood, and Candice Cameron, from the UK National Oceanographic Centre. Peter Ganderton designed and built the drifter electronics package. The altimeter products were produced by Ssalto/Duacs and distributed by Aviso, with support from Cnes (http://www.aviso.altimetry.fr/duacs/). Microwave OI SST data are produced by Remote Sensing Systems and sponsored by National Oceanographic Partnership Program (NOPP) and the NASA Earth Science Physical Oceanography Program.</t>
  </si>
  <si>
    <t>10.1175/JPO-D-16-0266.1</t>
  </si>
  <si>
    <t>WOS:000405111400014</t>
  </si>
  <si>
    <t>Stewart, KD; Haine, TWN; Hogg, AM; Roquet, F</t>
  </si>
  <si>
    <t>Stewart, K. D.; Haine, T. W. N.; Hogg, A. McC.; Roquet, F.</t>
  </si>
  <si>
    <t>On Cabbeling and Thermobaricity in the Surface Mixed Layer</t>
  </si>
  <si>
    <t>EQUATION-OF-STATE; OCEAN; WATER; ARGO</t>
  </si>
  <si>
    <t>The surface mixed layer (ML) governs atmosphere-ocean fluxes, and thereby affects Earth's climate. Accurate representation of ML processes in ocean models remains a challenge, however. The O(100) m deep ML exhibits substantial horizontal thermohaline gradients, despite being near-homogenous vertically, making it an ideal location for processes that result from the nonlinearity of the equation of state, such as cabbeling and thermobaricity. Traditional approaches to investigate these processes focus on their roles in interior water-mass transformation and are ill suited to examine their influence on the ML. However, given the climatic significance of the ML, quantifying the extent to which cabbeling and thermobaricity influence the ML density field offers insight into improving ML representations in ocean models. A recent simplified equation of state of seawater allows the local effects of cabbeling and thermobaric processes in the ML to be expressed analytically as functions of the local temperature gradient and ML depth. These simplified expressions are used to estimate the extent to which cabbeling and thermobaricity contribute to local ML density differences. These estimates compare well with values calculated directly using the complete nonlinear equation of state. Cabbeling and thermobaricity predominantly influence the ML density field poleward of 30 degrees. Mixed layer thermobaricity is basin-scale and winter intensified, while ML cabbeling is perennial and localized to intense, zonally coherent regions associated with strong temperature fronts, such as the Antarctic Circumpolar Current and the Kuroshio and Gulf Stream Extensions. For latitudes between 40 degrees and 50 degrees in both hemispheres, the zonally averaged effects of ML cabbeling and ML thermobaricity can contribute on the order of 10% of the local ML density difference.</t>
  </si>
  <si>
    <t>[Stewart, K. D.; Hogg, A. McC.] Australian Natl Univ, Res Sch Earth Sci, Canberra, ACT, Australia; [Stewart, K. D.; Hogg, A. McC.] Australian Natl Univ, Australian Res Council Ctr Excellence Climate Sys, Canberra, ACT, Australia; [Haine, T. W. N.] Johns Hopkins Univ, Dept Earth &amp; Planetary Sci, Baltimore, MD 21218 USA; [Roquet, F.] Stockholm Univ, Dept Meteorol, Stockholm, Sweden</t>
  </si>
  <si>
    <t>Australian National University; Australian National University; Johns Hopkins University; Stockholm University</t>
  </si>
  <si>
    <t>Stewart, KD (corresponding author), Australian Natl Univ, Res Sch Earth Sci, Canberra, ACT, Australia.;Stewart, KD (corresponding author), Australian Natl Univ, Australian Res Council Ctr Excellence Climate Sys, Canberra, ACT, Australia.</t>
  </si>
  <si>
    <t>kial.stewart@anu.edu.au</t>
  </si>
  <si>
    <t>Hogg, Andy/AAZ-8733-2021; Roquet, Fabien/D-4848-2013; Hogg, Andy McC./A-7553-2011; Stewart, Kial/P-6684-2016</t>
  </si>
  <si>
    <t>Hogg, Andy/0000-0001-5898-7635; Hogg, Andy McC./0000-0001-5898-7635; Haine, Thomas/0000-0001-8231-2419; Roquet, Fabien/0000-0003-1124-4564; Stewart, Kial/0000-0002-9947-1958</t>
  </si>
  <si>
    <t>Australian Research Council [DP140103706, CE110001028]; National Science Foundation [1338814, 1536554]; Directorate For Geosciences; Division Of Ocean Sciences [1536554] Funding Source: National Science Foundation; Directorate For Geosciences; Division Of Ocean Sciences [1338814] Funding Source: National Science Foundation</t>
  </si>
  <si>
    <t>Australian Research Council(Australian Research Council); National Science Foundation(National Science Foundation (NSF)); Directorate For Geosciences; Division Of Ocean Sciences(National Science Foundation (NSF)NSF - Directorate for Geosciences (GEO)); Directorate For Geosciences; Division Of Ocean Sciences(National Science Foundation (NSF)NSF - Directorate for Geosciences (GEO))</t>
  </si>
  <si>
    <t>The Monthly Isopycnal/Mixed-Layer Ocean Climatology (MIMOC) product of Schmidtko et al. (2013) was sourced from the NOAA website (http://www.pmel.noaa.gov/mimoc/) downloaded 12 December 2016. Many thanks to R. W. Griffiths, A. Klocker, T. McDougall, and C. Shakespeare for very helpful discussions. K.D.S. was supported by Australian Research Council Grant DP140103706; T.W.N.H. was supported by National Science Foundation Grants 1338814 and 1536554, and A.M.H. was supported by Australian Research Council Grant CE110001028. The authors thank the two anonymous reviewers for their valuable comments and suggestions to improve the quality of the paper.</t>
  </si>
  <si>
    <t>10.1175/JPO-D-17-0025.1</t>
  </si>
  <si>
    <t>WOS:000405111400016</t>
  </si>
  <si>
    <t>Bode, M; Laakmann, S; Kaiser, P; Hagen, W; Auel, H; Cornils, A</t>
  </si>
  <si>
    <t>Bode, Maya; Laakmann, Silke; Kaiser, Patricia; Hagen, Wilhelm; Auel, Holger; Cornils, Astrid</t>
  </si>
  <si>
    <t>Unravelling diversity of deep-sea copepods using integrated morphological and molecular techniques</t>
  </si>
  <si>
    <t>COI; 18S; proteomic fingerprinting; MALDI-TOF; species delimitation; Spinocalanidae</t>
  </si>
  <si>
    <t>ASSISTED-LASER-DESORPTION/IONIZATION; FLIGHT MASS-SPECTROMETRY; DESORPTION IONIZATION-TIME; MALDI-TOF MS; CALANOID COPEPODS; RAPID IDENTIFICATION; NORTH-ATLANTIC; SPECIES IDENTIFICATION; PHYLOGENETIC ANALYSIS; PELAGIC COPEPODS</t>
  </si>
  <si>
    <t>Accurate species identification is crucial for ecological studies. For copepods, this is usually based on a few diagnostic morphological characters, which can be highly conserved, resulting in an underestimation of species diversity in many copepod families. We elucidate species richness in the morphologically challenging and ecologically important deep-sea copepod family Spinocalanidae in the tropical Atlantic by applying an integrated taxonomic approach combining morphology, DNA-sequence analyses and proteomic fingerprinting. In total, 28 morphospecies could be discriminated, while 39 putative species were detected using DNA-sequence analyses and 42 using proteomic fingerprinting. This outcome verifies proteomic fingerprinting to simplify and accelerate future biodiversity studies of copepods with high taxonomic resolution. Our findings demonstrate the power of this integrated morphological and molecular taxonomic approach by revealing high numbers of cryptic or pseudocryptic species and thus uncovering the incompleteness of taxonomic guides for this group in the poorly explored mesopelagic realm. Furthermore, our analyses reveal a close relationship of Mospicalanus and Spinocalanus group A and indicate that the genus Spinocalanus may be polyphyletic. The underestimated species diversity suggests complex ecological interactions in terms of predator-prey relationships, interspecific competition and species-specific specializations in the vast, but under-studied mesopelagic realm.</t>
  </si>
  <si>
    <t>[Bode, Maya; Kaiser, Patricia; Hagen, Wilhelm; Auel, Holger] Univ Bremen, Bremare Bremen Marine Ecol, Marine Zool, POB 330440, D-28334 Bremen, Germany; [Laakmann, Silke] German Ctr Marine Biodivers Res DZMB, Senckenberg Res Inst, Sudstrand 44, D-26382 Wilhelmshaven, Germany; [Cornils, Astrid] Alfred Wegener Inst, Helmholtz Ctr Polar &amp; Marine Res, Polar Biol Oceanog, Handelshafen 12, D-27570 Bremerhaven, Germany</t>
  </si>
  <si>
    <t>University of Bremen; Senckenberg Gesellschaft fur Naturforschung (SGN); Helmholtz Association; Alfred Wegener Institute, Helmholtz Centre for Polar &amp; Marine Research</t>
  </si>
  <si>
    <t>Bode, M (corresponding author), Univ Bremen, Bremare Bremen Marine Ecol, Marine Zool, POB 330440, D-28334 Bremen, Germany.</t>
  </si>
  <si>
    <t>mabode@uni-bremen.de</t>
  </si>
  <si>
    <t>Cornils, Astrid/P-2943-2014</t>
  </si>
  <si>
    <t>Cornils, Astrid/0000-0003-4536-9015; Kaiser, Patricia/0000-0002-9517-3515; Laakmann, Silke/0000-0003-3273-7907; Dalby, Maya/0000-0001-8002-0746; Hagen, Wilhelm/0000-0002-7462-9931</t>
  </si>
  <si>
    <t>Deutsche Forschungsgemeinschaft (DFG) [CO 706/2-1]</t>
  </si>
  <si>
    <t>Deutsche Forschungsgemeinschaft (DFG) in the framework of the priority programme Antarctic Research with comparative investigations in Arctic ice areas by the grant (CO 706/2-1 to A.C.).</t>
  </si>
  <si>
    <t>10.1093/plankt/fbx031</t>
  </si>
  <si>
    <t>FC7NZ</t>
  </si>
  <si>
    <t>WOS:000407029600002</t>
  </si>
  <si>
    <t>Ventura, T; Bose, U; Fitzgibbon, QP; Smith, GG; Shaw, PN; Cummins, SF; Elizur, A</t>
  </si>
  <si>
    <t>Ventura, Tomer; Bose, Utpal; Fitzgibbon, Quinn P.; Smith, Gregory G.; Shaw, P. Nicholas; Cummins, Scott F.; Elizur, Abigail</t>
  </si>
  <si>
    <t>CYP450s analysis across spiny lobster metamorphosis identifies a long sought missing link in crustacean development</t>
  </si>
  <si>
    <t>JOURNAL OF STEROID BIOCHEMISTRY AND MOLECULAR BIOLOGY</t>
  </si>
  <si>
    <t>CYP450; Ecdysone; Juvenile hormone; Decapoda; Molt; Metamorphosis</t>
  </si>
  <si>
    <t>MALE SEXUAL DEVELOPMENT; DROSOPHILA-MELANOGASTER; MOLECULAR ANALYSIS; METHYL FARNESOATE; ANDROGENIC GLAND; BOMBYX-MORI; CYTOCHROME-P450; P450; PATHWAY; ENZYME</t>
  </si>
  <si>
    <t>Cytochrome P450s (CYP450s) are a rapidly evolving family of enzymes, making it difficult to identify bona fide orthologs with notable lineage-specific exceptions. In ecdysozoans, a small number of the most conserved orthologs include enzymes which metabolize ecdysteroids. Ecdysone pathway components were recently shown in a decapod crustacean but with a notable absence of shade, which is important for converting ecdysone to its active form, 20-hydroxyecdysone (20HE), suggesting that another CYP450 performs a similar function in crustaceans. A CYPome temporal expression analysis throughout metamorphosis performed in this research highlights several un-annotated CYP450s displaying differential expression and provides information into expression patterns of annotated CYP450s. Using the expression patterns in the Eastern spiny lobster Sagmariasus verreawci, followed by 3D modelling and finally activity assays in vitro, we were able to conclude that a group of CYP450s, conserved across decapod crustaceans, function as the insect shade. To emphasize the fact that these genes share the function with shade but are phylogenetically distinct, we name this enzyme system Shed.</t>
  </si>
  <si>
    <t>[Ventura, Tomer; Bose, Utpal; Cummins, Scott F.; Elizur, Abigail] Univ Sunshine Coast, Fac Sci Hlth Educ &amp; Engn, GeneCol Res Ctr, 4 Locked Bag, Maroochydore, Qld 4558, Australia; [Fitzgibbon, Quinn P.; Smith, Gregory G.] Univ Tasmania, Inst Marine &amp; Antarctic Studies, Private Bag 49, Hobart, Tas 7001, Australia; [Shaw, P. Nicholas] Univ Queensland, Sch Pharm, St Lucia, Qld 4072, Australia</t>
  </si>
  <si>
    <t>University of the Sunshine Coast; University of Tasmania; University of Queensland</t>
  </si>
  <si>
    <t>Ventura, T (corresponding author), Univ Sunshine Coast, Fac Sci Hlth Educ &amp; Engn, GeneCol Res Ctr, 4 Locked Bag, Maroochydore, Qld 4558, Australia.</t>
  </si>
  <si>
    <t>tventura@usc.edu.au</t>
  </si>
  <si>
    <t>Shaw, Paul/Q-8454-2019; Bose, Utpal/AAU-5241-2020; Elizur, Abigail/B-7708-2012; Ventura, T./H-9832-2019; Cummins, Scott/I-6420-2016; Smith, Gregory/C-9263-2013</t>
  </si>
  <si>
    <t>Shaw, Paul/0000-0001-7154-592X; Bose, Utpal/0000-0003-1156-6504; Ventura, T./0000-0002-0777-2367; Cummins, Scott/0000-0002-1454-2076; Elizur, Abigail/0000-0002-2960-302X; Smith, Gregory/0000-0002-8677-1230; Fitzgibbon, Quinn/0000-0002-1104-3052</t>
  </si>
  <si>
    <t>Australian Research Council [DP160103320]; Australian Research Council Industrial Transformation Research hub grant [IH120100032]</t>
  </si>
  <si>
    <t>Australian Research Council(Australian Research Council); Australian Research Council Industrial Transformation Research hub grant(Australian Research Council)</t>
  </si>
  <si>
    <t>This study was supported by the Australian Research Council (http://www.arc.gov.au/) through a Discovery Project grant awarded to Dr Tomer Ventura and Dr Quinn Fitzgibbon (No. DP160103320). Lobster culture and participation from Associate Professor Gregory Smith were supported by the Australian Research Council Industrial Transformation Research hub grant (No. IH120100032).</t>
  </si>
  <si>
    <t>0960-0760</t>
  </si>
  <si>
    <t>J STEROID BIOCHEM</t>
  </si>
  <si>
    <t>J. Steroid Biochem. Mol. Biol.</t>
  </si>
  <si>
    <t>10.1016/j.jsbmb.2017.04.007</t>
  </si>
  <si>
    <t>Biochemistry &amp; Molecular Biology; Endocrinology &amp; Metabolism</t>
  </si>
  <si>
    <t>EY1OR</t>
  </si>
  <si>
    <t>WOS:000403735700026</t>
  </si>
  <si>
    <t>Darnis, G; Hobbs, L; Geoffroy, M; Grenvald, JC; Renaud, PE; Berge, J; Cottier, F; Kristiansen, S; Daase, M; Soreide, JE; Wold, A; Morata, N; Gabrielsen, T</t>
  </si>
  <si>
    <t>Darnis, G.; Hobbs, L.; Geoffroy, M.; Grenvald, J. C.; Renaud, P. E.; Berge, J.; Cottier, F.; Kristiansen, S.; Daase, M.; Soreide, J. E.; Wold, A.; Morata, N.; Gabrielsen, T.</t>
  </si>
  <si>
    <t>From polar night to midnight sun: Diel vertical migration, metabolism and biogeochemical role of zooplankton in a high Arctic fjord (Kongsfjorden, Svalbard)</t>
  </si>
  <si>
    <t>LIMNOLOGY AND OCEANOGRAPHY</t>
  </si>
  <si>
    <t>CANARY ISLAND WATERS; NORTHERN BARENTS SEA; MIGRANT ZOOPLANKTON; GREENLAND SEA; ANTARCTIC PENINSULA; EQUATORIAL PACIFIC; INORGANIC NITROGEN; RESPIRATORY CARBON; ACTIVE-TRANSPORT; DOWNWARD EXPORT</t>
  </si>
  <si>
    <t>Zooplankton vertical migration enhances the efficiency of the ocean biological pump by translocating carbon (C) and nitrogen (N) below the mixed layer through respiration and excretion at depth. We measured C and N active transport due to diel vertical migration (DVM) in a Svalbard fjord at 79 degrees N. Multifrequency analysis of backscatter data from an Acoustic Zooplankton Fish Profiler moored from January to September 2014, combined with plankton net data, showed that Thysanoessa spp. euphausiids made up &gt; 90% of the diel migrant biomass. Classical synchronous DVM occurred before and after the phytoplankton bloom, leading to a mismatch with intensive primary production during the midnight sun. Zooplankton DVM resulted in C respiration of 0.9 g m(-2) and ammonium excretion of 0.18 g N m(-2) below 82 m depth between February and April, and 0.2 g C m(-2) and 0.04 g N m(-2) from 11 August to 9 September, representing &gt; 25% and &gt; 33% of sinking flux of particulate organic carbon and nitrogen, respectively. Such contribution of DVM active transport to the biological pump in this high-Arctic location is consistent with previous measurements in several equatorial to subarctic oceanic systems of the World Ocean. Climate warming is expected to result in tighter coupling between DVM and bloom periods, stronger stratification of the Barents Sea, and northward advection of boreal euphausiids. This may increase the role of DVM in the functioning of the biological pump on the Atlantic side of the Arctic Ocean, particularly where euphausiids are or will be prevalent in the zooplankton community.</t>
  </si>
  <si>
    <t>[Darnis, G.; Renaud, P. E.; Morata, N.] Akvaplan Niva Fram Ctr Climate &amp; Environm, Tromso, Norway; [Hobbs, L.; Cottier, F.] Scottish Assoc Marine Sci, Oban, Argyll, Scotland; [Geoffroy, M.] Univ Laval, Pavillon Alexandre Vachon, Quebec City, PQ, Canada; [Geoffroy, M.; Berge, J.; Cottier, F.; Kristiansen, S.; Daase, M.] UiT Arctic Univ Norway, Fac Biosci Fisheries &amp; Econ, Tromso, Norway; [Grenvald, J. C.; Renaud, P. E.; Berge, J.; Soreide, J. E.; Gabrielsen, T.] Univ Ctr Svalbard, Longyearbyen, Norway; [Wold, A.] Norwegian Polar Res Inst, Tromso, Norway</t>
  </si>
  <si>
    <t>Akvaplan-niva; UHI Millennium Institute; Laval University; UiT The Arctic University of Tromso; University Centre Svalbard (UNIS); Norwegian Polar Institute</t>
  </si>
  <si>
    <t>Darnis, G (corresponding author), Akvaplan Niva Fram Ctr Climate &amp; Environm, Tromso, Norway.</t>
  </si>
  <si>
    <t>Gerald.Darnis@akvaplan.niva.no</t>
  </si>
  <si>
    <t>Soreide, Janne/HNI-3758-2023; Wold, Anette/JXN-7159-2024; Cottier, Finlo/K-6277-2012; Renaud, Paul E/C-7191-2008; Berge, Jorgen/E-7544-2015</t>
  </si>
  <si>
    <t>Geoffroy, Maxime/0000-0003-2633-5565; Berge, Jorgen/0000-0003-0900-5679; Daase, Malin/0000-0001-8413-3924; Hobbs, Laura/0000-0002-2964-6310</t>
  </si>
  <si>
    <t>NRC [214271, 226417]</t>
  </si>
  <si>
    <t>NRC(National Research Centre (NRC))</t>
  </si>
  <si>
    <t>We thank the crew of the R/V Helmer-Hanssen and Teisten as well as Kings Bay personnel in Ny-Alesund and Daniel Vogedes for their precious assistance in logistics and sampling. This work would not have been possible without the help of Colin Griffiths, Estelle Dumont, Trine Callesen, Marit Reigstad, Marina Sanz-Martin, Catherine Lalande, Miriam Marquardt, Anna Vader, Carl Ballantine, Slawek Kwasniewski, and the students of AB320/820 zooplankton course in 2014 (Morgan Bender, Heather Cronin, Ursula Ecker, Maeve McGovern, Sam Eglund Newby, Erik Haar Nielsen, Alejandro Prat, Pierre Priou, Mie Lundfryd Rasmussen, Petra Svaskova, Lotte Devries, Sean Mac Siulai, Soren Hafker, Helena Michelsen, Marc Silberberger). We wish to thank Hauke Flores and an anonymous reviewer for providing useful comments that helped improve this work substantially. The study is a contribution to: two NRC funded projects, Circa (NRC project number 214271) and Marine Night (NRC project number 226417), the Norwegian Polar Institute project NICE, and the Fjord and Coast Flagship of the FRAM-High North Research Centre for Climate and the Environment.</t>
  </si>
  <si>
    <t>0024-3590</t>
  </si>
  <si>
    <t>1939-5590</t>
  </si>
  <si>
    <t>LIMNOL OCEANOGR</t>
  </si>
  <si>
    <t>Limnol. Oceanogr.</t>
  </si>
  <si>
    <t>10.1002/lno.10519</t>
  </si>
  <si>
    <t>Limnology; Oceanography</t>
  </si>
  <si>
    <t>EZ8QY</t>
  </si>
  <si>
    <t>WOS:000404993100019</t>
  </si>
  <si>
    <t>Uno, M; Okamoto, A; Tsuchiya, N</t>
  </si>
  <si>
    <t>Uno, Masaoki; Okamoto, Atsushi; Tsuchiya, Noriyoshi</t>
  </si>
  <si>
    <t>Excess water generation during reaction-inducing intrusion of granitic melts into ultramafic rocks at crustal P-T conditions in the Sor Rondane Mountains of East Antarctica</t>
  </si>
  <si>
    <t>LITHOS</t>
  </si>
  <si>
    <t>Excess water; Granite; Hydration; Peridotite; Reaction zone</t>
  </si>
  <si>
    <t>SATURATION SURFACE; ORTHO-PYROXENE; NE JAPAN; HORNBLENDE; PRESSURE; FLUID; AL; PERIDOTITE; GARNET; CA</t>
  </si>
  <si>
    <t>Arc magmas are one of the main sources of aqueous geofluids in the crust, and the movement of fluids above magma chambers has been geophysically imaged. Here, we constrain the water budget (i.e., supply, consumption and release of H2O) in these areas above magma chamber by examining the hydration caused by crust-melt reactions in the Sor Rondane Mountains of East Antarctica. The study area contains a phlogopite-pargasiteperidotite unit that has been intruded by numerous granitic dikes, creating hydration reaction zones at the dike-peridotite boundary. These reactions occurred at 0.5 GPa and 700 degrees C, corresponding to middle crustal conditions, and generated a series of reaction zones with distance from the granitic dikes as follows: (i) granitic dike, (ii) pargasite-actinolite zone, (iii) tremolite-phlogopite zone, (iv) anthophyllite-phlogopite zone, (v) phlogopite-olivine-orthopyroxene zone, and (vi) unaltered pargasite-phlogopite peridotite. The presence of amphiboles with a preferred orientation perpendicular to the dike margins and an absence of Cr-rich magnetite indicate that the pargasite-actinolite zone [zone (ii)] grew from the dike margins as a result of the dike reacting with the host rock, with an initial melt/rock boundary located between zones (ii) and (Hi). The H2O contents of reaction zones (ii)-(v) are higher than the content in the hosting pargasite-phlogopite peridotite, suggesting that the intrusion of the dike was associated with hydration reactions. Geochemical analysis along a profile through the reaction zones indicates Mg and Fe depletion, and Si enrichment in zones (iii)-(iv), and Ca depletion and K enrichment in zones (iv) -(v) relative to the hosting pargasite-phlogopite peridotite. In contrast, zone (ii) is characterized by Ca, Fe, and Mg enrichments relative to the granitic dike. These observations suggest that the reaction zone sequence was formed by the elemental transfer between granitic dike and parasitephlogopite peridotite: Ca, Fe, and Mg were leached from the host peridotite [zones (iii)-(v)]; K, Si, and H2O were mobilized from the granitic melt; and Ca, Mg, and Fe were deposited in the overgrowth zone [(ii)]. The width of the overgrowth zone correlates with the width of the leached zone [(iii)-(v)] but does not correlate with the width of the dike. These chemical profiles and geometry of the reaction zones suggest that hydration was not rate-limited by the supply of water from granitic melt, but instead was limited by the chemical transfer of elements such as K and Ca. It is likely that 3.7 wt% of the &gt;5.6-5.0 wt% H2O content of the granitic melt was consumed by hydration reactions, with the other &gt;1.9-1.3 wt% removed from the system. These observations suggest that at least one-fourth of the water in granitic melts can be liberated as excess water during the intrusion and solidification of the granitic melts, and subsequently transported to the overriding upper crust by the upward infiltration. (C) 2017 Elsevier B.V. All rights reserved.</t>
  </si>
  <si>
    <t>[Uno, Masaoki; Okamoto, Atsushi; Tsuchiya, Noriyoshi] Tohoku Univ, Grad Sch Environm Studies, Sendai, Miyagi 9808579, Japan</t>
  </si>
  <si>
    <t>Uno, M (corresponding author), Tohoku Univ, Grad Sch Environm Studies, Sendai, Miyagi 9808579, Japan.</t>
  </si>
  <si>
    <t>uno@geo.kankyo.tohoku.ac.jp</t>
  </si>
  <si>
    <t>Uno, Masaoki/AAC-5881-2019; Okamoto, Atsushi/AAN-8301-2021</t>
  </si>
  <si>
    <t>Uno, Masaoki/0000-0002-6182-0577; Okamoto, Atsushi/0000-0001-5757-6279</t>
  </si>
  <si>
    <t>JSPS KAKENHI [25000009, 15K17783, 15H01136]; Grants-in-Aid for Scientific Research [17H05310, 25000009, 15K17783, 15H01136, 17H02981] Funding Source: KAKEN</t>
  </si>
  <si>
    <t>We thank the members of the geology team of the 51st Japanese Antarctic Research Expedition (JARE51; Drs. M. Ishikawa, M. Satish-Kumar, T. Kawakami, and G.H. Grantham) for providing the samples analyzed in this study. We appreciate Drs. M. Scambelluri, M. Obata and an anonymous referee for careful reading of the manuscript and constructive comments, which helped to improve this manuscript considerably. This study was financially supported in part by JSPS KAKENHI Grant 25000009 awarded to N. Tsuchiya, and Grants 15K17783 and 15H01136 awarded to M. Uno.</t>
  </si>
  <si>
    <t>0024-4937</t>
  </si>
  <si>
    <t>1872-6143</t>
  </si>
  <si>
    <t>Lithos</t>
  </si>
  <si>
    <t>10.1016/j.lithos.2017.04.016</t>
  </si>
  <si>
    <t>FA2DZ</t>
  </si>
  <si>
    <t>WOS:000405252300040</t>
  </si>
  <si>
    <t>Cirés, S; Casero, MC; Quesada, A</t>
  </si>
  <si>
    <t>Cires, Samuel; Cristina Casero, Mariai; Quesada, Antonio</t>
  </si>
  <si>
    <t>Toxicity at the Edge of Life: A Review on Cyanobacterial Toxins from Extreme Environments</t>
  </si>
  <si>
    <t>anatoxin-a; cylindrospermopsin; microcystin; nodularin; extremophiles; Arctic; Antarctica; hot deserts; hypersaline; alkaline lakes</t>
  </si>
  <si>
    <t>NEUROTOXIC AMINO-ACIDS; MCMURDO DRY VALLEYS; ANTARCTIC SEA-ICE; NOSTOCALES CYANOBACTERIA; MICROBIAL DIVERSITY; LESSER FLAMINGO; LAKE BOGORIA; HOT-SPRINGS; CYLINDROSPERMOPSIN; MICROCYSTIN</t>
  </si>
  <si>
    <t>Cyanotoxins are secondary metabolites produced by cyanobacteria, of varied chemical nature and toxic effects. Although cyanobacteria thrive in all kinds of ecosystems on Earth even under very harsh conditions, current knowledge on cyanotoxin distribution is almost restricted to freshwaters from temperate latitudes. In this review, we bring to the forefront the presence of cyanotoxins in extreme environments. Cyanotoxins have been reported especially in polar deserts (both from the Arctic and Antarctica) and alkaline lakes, but also in hot deserts, hypersaline environments, and hot springs. Cyanotoxins detected in these ecosystems include neurotoxins-anatoxin-a, anatoxin-a (S), paralytic shellfish toxins, beta-methylaminopropionic acid, N-(2-aminoethyl) glycine and 2,4-diaminobutyric acid-and hepatotoxins -cylindrospermopsins, microcystins and nodularins-with microcystins being the most frequently reported. Toxin production there has been linked to at least eleven cyanobacterial genera yet only three of these (Arthrospira, Synechococcus and Oscillatoria) have been confirmed as producers in culture. Beyond a comprehensive analysis of cyanotoxin presence in each of the extreme environments, this review also identifies the main knowledge gaps to overcome (e.g., scarcity of isolates and -omics data, among others) toward an initial assessment of ecological and human health risks in these amazing ecosystems developing at the very edge of life.</t>
  </si>
  <si>
    <t>[Cires, Samuel; Quesada, Antonio] Univ Autonoma Madrid, Dept Biol, Darwin 2, E-28049 Madrid, Spain; [Cristina Casero, Mariai] CSIC, MNCN, Calle Serrano 115, Madrid 28006, Spain</t>
  </si>
  <si>
    <t>Autonomous University of Madrid; Consejo Superior de Investigaciones Cientificas (CSIC)</t>
  </si>
  <si>
    <t>Cirés, S (corresponding author), Univ Autonoma Madrid, Dept Biol, Darwin 2, E-28049 Madrid, Spain.</t>
  </si>
  <si>
    <t>samuel.cires@uam.es; mcristina.casero@mncn.csic.es; antonio.quesada@uam.es</t>
  </si>
  <si>
    <t>CASERO, MARÍA CRISTINA/AAQ-1735-2020; Quesada, Antonio/L-2430-2013; Cires, Samuel/B-2508-2017</t>
  </si>
  <si>
    <t>CASERO, MARÍA CRISTINA/0000-0002-0611-4776; Quesada, Antonio/0000-0002-8913-5993; Cires, Samuel/0000-0001-8272-5512</t>
  </si>
  <si>
    <t>Spanish PhD research fellowship - Spanish Ministry of Economy and Competitiveness [BES-2014-069106]</t>
  </si>
  <si>
    <t>Spanish PhD research fellowship - Spanish Ministry of Economy and Competitiveness</t>
  </si>
  <si>
    <t>Maria Cristina Casero was funded by the Spanish PhD research fellowship (BES-2014-069106) awarded by the Spanish Ministry of Economy and Competitiveness. We would like to thank the two anonymous reviewers for offering constructive comments on an earlier version of this manuscript.</t>
  </si>
  <si>
    <t>10.3390/md15070233</t>
  </si>
  <si>
    <t>FC2RO</t>
  </si>
  <si>
    <t>WOS:000406685900041</t>
  </si>
  <si>
    <t>Kelly, R; Pecl, GT; Fleming, A</t>
  </si>
  <si>
    <t>Kelly, Rachel; Pecl, Gretta T.; Fleming, Aysha</t>
  </si>
  <si>
    <t>Social licence in the marine sector: A review of understanding and application</t>
  </si>
  <si>
    <t>Social licence; Social acceptability; Ocean conservation; Marine management</t>
  </si>
  <si>
    <t>CLIMATE-CHANGE; OPERATE; ACCEPTABILITY; PERCEPTIONS; AQUACULTURE; GOVERNANCE; MANAGEMENT; PEOPLE; FISHERIES; ATTITUDES</t>
  </si>
  <si>
    <t>Our global oceans are threatened by climate change, overfishing, pollution and a growing list of other impacts that demonstrate an urgent global need for sustainable ocean management. Whilst marine conservation initiatives and protected ocean spaces have increased over recent years, ocean management still lags behind the terrestrial sectors in incorporating and involving communities in its development. 'Social licence to operate' is used broadly across the terrestrial literature, but its understanding and application within the marine has been limited to date. This review sought to collate and synthesise instances of social licence in the marine realm as documented in the literature, aiming to create an understanding that may inform future research and development of social licence. Its results determine that social licence is yet an emergent concept in the marine sector but there may be great potential for its application in the marine context. Social licence has become an important theme for development in marine industry and resource use, particularly towards exploring communication and stakeholder engagement. This paper identifies future themes and areas requiring investigation and application in this domain.</t>
  </si>
  <si>
    <t>[Kelly, Rachel; Pecl, Gretta T.] Inst Marine &amp; Antarctic Studies, Hobart, Tas 7001, Australia; [Kelly, Rachel; Pecl, Gretta T.; Fleming, Aysha] Univ Tasmania, Ctr Marine Socioecol, Hobart, Tas 7005, Australia; [Fleming, Aysha] CSIRO, Hobart, Tas 7001, Australia</t>
  </si>
  <si>
    <t>University of Tasmania; University of Tasmania; Commonwealth Scientific &amp; Industrial Research Organisation (CSIRO)</t>
  </si>
  <si>
    <t>Kelly, R (corresponding author), Inst Marine &amp; Antarctic Studies, Hobart, Tas 7001, Australia.</t>
  </si>
  <si>
    <t>r.kelly@utas.edu.au</t>
  </si>
  <si>
    <t>Pecl, Gretta/D-7267-2011; Fleming, Aysha/E-8753-2011; Kelly, Rachel/U-8836-2019</t>
  </si>
  <si>
    <t>Pecl, Gretta/0000-0003-0192-4339; Fleming, Aysha/0000-0001-9895-1928; Kelly, Rachel/0000-0002-8364-1836</t>
  </si>
  <si>
    <t>10.1016/j.marpol.2017.03.005</t>
  </si>
  <si>
    <t>EW0XB</t>
  </si>
  <si>
    <t>WOS:000402213400003</t>
  </si>
  <si>
    <t>Nahuelhual, L; Vergara, X; Kusch, A; Campos, G; Droguett, D</t>
  </si>
  <si>
    <t>Nahuelhual, L.; Vergara, X.; Kusch, A.; Campos, G.; Droguett, D.</t>
  </si>
  <si>
    <t>Mapping ecosystem services for marine spatial planning: Recreation opportunities in Sub-Antarctic Chile</t>
  </si>
  <si>
    <t>Southern Patagonia; Marine conservation; Cultural ecosystem services; Coastal communities; Sub Antarctic Ocean</t>
  </si>
  <si>
    <t>DECISION-MAKING; CONCEPTUAL-FRAMEWORK; COASTAL RESOURCES; SOUTHERN CHILE; TRADE-OFFS; IMPLEMENTATION; MANAGEMENT; CONSERVATION; GOVERNANCE; INDICATORS</t>
  </si>
  <si>
    <t>The ecosystem services approach has increasingly emerged as a core requirement of ecosystem-based management of the marine space. In this context, explicit quantification and mapping of ecosystem services is considered key. This research proposes a methodological framework that combines Geographic Information Systems and participatory techniques to map the ecosystem service of recreation opportunities, provided by coastal and marine ecosystems. Attributes selected to represent the ecosystem service were scenic beauty, unique natural resources, accessibility, cultural sites and tourism use aptitude. High values of the indicator concentrated on areas that combined the presence of unique marine fauna (e.g. Southern Elephant Seal, Mirounga leonina), terrestrial and marine routs, and areas of high scenic beauty, associated to the presence of glaciers. These areas corresponded to the southern part of Almirantazgo Sound, the northern part of Navarino Island on the coast of the Beagle Channel, and to areas surrounding Wulaia fishermen's cove. Zones showing highest values of the indicator 81-100) comprised 0.89% of the study area and a small proportion of them coincided with areas of aptitude for aquaculture, which represents potential use conflicts, as long as aquaculture concessions remain operative. In turn, the areas of lowest values 0-20) were located offshore in open sea, and comprised 0.49% of the study area. Overall, the methodology demonstrated the capacity to identify potential recreation areas to inform regional decision making regarding marine use planning.</t>
  </si>
  <si>
    <t>[Nahuelhual, L.] Univ Austral Chile, Inst Econ Agr, Casilla 567, Valdivia, Chile; [Nahuelhual, L.; Vergara, X.; Campos, G.] Univ Austral Chile, Ctr Invest Dinam Ecosistemas Marinos Altas Latitu, Casilla 567, Valdivia, Chile; [Kusch, A.; Droguett, D.] Wildlife Conservat Soc Chile, Balmaceda 586, Punta Arenas, Chile; [Campos, G.] Univ Austral Chile, Programa Magister Desarrollo Rural, Casilla 567, Valdivia, Chile</t>
  </si>
  <si>
    <t>Universidad Austral de Chile; Universidad Austral de Chile; Universidad Austral de Chile</t>
  </si>
  <si>
    <t>Nahuelhual, L (corresponding author), Univ Austral Chile, Inst Econ Agr, Casilla 567, Valdivia, Chile.</t>
  </si>
  <si>
    <t>laura.nahuel@gmail.com</t>
  </si>
  <si>
    <t>Kusch, Alejandro/JXW-5866-2024; BITOUN, RACHEL Elisabeth/AAC-9538-2021</t>
  </si>
  <si>
    <t>BITOUN, RACHEL Elisabeth/0000-0002-3614-9910; Droguett, Daniela/0000-0002-2627-3790</t>
  </si>
  <si>
    <t>Centro de Investigacion en Dinamica de Ecosistemas Marinos de Altas Latitudes, IDEAL [FONDAP 15150003]</t>
  </si>
  <si>
    <t>Centro de Investigacion en Dinamica de Ecosistemas Marinos de Altas Latitudes, IDEAL</t>
  </si>
  <si>
    <t>This work has been funded by Centro de Investigacion en Dinamica de Ecosistemas Marinos de Altas Latitudes, IDEAL (FONDAP 15150003).</t>
  </si>
  <si>
    <t>10.1016/j.marpol.2017.03.038</t>
  </si>
  <si>
    <t>WOS:000402213400025</t>
  </si>
  <si>
    <t>White, CJ; Carlsen, H; Robertson, AW; Klein, RJT; Lazo, JK; Kumar, A; Vitart, F; de Perez, EC; Ray, AJ; Murray, V; Bharwani, S; MacLeod, D; James, R; Fleming, L; Morse, AP; Eggen, B; Graham, R; Kjellström, E; Becker, E; Pegion, KV; Holbrook, NJ; McEvoy, D; Depledge, M; Perkins-Kirkpatrick, S; Brown, TJ; Street, R; Jones, L; Remenyi, TA; Hodgson-Johnston, I; Buontempo, C; Lamb, R; Meinke, H; Arheimer, B; Zebiak, SE</t>
  </si>
  <si>
    <t>White, Christopher J.; Carlsen, Henrik; Robertson, Andrew W.; Klein, Richard J. T.; Lazo, Jeffrey K.; Kumar, Arun; Vitart, Frederic; de Perez, Erin Coughlan; Ray, Andrea J.; Murray, Virginia; Bharwani, Sukaina; MacLeod, Dave; James, Rachel; Fleming, Lora; Morse, Andrew P.; Eggen, Bernd; Graham, Richard; Kjellstrom, Erik; Becker, Emily; Pegion, Kathleen V.; Holbrook, Neil J.; McEvoy, Darryn; Depledge, Michael; Perkins-Kirkpatrick, Sarah; Brown, Timothy J.; Street, Roger; Jones, Lindsey; Remenyi, Tomas A.; Hodgson-Johnston, Indi; Buontempo, Carlo; Lamb, Rob; Meinke, Holger; Arheimer, Berit; Zebiak, Stephen E.</t>
  </si>
  <si>
    <t>Potential applications of subseasonal-to-seasonal (S2S) predictions</t>
  </si>
  <si>
    <t>METEOROLOGICAL APPLICATIONS</t>
  </si>
  <si>
    <t>climate prediction; forecasting; decision-support; ensemble forecasts; extremes; extended-range; seasonal prediction</t>
  </si>
  <si>
    <t>CLIMATE FORECASTS; WEATHER FORECASTS; WIND ENERGY; INTERANNUAL PREDICTION; DECISION; SCIENCE; SYSTEM; INFORMATION; MANAGEMENT; PREDICTABILITY</t>
  </si>
  <si>
    <t>While seasonal outlooks have been operational for many years, until recently the extended-range timescale referred to as subseasonal-to-seasonal (S2S) has received little attention. S2S prediction fills the gap between short-range weather prediction and long-range seasonal outlooks. Decisions in a range of sectors are made in this extended-range lead time; therefore, there is a strong demand for this new generation of forecasts. International efforts are under way to identify key sources of predictability, improve forecast skill and operationalize aspects of S2S forecasts; however, challenges remain in advancing this new frontier. If S2S predictions are to be used effectively, it is important that, along with science advances, an effort is made to develop, communicate and apply these forecasts appropriately. In this study, the emerging operational S2S forecasts are presented to the wider weather and climate applications community by undertaking the first comprehensive review of sectoral applications of S2S predictions, including public health, disaster preparedness, water management, energy and agriculture. The value of applications-relevant S2S predictions is explored, and the opportunities and challenges facing their uptake are highlighted. It is shown how social sciences can be integrated with S2S development, from communication to decision-making and valuation of forecasts, to enhance the benefits of climate services' approaches for extended-range forecasting. While S2S forecasting is at a relatively early stage of development, it is concluded that it presents a significant new window of opportunity that can be explored for application-ready capabilities that could allow many sectors the opportunity to systematically plan on a new time horizon.</t>
  </si>
  <si>
    <t>[White, Christopher J.] Univ Tasmania, Sch Engn, Private Bag 65, Hobart, Tas 7001, Australia; [White, Christopher J.] Univ Tasmania, ICT, Private Bag 65, Hobart, Tas 7001, Australia; [White, Christopher J.; Remenyi, Tomas A.; Hodgson-Johnston, Indi] Antarctic Climate &amp; Ecosyst Cooperat Res Ctr ACE, Hobart, Tas, Australia; [Carlsen, Henrik] Stockholm Environm Inst, Stockholm, Sweden; [Robertson, Andrew W.; de Perez, Erin Coughlan; Zebiak, Stephen E.] Columbia Univ, Int Res Inst Climate &amp; Soc, Palisades, NY USA; [Klein, Richard J. T.] Stockholm Environm Inst, Bonn, Germany; [Lazo, Jeffrey K.] Natl Ctr Atmospher Res, Res Applicat Lab, POB 3000, Boulder, CO 80307 USA; [Kumar, Arun; Becker, Emily] NOAA, Climate Predict Ctr, College Pk, MD USA; [Vitart, Frederic] European Ctr Medium Range Weather Forecasting ECM, Reading, Berks, England; [de Perez, Erin Coughlan] Columbia Univ, Int Res Inst Climate &amp; Soc, Red Cross Red Crescent Climate Ctr, Palisades, NY USA; [Ray, Andrea J.] NOAA, Earth Syst Res Lab, Boulder, CO USA; [Murray, Virginia] Publ Hlth England, London, England; [Bharwani, Sukaina] Stockholm Environm Inst, Oxford, England; [MacLeod, Dave] Univ Oxford, Dept Phys Atmospher Ocean &amp; Planetary Phys, Oxford, England; [James, Rachel] Univ Oxford, Environm Change Inst, Oxford, England; [Fleming, Lora; Depledge, Michael] Univ Exeter, European Ctr Environm &amp; Human Hlth, Truro, England; [Morse, Andrew P.] Univ Liverpool, Sch Environm Sci, Liverpool, Merseyside, England; [Eggen, Bernd] Publ Hlth England, Ctr Radiat Chem &amp; Environm Hazards, Chilton, England; [Graham, Richard; Buontempo, Carlo] UK Met Off, Exeter, Devon, England; [Kjellstrom, Erik; Arheimer, Berit] Swedish Meteorol &amp; Hydrol Inst, Norrkoping, Sweden; [Pegion, Kathleen V.] George Mason Univ, Dept Atmospher Ocean &amp; Earth Sci, Fairfax, VA 22030 USA; [Pegion, Kathleen V.] George Mason Univ, Ctr Ocean Land Atmosphere Studies, Fairfax, VA 22030 USA; [Holbrook, Neil J.] Univ Tasmania, Inst Marine &amp; Antarctic Studies, ARC Ctr Excellence Climate Syst Sci, Hobart, Tas, Australia; [McEvoy, Darryn] RMIT Univ, Global Cities Res Inst, Melbourne, Vic, Australia; [Perkins-Kirkpatrick, Sarah] Univ New South Wales, ARC Ctr Excellence Climate Syst Sci, Climate Change Res Ctr, Sydney, NSW, Australia; [Brown, Timothy J.] Desert Res Inst, Reno, NV USA; [Street, Roger] Univ Oxford, UK Climate Impacts Programme, Oxford, England; [Jones, Lindsey] London Sch Econ &amp; Polit Sci LSE, London, England; [Lamb, Rob] Univ Lancaster, Lancaster Environm Ctr, Lancaster, England; [Lamb, Rob] JBA Trust, Skipton, England; [Meinke, Holger] Univ Tasmania, Tasmanian Inst Agr, Hobart, Tas, Australia; [Zebiak, Stephen E.] Climate Informat Serv Ltd, Tappan, NY USA</t>
  </si>
  <si>
    <t>University of Tasmania; University of Tasmania; Antarctic Climate &amp; Ecosystems Cooperative Research Centre (ACE CRC); Stockholm Environment Institute; Columbia University; National Center Atmospheric Research (NCAR) - USA; National Oceanic Atmospheric Admin (NOAA) - USA; European Centre for Medium-Range Weather Forecasts (ECMWF); Columbia University; National Oceanic Atmospheric Admin (NOAA) - USA; Public Health England; University of Oxford; University of Oxford; University of Exeter; University of Liverpool; Public Health England; Met Office - UK; Swedish Meteorological &amp; Hydrological Institute; George Mason University; George Mason University; Center for Ocean Land Atmosphere Studies; University of Tasmania; ARC Centre of Excellence for Climate System Science; Royal Melbourne Institute of Technology (RMIT); University of New South Wales Sydney; ARC Centre of Excellence for Climate System Science; Nevada System of Higher Education (NSHE); Desert Research Institute NSHE; University of Oxford; University of London; London School Economics &amp; Political Science; Lancaster University; University of Tasmania</t>
  </si>
  <si>
    <t>White, CJ (corresponding author), Univ Tasmania, Sch Engn, Private Bag 65, Hobart, Tas 7001, Australia.;White, CJ (corresponding author), Univ Tasmania, ICT, Private Bag 65, Hobart, Tas 7001, Australia.</t>
  </si>
  <si>
    <t>chris.white@utas.edu.au</t>
  </si>
  <si>
    <t>Lazo, Jeffrey/AGD-8003-2022; Meinke, Holger/GRS-6385-2022; Robertson, Andrew W/H-7138-2015; Lamb, Rob/ITT-5621-2023; Klein, Richard J.T./B-1148-2009; Pegion, Kathy/E-1525-2013; James, Rachel Anne/GQI-4427-2022; Perkins-Kirkpatrick, Sarah E/O-5042-2015; , AK/B-6517-2008; Fleming, Lora E/ABH-1310-2021; Kjellström, Erik/AAF-5947-2020; Buontempo, Carlo/GLQ-7538-2022; Eggen, Bernd/R-3427-2019; Morse, Andy/JLM-0376-2023; Meinke, Holger/C-7215-2013; McEvoy, Darryn/K-8015-2017; Holbrook, Neil/M-7544-2013; Hodgson-Johnston, Indi/B-8054-2014</t>
  </si>
  <si>
    <t>Lamb, Rob/0000-0002-9593-621X; Klein, Richard J.T./0000-0002-9458-0944; Pegion, Kathy/0000-0001-5820-7678; James, Rachel Anne/0000-0001-5738-1092; Fleming, Lora E/0000-0003-1076-9967; Buontempo, Carlo/0000-0002-1874-5380; Eggen, Bernd/0000-0002-0933-0204; Morse, Andy/0000-0002-0413-2065; Meinke, Holger/0000-0003-2657-3264; Becker, Emily/0000-0002-5533-9891; Depledge, Michael/0000-0002-7216-0439; McEvoy, Darryn/0000-0003-4144-4137; Carlsen, Henrik/0000-0003-1054-6747; Perkins-Kirkpatrick, Sarah/0000-0001-9443-4915; MacLeod, Dave/0000-0001-5504-6450; Remenyi, Tomas/0000-0002-4145-9323; Coughlan de Perez, Erin/0000-0001-7645-5720; Holbrook, Neil/0000-0002-3523-6254; Hodgson-Johnston, Indi/0000-0002-0305-9468; Arheimer, Berit/0000-0001-8314-0735</t>
  </si>
  <si>
    <t>Winston Churchill Memorial Trust of Australia; University of Tasmania's Research Enhancement Grants Scheme [W0022828]; Natural Environment Research Council [NE/M020355/1] Funding Source: researchfish; NERC [NE/M020355/1] Funding Source: UKRI</t>
  </si>
  <si>
    <t>Winston Churchill Memorial Trust of Australia; University of Tasmania's Research Enhancement Grants Scheme; Natural Environment Research Council(UK Research &amp; Innovation (UKRI)Natural Environment Research Council (NERC)); NERC(UK Research &amp; Innovation (UKRI)Natural Environment Research Council (NERC))</t>
  </si>
  <si>
    <t>This paper is the result of a Churchill Fellowship awarded to C. J. White from the Winston Churchill Memorial Trust of Australia, which enabled him to visit the co-authors of this paper to hold cross-disciplinary conversations around potential applications of S2S predictions. The paper is supported by the University of Tasmania's Research Enhancement Grants Scheme grant W0022828.</t>
  </si>
  <si>
    <t>1350-4827</t>
  </si>
  <si>
    <t>1469-8080</t>
  </si>
  <si>
    <t>METEOROL APPL</t>
  </si>
  <si>
    <t>Meteorol. Appl.</t>
  </si>
  <si>
    <t>10.1002/met.1654</t>
  </si>
  <si>
    <t>FA4EG</t>
  </si>
  <si>
    <t>Green Accepted, Green Submitted, Bronze</t>
  </si>
  <si>
    <t>WOS:000405396000001</t>
  </si>
  <si>
    <t>Bardyn, A; Baklouti, D; Cottin, H; Fray, N; Briois, C; Paquette, J; Stenzel, O; Engrand, C; Fischer, H; Hornung, K; Isnard, R; Langevin, Y; Lehto, H; Le Roy, L; Ligier, N; Merouane, S; Modica, P; Orthous-Daunay, FR; Rynö, J; Schulz, R; Silén, J; Thirkell, L; Varmuza, K; Zaprudin, B; Kissel, J; Hilchenbach, M</t>
  </si>
  <si>
    <t>Bardyn, Anais; Baklouti, Donia; Cottin, Herve; Fray, Nicolas; Briois, Christelle; Paquette, John; Stenzel, Oliver; Engrand, Cecile; Fischer, Henning; Hornung, Klaus; Isnard, Robin; Langevin, Yves; Lehto, Harry; Le Roy, Lena; Ligier, Nicolas; Merouane, Sihane; Modica, Paola; Orthous-Daunay, Francois-Regis; Ryno, Jouni; Schulz, Rita; Silen, Johan; Thirkell, Laurent; Varmuza, Kurt; Zaprudin, Boris; Kissel, Jochen; Hilchenbach, Martin</t>
  </si>
  <si>
    <t>Carbon-rich dust in comet 67P/Churyumov-Gerasimenko measured by COSIMA/Rosetta</t>
  </si>
  <si>
    <t>MONTHLY NOTICES OF THE ROYAL ASTRONOMICAL SOCIETY</t>
  </si>
  <si>
    <t>International Conference on Cometary Science - Comets - A New Vision after Rosetta and Philae</t>
  </si>
  <si>
    <t>NOV 14-18, 2016</t>
  </si>
  <si>
    <t>Toulouse, FRANCE</t>
  </si>
  <si>
    <t>astrochemistry; space vehicles: instruments; techniques: miscellaneous; comets: general; comets: individual: 67P/Churyumov-Gerasimenko</t>
  </si>
  <si>
    <t>ULTRACARBONACEOUS ANTARCTIC MICROMETEORITES; NONNEGATIVE MATRIX FACTORIZATION; INSTRUMENT ONBOARD ROSETTA; TOF-SIMS ANALYSIS; HALLEY DUST; CHEMICAL-COMPOSITION; MASS-SPECTROMETER; STARDUST AEROGEL; ORGANIC-MATTER; SOLAR-SYSTEM</t>
  </si>
  <si>
    <t>Cometary ices are rich in CO2, CO and organic volatile compounds, but the carbon content of cometary dust was only measured for the Oort Cloud comet 1P/Halley, during its flyby in 1986. The COmetary Secondary Ion Mass Analyzer (COSIMA)/Rosetta mass spectrometer analysed dust particles with sizes ranging from 50 to 1000 mu m, collected over 2 yr, from 67P/Churyumov-Gerasimenko (67P), a Jupiter family comet. Here, we report 67P dust composition focusing on the elements C and O. It has a high carbon content (atomic C/Si = 5.5(-1.2)(+1.4) on average) close to the solar value and comparable to the 1P/Halley data. From COSIMA measurements, we conclude that 67P particles are made of nearly 50 per cent organic matter in mass, mixed with mineral phases that are mostly anhydrous. The whole composition, rich in carbon and non-hydrated minerals, points to a primitive matter that likely preserved its initial characteristics since the comet accretion in the outer regions of the protoplanetary disc.</t>
  </si>
  <si>
    <t>[Bardyn, Anais; Cottin, Herve; Fray, Nicolas; Isnard, Robin; Modica, Paola] Univ Paris Est Creteil, UMR CNRS 7583, LISA, F-94000 Creteil, France; [Bardyn, Anais; Cottin, Herve; Fray, Nicolas; Isnard, Robin; Modica, Paola] Univ Paris Diderot, Inst Pierre Simon Laplace, F-94000 Creteil, France; [Bardyn, Anais; Briois, Christelle; Isnard, Robin; Modica, Paola; Thirkell, Laurent] Univ Orleans, CNRS, LPC2E, F-45071 Orleans, France; [Baklouti, Donia; Langevin, Yves; Ligier, Nicolas] Univ Paris 11, CNRS, IAS, Batiment 121, F-91405 Orsay, France; [Paquette, John; Stenzel, Oliver; Fischer, Henning; Merouane, Sihane; Kissel, Jochen; Hilchenbach, Martin] Max Planck Inst Sonnensyst Forsch MPS, Justus von Liebig Weg 3, D-37077 Gottingen, Germany; [Engrand, Cecile] Univ Paris Saclay, UMR 8609, Univ Paris Sud, CNRS,IN2P3,CSNSM, Batiment 104, F-91405 Orsay, France; [Hornung, Klaus] Univ Bundeswehr LRT 7, Werner Heisenberg Weg 39, D-85577 Neubiberg, Germany; [Lehto, Harry; Zaprudin, Boris] Univ Turku, Dept Phys &amp; Astron, Tuorla Observ, Vaisalantie 20, FI-21500 Piikkio, Finland; [Le Roy, Lena] Univ Bern, CSH, Sidlerstr 5, CH-3012 Bern, Switzerland; [Orthous-Daunay, Francois-Regis] Univ Grenoble Alpes, UMR 5274, IPAG, CNRS, F-38000 Grenoble, France; [Ryno, Jouni; Silen, Johan] Finnish Meteorol Inst, Observat Serv, Erik Palmenin Aukio 1, FI-00560 Helsinki, Finland; [Schulz, Rita] ESA, Sci Support Off, Keplerlaan 1,Postbus 299, NL-2200 AG Noordwijk, Netherlands; [Varmuza, Kurt] Vienna Univ Technol, Inst Stat &amp; Math Methods Econ, Wiedner Hauptstr 7-105-6, A-1040 Vienna, Austria; [Bardyn, Anais] Carnegie Inst Sci, Broad Branch Rd, Dept Terr Magnetism, 5241 Broad Branch Rd, Washington, DC 20015 USA</t>
  </si>
  <si>
    <t>Universite Paris-Est-Creteil-Val-de-Marne (UPEC); Universite Paris Cite; Universite Paris Cite; Universite Paris Saclay; Centre National de la Recherche Scientifique (CNRS); Universite de Orleans; Centre National de la Recherche Scientifique (CNRS); Universite Paris Saclay; Max Planck Society; Centre National de la Recherche Scientifique (CNRS); CNRS - National Institute of Nuclear and Particle Physics (IN2P3); Universite Paris Saclay; Universite Paris Cite; Bundeswehr University Munich; University of Turku; University of Bern; Communaute Universite Grenoble Alpes; Universite Grenoble Alpes (UGA); Institut de Planetologie et d'Astrophysique de Grenoble (IPAG); Centre National de la Recherche Scientifique (CNRS); CNRS - National Institute for Earth Sciences &amp; Astronomy (INSU); Finnish Meteorological Institute; Technische Universitat Wien; Carnegie Institution for Science</t>
  </si>
  <si>
    <t>Bardyn, A; Cottin, H (corresponding author), Univ Paris Est Creteil, UMR CNRS 7583, LISA, F-94000 Creteil, France.;Bardyn, A; Cottin, H (corresponding author), Univ Paris Diderot, Inst Pierre Simon Laplace, F-94000 Creteil, France.;Bardyn, A (corresponding author), Univ Orleans, CNRS, LPC2E, F-45071 Orleans, France.;Baklouti, D (corresponding author), Univ Paris 11, CNRS, IAS, Batiment 121, F-91405 Orsay, France.;Bardyn, A (corresponding author), Carnegie Inst Sci, Broad Branch Rd, Dept Terr Magnetism, 5241 Broad Branch Rd, Washington, DC 20015 USA.</t>
  </si>
  <si>
    <t>abardyn@carnegiescience.edu; donia.baklouti@ias.u-psud.fr; herve.cottin@lisa.u-pec.fr</t>
  </si>
  <si>
    <t>briois, christelle/B-2170-2015; Cottin, Hervé/M-6154-2019; Orthous-Daunay, François-Régis/HTN-3075-2023</t>
  </si>
  <si>
    <t>Cottin, Hervé/0000-0001-9170-5265; Engrand, Cecile/0000-0002-0396-5583; Fray, Nicolas/0000-0002-9140-5462; Stenzel, Oliver/0000-0001-7253-8588; BRIOIS, Christelle/0000-0002-5616-0180; Fischer, Henning/0000-0002-2407-7227; Le Roy, Lena/0000-0002-5984-6153; Merouane, Sihane/0000-0002-7746-2380; Baklouti, Donia/0000-0002-2754-7829</t>
  </si>
  <si>
    <t>national funding agencies of Germany [Deutsches Zentrum fur Luftund Raumfahrt (DLR), France [50 QP 1302]; (Centre National d'Etude Spatiales, CNES), Austria; Finland and the European Space Agency (ESA); CNES; Labex Exploration Spatiale des Environnements Planetaires (ESEP) [2011 LABX-030]; Idex Paris Sciences et Lettres (PSL) [ANR-10-IDEX-0001-02]; Labex Exploration Spatiale des Environnements Planetaires (ESEP); Academy of Finland grant [277375]; Austrian Science Fund (FWF) [P 26871-N20]; Austrian Science Fund (FWF) [P26871] Funding Source: Austrian Science Fund (FWF); Academy of Finland (AKA) [277375] Funding Source: Academy of Finland (AKA)</t>
  </si>
  <si>
    <t>national funding agencies of Germany [Deutsches Zentrum fur Luftund Raumfahrt (DLR), France(Helmholtz AssociationGerman Aerospace Centre (DLR)); (Centre National d'Etude Spatiales, CNES), Austria; Finland and the European Space Agency (ESA); CNES(Centre National D'etudes Spatiales); Labex Exploration Spatiale des Environnements Planetaires (ESEP); Idex Paris Sciences et Lettres (PSL); Labex Exploration Spatiale des Environnements Planetaires (ESEP); Academy of Finland grant(Research Council of Finland); Austrian Science Fund (FWF)(Austrian Science Fund (FWF)); Austrian Science Fund (FWF)(Austrian Science Fund (FWF)); Academy of Finland (AKA)(Research Council of Finland)</t>
  </si>
  <si>
    <t>COSIMA was built by a consortium led by the Max-Planck-Institut fur Extraterrestrische Physik, Garching, Germany, in collaboration with the Laboratoire de Physique et Chimie de l'Environnement et de l'Espace, Orleans, France; the Institut d'Astrophysique Spatiale, CNRS/Universite Paris Sud, Orsay, France; the Finnish Meteorological Institute, Helsinki, Finland; the Universitat Wuppertal, Wuppertal, Germany; von Hoerner and Sulger GmbH, Schwetzingen, Germany; the Universitat der Bundeswehr, Neubiberg, Germany; the Institut fur Physik, Forschungszentrum Seibersdorf, Seibersdorf, Austria; and the Institut fur Weltraumforschung, Osterreichische Akademie der Wissenschaften, Graz, Austria; and is led by the Max-Planck-Institut fur Sonnensystemforschung, Gottingen, Germany. We acknowledge the support of the national funding agencies of Germany [Deutsches Zentrum fur Luftund Raumfahrt (DLR), grant 50 QP 1302], France (Centre National d'Etude Spatiales, CNES), Austria, Finland and the European Space Agency (ESA) Technical Directorate. AB acknowledges support from the CNES and the Labex Exploration Spatiale des Environnements Planetaires (ESEP; no. 2011 LABX-030), and funding from the Idex Paris Sciences et Lettres (PSL; no. ANR-10-IDEX-0001-02). RI also acknowledges support from the Labex Exploration Spatiale des Environnements Planetaires (ESEP; no. 2011-LABX-030) and funding from the Idex Paris Sciences et Lettres (PSL; no. ANR-10-IDEX-0001-02). HL and BZ acknowledge Academy of Finland grant 277375. KV acknowledges support from the Austrian Science Fund (FWF), project P 26871-N20. We thank the Rosetta Science Ground Segment at the European Space Astronomy Centre, the Rosetta Mission Operations Centre at the European Space Operations Centre, and the Rosetta Project at the European Space Research and Technology Centre for their outstanding work enabling the science return of the Rosetta Mission. Rosetta is an ESA mission with contributions from its Member States and NASA.</t>
  </si>
  <si>
    <t>0035-8711</t>
  </si>
  <si>
    <t>1365-2966</t>
  </si>
  <si>
    <t>MON NOT R ASTRON SOC</t>
  </si>
  <si>
    <t>Mon. Not. Roy. Astron. Soc.</t>
  </si>
  <si>
    <t>S712</t>
  </si>
  <si>
    <t>S722</t>
  </si>
  <si>
    <t>10.1093/mnras/stx2640</t>
  </si>
  <si>
    <t>GS8EL</t>
  </si>
  <si>
    <t>WOS:000443940500063</t>
  </si>
  <si>
    <t>Bockelee-Morvan, D; Rinaldi, G; Erard, S; Leyrat, C; Capaccioni, F; Drossart, P; Filacchione, G; Migliorini, A; Quirico, E; Mottola, S; Tozzi, G; Arnold, G; Biver, N; Combes, M; Crovisier, J; Longobardo, A; Blecka, M; Capria, MT</t>
  </si>
  <si>
    <t>Bockelee-Morvan, D.; Rinaldi, G.; Erard, S.; Leyrat, C.; Capaccioni, F.; Drossart, P.; Filacchione, G.; Migliorini, A.; Quirico, E.; Mottola, S.; Tozzi, G.; Arnold, G.; Biver, N.; Combes, M.; Crovisier, J.; Longobardo, A.; Blecka, M.; Capria, M. -T.</t>
  </si>
  <si>
    <t>Comet 67P outbursts and quiescent coma at 1.3 au from the Sun: dust properties from Rosetta/VIRTIS-H observations</t>
  </si>
  <si>
    <t>comets: general; comets: individual: 67P/Churyumov-Gerasimenko; infrared: planetary systems</t>
  </si>
  <si>
    <t>INTERSTELLAR SILICATE MINERALOGY; ANTARCTIC MICROMETEORITES; IMAGING SPECTROMETER; PARENT VOLATILES; ORGANIC-MATTER; INNER COMA; C/1996 B2; WATER ICE; 67P/CHURYUMOV-GERASIMENKO; GRAINS</t>
  </si>
  <si>
    <t>We present 2-5 mu m spectroscopic observations of the dust coma of 67P/Churyumov-Gerasimenko obtained with the VIRTIS-H instrument onboard Rosetta during two outbursts that occurred on 2015, 13 September 13.6 h UT and 14 September 18.8 h UT at 1.3 au from the Sun. Scattering and thermal properties measured before the outburst are in the mean of values measured for moderately active comets. The colour temperature excess (or superheat factor) can be attributed to submicrometre-sized particles composed of absorbing material or to porous fractal-like aggregates such as those collected by the Rosetta in situ dust instruments. The power-law index of the dust size distribution is in the range 2-3. The sudden increase of infrared emission associated with the outbursts is correlated with a large increase of the colour temperature (from 300 to 630 K) and a change of the dust colour at 2-2.5 mu m from red to blue colours, revealing the presence of very small grains (&lt;= 100 nm) in the outburst material. In addition, the measured large bolometric albedos (similar to 0.7) indicate bright grains in the ejecta, which could either be silicatic grains, implying the thermal degradation of the carbonaceous material, or icy grains. The 3 mu m absorption band from water ice is not detected in the spectra acquired during the outbursts, whereas signatures of organic compounds near 3.4 mu m are observed in emission. The H2O 2.7 mu m and CO2 4.3 mu m vibrational bands do not show any enhancement during the outbursts.</t>
  </si>
  <si>
    <t>[Bockelee-Morvan, D.; Erard, S.; Leyrat, C.; Drossart, P.; Biver, N.; Combes, M.; Crovisier, J.] Univ Paris Diderot, UPMC Univ Paris 06, Sorbonne Univ, CNRS,LESIA,Observat Paris,PSL Res Univ, Sorbonne Paris Cite,5 Pl Jules Janssen, F-92195 Meudon, France; [Rinaldi, G.; Capaccioni, F.; Filacchione, G.; Migliorini, A.; Longobardo, A.; Capria, M. -T.] Ist Astrofis &amp; Planetol Spaziali, INAF IAPS, Via Fosso Cavaliere 100, I-00133 Rome, Italy; [Quirico, E.] Univ Grenoble Alpes, CNRS, Inst Planetol &amp; Astrophys Grenoble, 414 Rue Piscine,BP53, F-38041 Grenoble, France; [Mottola, S.; Arnold, G.] Inst Planetary Res, Deutsches Zentrum Luft &amp; Raumfahrt DLR, Rutherfordstr 2, D-12489 Berlin, Germany; [Tozzi, G.] INAF, Osservatorio Astrofis Arcetri, Largo E Fermi 5, I-50125 Florence, Italy; [Blecka, M.] Polish Acad Sci, Space Res Ctr, Bartycka 18A, PL-00716 Warsaw, Poland</t>
  </si>
  <si>
    <t>Universite PSL; Observatoire de Paris; Universite Paris Cite; Sorbonne Universite; Centre National de la Recherche Scientifique (CNRS); Istituto Nazionale Astrofisica (INAF); Centre National de la Recherche Scientifique (CNRS); Communaute Universite Grenoble Alpes; Universite Grenoble Alpes (UGA); Institut de Planetologie et d'Astrophysique de Grenoble (IPAG); Helmholtz Association; German Aerospace Centre (DLR); Istituto Nazionale Astrofisica (INAF); Centrum Badan Kosmicznych, Polish Academy of Sciences; Polish Academy of Sciences; Space Research Centre of the Polish Academy of Sciences</t>
  </si>
  <si>
    <t>Bockelee-Morvan, D (corresponding author), Univ Paris Diderot, UPMC Univ Paris 06, Sorbonne Univ, CNRS,LESIA,Observat Paris,PSL Res Univ, Sorbonne Paris Cite,5 Pl Jules Janssen, F-92195 Meudon, France.</t>
  </si>
  <si>
    <t>Dominique.Bockelee@obspm.fr</t>
  </si>
  <si>
    <t>Migliorini, Alessandra/AAY-8600-2020; Drossart, Pierre/H-8670-2013; Filacchione, Gianrico/S-2320-2017</t>
  </si>
  <si>
    <t>Migliorini, Alessandra/0000-0001-7386-9215; Erard, Stephane/0000-0002-9099-8366; Rinaldi, Giovanna/0000-0002-2968-0455; Capaccioni, Fabrizio/0000-0003-1631-4314; Filacchione, Gianrico/0000-0001-9567-0055; Longobardo, Andrea/0000-0002-1797-2741</t>
  </si>
  <si>
    <t>Italian Space Agency (ASI; Italy); Centre National d'Etudes Spatiales (CNES; France); Deutsches Zentrum fur Luft-und Raumfahrt (DLR; Germany); National Aeronautic and Space Administration (NASA; USA); ASI; CNES; DLR; Observatoire de Meudon</t>
  </si>
  <si>
    <t>Italian Space Agency (ASI; Italy)(Agenzia Spaziale Italiana (ASI)); Centre National d'Etudes Spatiales (CNES; France)(Centre National D'etudes Spatiales); Deutsches Zentrum fur Luft-und Raumfahrt (DLR; Germany)(Helmholtz AssociationGerman Aerospace Centre (DLR)); National Aeronautic and Space Administration (NASA; USA); ASI(Agenzia Spaziale Italiana (ASI)); CNES(Centre National D'etudes Spatiales); DLR(Helmholtz AssociationGerman Aerospace Centre (DLR)); Observatoire de Meudon</t>
  </si>
  <si>
    <t>The authors would like to thank the following institutions and agencies, which supported this work: Italian Space Agency (ASI; Italy), Centre National d'Etudes Spatiales (CNES; France), Deutsches Zentrum fur Luft-und Raumfahrt (DLR; Germany), National Aeronautic and Space Administration (NASA; USA). VIRTIS was built by a consortium from Italy, France and Germany, under the scientific responsibility of the Istituto di Astrofisica e Planetologia Spaziali of INAF, Rome (IT), which lead also the scientific operations. The VIRTIS instrument development for ESA has been funded and managed by ASI, with contributions from Observatoire de Meudon financed by CNES and from DLR. The instrument industrial prime contractor was former Officine Galileo, now Selex ES (Finmeccanica Group) in Campi Bisenzio, Florence, IT. The authors wish to thank the Rosetta Science Ground Segment and the Rosetta Mission Operations Centre for their fantastic support throughout the early phases of the mission. The VIRTIS calibrated data shall be available through the ESA's Planetary Science Archive (PSA) Web site. With fond memories of Angioletta Coradini, conceiver of the VIRTIS instrument, our leader and friend. DBM thanks L. Kolokolova for useful discussions.</t>
  </si>
  <si>
    <t>S443</t>
  </si>
  <si>
    <t>S458</t>
  </si>
  <si>
    <t>10.1093/mnras/stx1950</t>
  </si>
  <si>
    <t>hybrid, Green Submitted, Green Accepted</t>
  </si>
  <si>
    <t>WOS:000443940500043</t>
  </si>
  <si>
    <t>Fray, N; Bardyn, A; Cottin, H; Baklouti, D; Briois, C; Engrand, C; Fischer, H; Hornung, K; Isnard, R; Langevin, Y; Lehto, H; Le Roy, L; Mellado, EM; Merouane, S; Modica, P; Orthous-Daunay, FR; Paquette, J; Ryno, J; Schulz, R; Silén, J; Siljeström, S; Stenzel, O; Thirkell, L; Varmuza, K; Zaprudin, B; Kissel, J; Hilchenbach, M</t>
  </si>
  <si>
    <t>Fray, Nicolas; Bardyn, Anais; Cottin, Herve; Baklouti, Donia; Briois, Christelle; Engrand, Cecile; Fischer, Henning; Hornung, Klaus; Isnard, Robin; Langevin, Yves; Lehto, Harry; Le Roy, Lena; Mellado, Eva Maria; Merouane, Sihane; Modica, Paola; Orthous-Daunay, Francois-Regis; Paquette, John; Ryno, Jouni; Schulz, Rita; Silen, Johan; Siljestrom, Sandra; Stenzel, Oliver; Thirkell, Laurent; Varmuza, Kurt; Zaprudin, Boris; Kissel, Jochen; Hilchenbach, Martin</t>
  </si>
  <si>
    <t>Nitrogen-to-carbon atomic ratio measured by COSIMA in the particles of comet 67P/Churyumov-Gerasimenko</t>
  </si>
  <si>
    <t>astrochemistry; space vehicles; comets: general; comets: individual: 67P/Churyumov; Gerasimenko; meteorites, meteors, meteoroids</t>
  </si>
  <si>
    <t>INTERPLANETARY DUST PARTICLES; MACROMOLECULAR ORGANIC-MATTER; INSTRUMENT ONBOARD ROSETTA; SOLAR-SYSTEM; HALLEY DUST; MASS-SPECTROMETER; COSMIC DUST; ANTARCTIC MICROMETEORITES; INFRARED-SPECTROSCOPY; ISOTOPIC COMPOSITIONS</t>
  </si>
  <si>
    <t>The COmetary Secondary Ion Mass Analyzer (COSIMA) on board the Rosetta mission has analysed numerous cometary dust particles collected at very low velocities (a few m s(-1)) in the environment of comet 67P/Churyumov-Gerasimenko (hereafter 67P). In these particles, carbon and nitrogen are expected mainly to be part of the organic matter. We have measured the nitrogen-to-carbon (N/C) atomic ratio of 27 cometary particles. It ranges from 0.018 to 0.06 with an averaged value of 0.035 +/- 0.011. This is compatible with the measurements of the particles of comet 1P/Halley and is in the lower range of the values measured in comet 81P/Wild 2 particles brought back to Earth by the Stardust mission. Moreover, the averaged value found in 67P particles is also similar to the one found in the insoluble organic matter extracted from CM, CI and CR carbonaceous chondrites and to the bulk values measured in most interplanetary dust particles and micrometeorites. The close agreement of the N/C atomic ratio in all these objects indicates that their organic matters share some similarities and could have a similar chemical origin. Furthermore, compared to the abundances of all the detected elements in the particles of 67P and to the elemental solar abundances, the nitrogen is depleted in the particles and the nucleus of 67P as was previously inferred also for comet 1P/Halley. This nitrogen depletion could constrain the formation scenarios of cometary nuclei.</t>
  </si>
  <si>
    <t>[Fray, Nicolas; Bardyn, Anais; Cottin, Herve; Isnard, Robin; Modica, Paola] Univ Paris Est Creteil, CNRS, UMR 7583, Inst Pierre Simon Lapl,LISA, F-94000 Creteil, France; [Fray, Nicolas; Bardyn, Anais; Cottin, Herve; Isnard, Robin; Modica, Paola] Univ Paris Diderot, F-94000 Creteil, France; [Bardyn, Anais; Briois, Christelle; Isnard, Robin; Modica, Paola; Thirkell, Laurent] Univ Orleans, CNRS, UMR 7328, Lab Phys &amp; Chim Environm &amp; Espace LPC2E, F-45071 Orleans, France; [Baklouti, Donia; Langevin, Yves] Univ Paris 11, CNRS, IAS, Batiment 121, F-91405 Orsay, France; [Engrand, Cecile] Univ Paris Saclay, CNRS, Univ Paris Sud, UMR 8609,CSNSM,IN2P3, Batiment 104, F-91405 Orsay, France; [Fischer, Henning; Merouane, Sihane; Paquette, John; Stenzel, Oliver; Kissel, Jochen; Hilchenbach, Martin] Max Planck Inst Sonnensyst Forsch, Justus Von Liebig Weg 3, D-37077 Gottingen, Germany; [Hornung, Klaus; Mellado, Eva Maria] Univ Bundeswehr LRT 7, Werner Heisenberg Weg 39, D-85577 Neubiberg, Germany; [Lehto, Harry; Zaprudin, Boris] Univ Turku, Dept Phys &amp; Astron, Tuorla Observ, Vaisalantie 20, FI-21500 Piikkio, Finland; [Le Roy, Lena] Univ Bern, CSH, Sidlerstr 5, CH-3012 Bern, Switzerland; [Orthous-Daunay, Francois-Regis] Univ Grenoble Alpes, CNRS, IPAG, UMR 5274, F-38000 Grenoble, France; [Ryno, Jouni; Silen, Johan] Finnish Meteorol Inst, Observat Serv, Erik Palmenin Aukio 1, FI-00560 Helsinki, Finland; [Schulz, Rita] European Space Agcy, Sci Support Off, Keplerlaan 1,Postbus 299, NL-2200 AG Noordwijk, Netherlands; [Siljestrom, Sandra] RISE Res Inst Sweden Biosci &amp; Mat, Box 5607, SE-11486 Stockholm, Sweden; [Siljestrom, Sandra] RISE Res Inst Sweden Chem Mat &amp; Surfaces, Box 5607, SE-11486 Stockholm, Sweden; [Varmuza, Kurt] Vienna Univ Technol, Inst Stat &amp; Math Methods Econ, Wiedner Hauptstr 7-105-6, A-1040 Vienna, Austria</t>
  </si>
  <si>
    <t>Centre National de la Recherche Scientifique (CNRS); CNRS - National Institute for Earth Sciences &amp; Astronomy (INSU); Universite Paris-Est-Creteil-Val-de-Marne (UPEC); Universite Gustave-Eiffel; Universite Paris Cite; Universite Paris Cite; Centre National de la Recherche Scientifique (CNRS); CNRS - National Institute for Earth Sciences &amp; Astronomy (INSU); Universite de Orleans; Centre National de la Recherche Scientifique (CNRS); Universite Paris Saclay; Centre National de la Recherche Scientifique (CNRS); CNRS - National Institute of Nuclear and Particle Physics (IN2P3); Universite Paris Saclay; Universite Paris Cite; Max Planck Society; Bundeswehr University Munich; University of Turku; University of Bern; Communaute Universite Grenoble Alpes; Universite Grenoble Alpes (UGA); Centre National de la Recherche Scientifique (CNRS); CNRS - National Institute for Earth Sciences &amp; Astronomy (INSU); Institut de Planetologie et d'Astrophysique de Grenoble (IPAG); Finnish Meteorological Institute; RISE Research Institutes of Sweden; Technische Universitat Wien</t>
  </si>
  <si>
    <t>Fray, N (corresponding author), Univ Paris Est Creteil, CNRS, UMR 7583, Inst Pierre Simon Lapl,LISA, F-94000 Creteil, France.;Fray, N (corresponding author), Univ Paris Diderot, F-94000 Creteil, France.</t>
  </si>
  <si>
    <t>nicolas.fray@lisa.u-pec.fr</t>
  </si>
  <si>
    <t>Cottin, Hervé/0000-0001-9170-5265; Fischer, Henning/0000-0002-2407-7227; Le Roy, Lena/0000-0002-5984-6153; Engrand, Cecile/0000-0002-0396-5583; Baklouti, Donia/0000-0002-2754-7829; BRIOIS, Christelle/0000-0002-5616-0180; Merouane, Sihane/0000-0002-7746-2380; Stenzel, Oliver/0000-0001-7253-8588; Siljestrom, Sandra/0000-0002-4975-6074; Fray, Nicolas/0000-0002-9140-5462</t>
  </si>
  <si>
    <t>Germany (DLR) [50 QP 1302]; France (CNES); Austria (Austrian Science Fund, FWF) [P 26871-N20]; ESA Technical Directorate; CNES; Labex Exploration Spatiale des Environnements Planetaires (ESEP) [2011-LABX-030]; Idex Paris Sciences et Lettres (PSL) [ANR-10-IDEX-0001-02]; Swedish National Space Board [121/11, 198/15]; Austrian Science Fund (FWF) [P26871] Funding Source: Austrian Science Fund (FWF)</t>
  </si>
  <si>
    <t>Germany (DLR)(Helmholtz AssociationGerman Aerospace Centre (DLR)); France (CNES)(Centre National D'etudes Spatiales); Austria (Austrian Science Fund, FWF)(Austrian Science Fund (FWF)); ESA Technical Directorate; CNES(Centre National D'etudes Spatiales); Labex Exploration Spatiale des Environnements Planetaires (ESEP); Idex Paris Sciences et Lettres (PSL); Swedish National Space Board(Swedish National Space Agency (SNSA)); Austrian Science Fund (FWF)(Austrian Science Fund (FWF))</t>
  </si>
  <si>
    <t>COSIMA was built by a consortium led by the Max-Planck-Institut fur Extraterrestrische Physik, Garching, Germany in collaboration with Laboratoire de Physique et Chimie de l'Environnement et de l'Espace, Orleans, France, Institut d'Astrophysique Spatiale, CNRS/Universite Paris Sud, Orsay, France, Finnish Meteorological Institute, Helsinki, Finland, Universitat Wuppertal, Wuppertal, Germany, von Hoerner und Sulger GmbH, Schwetzingen, Germany, Universitat der Bundeswehr, Neubiberg, Germany, Institut fur Physik, Forschungszentrum Seibersdorf, Seibersdorf, Austria, Institut fur Weltraumforschung, Osterreichische Akademie der Wissenschaften, Graz, Austria and is led by the Max-Planck-Institut fur Sonnensystemforschung, Gottingen, Germany. We thank F. Brandstatter, L. Ferriere and C. Koeberl from the Natural History Museum Vienna for providing bulk meteorite samples as well as H. Kruger for technical assistance in the COSIMA RM operations and sample handling. The support of the national funding agencies of Germany (DLR, grant 50 QP 1302), France (CNES), Austria (Austrian Science Fund, FWF, project P 26871-N20), Finland and the ESA Technical Directorate is gratefully acknowledged. AB acknowledges support from the CNES and the Labex Exploration Spatiale des Environnements Planetaires (ESEP; no. 2011-LABX-030) and funding from the Idex Paris Sciences et Lettres (PSL; no. ANR-10-IDEX-0001-02). RI also acknowledges support from the Labex Exploration Spatiale des Environnements Planetaires (ESEP; no. 2011-LABX-030) and funding from the Idex Paris Sciences et Lettres (PSL; no. ANR-10-IDEX-0001-02). SS acknowledges funding from the Swedish National Space Board (contracts 121/11 and 198/15). We thank the Rosetta Science Ground Segment at ESAC, the Rosetta Mission Operations Centre at ESOC and the Rosetta Project at ESTEC for their outstanding work enabling the science return of the Rosetta Mission. Rosetta is an ESA mission with contributions from its Member States and NASA.</t>
  </si>
  <si>
    <t>S506</t>
  </si>
  <si>
    <t>S516</t>
  </si>
  <si>
    <t>10.1093/mnras/stx2002</t>
  </si>
  <si>
    <t>WOS:000443940500047</t>
  </si>
  <si>
    <t>McCauley, RD; Day, RD; Swadling, KM; Fitzgibbon, QP; Watson, RA; Semmens, JM</t>
  </si>
  <si>
    <t>McCauley, Robert D.; Day, Ryan D.; Swadling, Kerrie M.; Fitzgibbon, Quinn P.; Watson, Reg A.; Semmens, Jayson M.</t>
  </si>
  <si>
    <t>Widely used marine seismic survey air gun operations negatively impact zooplankton</t>
  </si>
  <si>
    <t>BEHAVIOR; COPEPOD; SOUNDS; NOISE; FISH</t>
  </si>
  <si>
    <t>Zooplankton underpin the health and productivity of global marine ecosystems. Here we present evidence that suggests seismic surveys cause significant mortality to zooplankton populations. Seismic surveys are used extensively to explore for petroleum resources using intense, low-frequency, acoustic impulse signals. Experimental air gun signal exposure decreased zooplankton abundance when compared with controls, as measured by sonar (similar to 3-4dB drop within 15-30 min) and net tows (median 64% decrease within 1 h), and caused a two-to threefold increase in dead adult and larval zooplankton. Impacts were observed out to the maximum 1.2 km range sampled, which was more than two orders of magnitude greater than the previously assumed impact range of 10 m. Although no adult krill were present, all larval krill were killed after air gun passage. There is a significant and unacknowledged potential for ocean ecosystem function and productivity to be negatively impacted by present seismic technology.</t>
  </si>
  <si>
    <t>[McCauley, Robert D.] Curtin Univ, Ctr Marine Sci &amp; Technol, GPO Box U 1987, Perth, WA 6845, Australia; [Day, Ryan D.; Fitzgibbon, Quinn P.; Watson, Reg A.; Semmens, Jayson M.] Univ Tasmania, Ctr Fisheries &amp; Aquaculture, Inst Marine &amp; Antarctic Studies, Private Bag 49, Hobart, Tas 7001, Australia; [Swadling, Kerrie M.] Antarctic Climate &amp; Ecosyst Cooperat Res Ctr, Ctr Ecol &amp; Biodivers, Inst Marine &amp; Antarctic Studies, Private Bag 80, Hobart, Tas 7001, Australia</t>
  </si>
  <si>
    <t>Curtin University; University of Tasmania; University of Tasmania; Antarctic Climate &amp; Ecosystems Cooperative Research Centre (ACE CRC)</t>
  </si>
  <si>
    <t>McCauley, RD (corresponding author), Curtin Univ, Ctr Marine Sci &amp; Technol, GPO Box U 1987, Perth, WA 6845, Australia.;Semmens, JM (corresponding author), Univ Tasmania, Ctr Fisheries &amp; Aquaculture, Inst Marine &amp; Antarctic Studies, Private Bag 49, Hobart, Tas 7001, Australia.</t>
  </si>
  <si>
    <t>R.McCauley@cmst.curtin.edu.au; jayson.semmens@utas.edu.au</t>
  </si>
  <si>
    <t>Day, Ryan D/J-7715-2014; Watson, Reg A/F-4850-2012</t>
  </si>
  <si>
    <t>Watson, Reg A/0000-0001-7201-8865; Fitzgibbon, Quinn/0000-0002-1104-3052; Swadling, Kerrie/0000-0002-7620-841X; Day, Ryan/0000-0002-1834-6945; Semmens, Jayson/0000-0003-1742-6692</t>
  </si>
  <si>
    <t>University of Tasmania Research Enhancement Grant Scheme [D0022S18]; Australian Research Council (Discovery project) [DP140101377]</t>
  </si>
  <si>
    <t>University of Tasmania Research Enhancement Grant Scheme; Australian Research Council (Discovery project)(Australian Research Council)</t>
  </si>
  <si>
    <t>The authors acknowledge the fieldwork contributions of IMAS staff, particularly M. Porteus, L. Watson, J. Beard, A. Pender, J. McAllister and A. Walters. M. Perry and D. Minchin of Curtin University prepared air gun and acoustic gear. This study was supported by University of Tasmania Research Enhancement Grant Scheme D0022S18. R.A.W. acknowledges support from the Australian Research Council (Discovery project DP140101377). All research was conducted in accordance with University of Tasmania Animal Ethics Committee permit A13328. Fieldwork was conducted in accordance with Tasmania Department of Primary Industries, Parks, Water and Environment permits 13011 and 14038. R. Towler (Midwater Assessment and Conservation Engineering, NOAA Alaska Fisheries Science Center) produced a modified package for reading the sonar raw data files into MATLAB.</t>
  </si>
  <si>
    <t>10.1038/s41559-017-0195</t>
  </si>
  <si>
    <t>WOS:000417179000023</t>
  </si>
  <si>
    <t>Ryabov, AB; de Roos, AM; Meyer, B; Kawaguchi, S; Blasius, B</t>
  </si>
  <si>
    <t>Ryabov, Alexey B.; de Roos, Andre M.; Meyer, Bettina; Kawaguchi, So; Blasius, Bernd</t>
  </si>
  <si>
    <t>Competition-induced starvation drives large-scale population cycles in Antarctic krill</t>
  </si>
  <si>
    <t>EUPHAUSIA-SUPERBA; MORTALITY-RATES; SOUTH GEORGIA; INDIAN SECTOR; GROWTH; VARIABILITY; PREDATORS; RESPONSES; DYNAMICS; MODELS</t>
  </si>
  <si>
    <t>Antarctic krill (Euphausia superba)- one of the most abundant animal species on Earth-exhibits a five to six year population cycle, with oscillations in biomass exceeding one order of magnitude. Previous studies have postulated that the krill cycle is induced by periodic climatological factors, but these postulated drivers neither show consistent agreement, nor are they supported by quantitative models. Here, using data analysis complemented with modelling of krill ontogeny and population dynamics, we identify intraspecific competition for food as the main driver of the krill cycle, while external climatological factors possibly modulate its phase and synchronization over large scales. Our model indicates that the cycle amplitude increases with reduction of krill loss rates. Thus, a decline of apex predators is likely to increase the oscillation amplitude, potentially destabilizing the marine food web, with drastic consequences for the entire Antarctic ecosystem.</t>
  </si>
  <si>
    <t>[Ryabov, Alexey B.; Meyer, Bettina; Blasius, Bernd] Carl von Ossietzky Univ Oldenburg, Inst Chem &amp; Biol Marine Environm, D-26111 Oldenburg, Germany; [de Roos, Andre M.] Univ Amsterdam, Inst Biodivers &amp; Ecosyst Dynam, NL-1090 GE Amsterdam, Netherlands; [Meyer, Bettina] Alfred Wegener Inst Polar &amp; Marine Res, Sci Div Polar Biol Oceanog, D-27570 Bremerhaven, Germany; [Meyer, Bettina; Blasius, Bernd] Carl von Ossietzky Univ Oldenburg, Helmholtz Inst Funct Marine Biodivers, D-26129 Oldenburg, Germany; [Kawaguchi, So] Australian Antarctic Div, Kingston, Tas 7050, Australia; [Kawaguchi, So] Antarctic Climate &amp; Ecosyst Cooperat Res Ctr, Hobart, Tas 7000, Australia</t>
  </si>
  <si>
    <t>Carl von Ossietzky Universitat Oldenburg; University of Amsterdam; Helmholtz Association; Alfred Wegener Institute, Helmholtz Centre for Polar &amp; Marine Research; Carl von Ossietzky Universitat Oldenburg; Australian Antarctic Division; Antarctic Climate &amp; Ecosystems Cooperative Research Centre (ACE CRC)</t>
  </si>
  <si>
    <t>Ryabov, AB (corresponding author), Carl von Ossietzky Univ Oldenburg, Inst Chem &amp; Biol Marine Environm, D-26111 Oldenburg, Germany.</t>
  </si>
  <si>
    <t>alexey.ryabov@uni-oldenburg.de</t>
  </si>
  <si>
    <t>Blasius, Bernd/GLU-4137-2022; Meyer, Bettina/ABB-5311-2020; Ryabov, Alexei B./I-1008-2019; De Roos, Andre M./A-1590-2008</t>
  </si>
  <si>
    <t>Meyer, Bettina/0000-0001-6804-9896; Ryabov, Alexei B./0000-0002-1595-6940; De Roos, Andre M./0000-0002-6944-2048</t>
  </si>
  <si>
    <t>die Helmholtz Virtual Institute PolarTime [VH-VI-500]; European Research Council under European Unions Seventh Framework Programme ERC Grant [322814]; National Science Foundation, Office of Polar Programs [OPP-9011927, OPP-9632763, OPP-0217282, ANT-1010688, PLR-1440435]; Regents of the University of California; University of California at Santa Barbara; Marine Science Institute, UCSB</t>
  </si>
  <si>
    <t>die Helmholtz Virtual Institute PolarTime; European Research Council under European Unions Seventh Framework Programme ERC Grant(European Research Council (ERC)); National Science Foundation, Office of Polar Programs(National Science Foundation (NSF)NSF - Directorate for Geosciences (GEO)); Regents of the University of California(University of California System); University of California at Santa Barbara; Marine Science Institute, UCSB</t>
  </si>
  <si>
    <t>We thank A. Atkinson, L. B. Quetin and R. M. Ross for useful comments on the manuscript; A.B.R. acknowledges support from die Helmholtz Virtual Institute PolarTime (VH-VI-500); A.M.d.R. is supported by funding from the European Research Council under the European Unions Seventh Framework Programme (FP/2007-2013)/ERC Grant Agreement No. 322814. This work contributes to the PACES (Polar Regions and Coasts in a changing Earth System) program (Topic 1, WP 5) of the Alfred Wegener Institute Helmholtz Centre for Polar and Marine Research. Data on krill abundance and biomass were retrieved from the Palmer LTER data archive (http://pal.lternet.edu/data) and data on size distributions were provided by L. B. Quetin and R. M. Ross. The Palmer LTER research was supported by the National Science Foundation, Office of Polar Programs, under Award Nos. OPP-9011927, OPP-9632763, OPP-0217282, ANT-1010688 and PLR-1440435, the Regents of the University of California, the University of California at Santa Barbara, and the Marine Science Institute, UCSB.</t>
  </si>
  <si>
    <t>10.1038/s41559-017-0177</t>
  </si>
  <si>
    <t>WOS:000417179000007</t>
  </si>
  <si>
    <t>Donnelly, M; Leach, H; Strass, V</t>
  </si>
  <si>
    <t>Donnelly, Matthew; Leach, Harry; Strass, Volker</t>
  </si>
  <si>
    <t>Modification of the deep salinity-maximum in the Southern Ocean by circulation in the Antarctic Circumpolar Current and the Weddell Gyre</t>
  </si>
  <si>
    <t>OCEAN DYNAMICS</t>
  </si>
  <si>
    <t>Southern Ocean; Antarctic Circumpolar Current; Weddell Gyre; Warm Deep Water; Lower Circumpolar Deep Water; North Atlantic Deep Water; Deep salinity-maximum; Entrainment; Mixing</t>
  </si>
  <si>
    <t>WATER MASSES; BOTTOM WATER; ATLANTIC-OCEAN; BRAZIL BASIN; POLAR FRONT; SEA; TRANSPORT; TRACER; DYNAMICS; BALANCE</t>
  </si>
  <si>
    <t>The evolution of the deep salinity-maximum associated with the Lower Circumpolar Deep Water (LCDW) is assessed using a set of 37 hydrographic sections collected over a 20-year period in the Southern Ocean as part of the WOCE/CLIVAR programme. A circumpolar decrease in the value of the salinity-maximum is observed eastwards from the North Atlantic Deep Water (NADW) in the Atlantic sector of the Southern Ocean through the Indian and Pacific sectors to Drake Passage. Isopycnal mixing processes are limited by circumpolar fronts, and in the Atlantic sector, this acts to limit the direct poleward propagation of the salinity signal. Limited entrainment occurs into the Weddell Gyre, with LCDW entering primarily through the eddy-dominated eastern limb. A vertical mixing coefficient, kappa(V) of (2.86 +/- 1.06) x 10(-4) m(2) s(-1) and an isopycnal mixing coefficient, kappa(I) of (8.97 +/- 1.67) x 10(2) m(2) s(-1) are calculated for the eastern Indian and Pacific sectors of the Antarctic Circumpolar Current (ACC). A kappa(V) of (2.39 +/- 2.83) x 10(-5) m(2) s(-1), an order of magnitude smaller, and a kappa(I) of (2.47 +/- 0.63) x 10(2) m(2) s(-1), three times smaller, are calculated for the southern and eastern Weddell Gyre reflecting a more turbulent regime in the ACC and a less turbulent regime in the Weddell Gyre. In agreement with other studies, we conclude that the ACC acts as a barrier to direct meridional transport and mixing in the Atlantic sector evidenced by the eastward propagation of the deep salinity-maximum signal, insulating the Weddell Gyre from short-term changes in NADW characteristics.</t>
  </si>
  <si>
    <t>[Donnelly, Matthew] Natl Oceanog Ctr, British Oceanog Data Ctr, Joseph Proudman Bldg,6 Brownlow St, Liverpool L3 5DA, Merseyside, England; [Leach, Harry] Univ Liverpool, Dept Earth Ocean &amp; Ecol Sci, 4 Brownlow St, Liverpool L69 3GP, Merseyside, England; [Strass, Volker] Helmholtz Zentrum Polar &amp; Meeresforsch, Alfred Wegener Inst, Postfach 12 01 61, D-27515 Bremerhaven, Germany</t>
  </si>
  <si>
    <t>NERC National Oceanography Centre; University of Liverpool; Helmholtz Association; Alfred Wegener Institute, Helmholtz Centre for Polar &amp; Marine Research</t>
  </si>
  <si>
    <t>Donnelly, M (corresponding author), Natl Oceanog Ctr, British Oceanog Data Ctr, Joseph Proudman Bldg,6 Brownlow St, Liverpool L3 5DA, Merseyside, England.</t>
  </si>
  <si>
    <t>matdon@bodc.ac.uk</t>
  </si>
  <si>
    <t>Leach, Harry/0000-0003-1774-5167; Donnelly, Matthew/0000-0002-2491-5497; Strass, Volker/0000-0002-7539-1400</t>
  </si>
  <si>
    <t>National Environment Research Council through a PhD Studentship at the University of Liverpool; Alfred Wegener Institute; National Oceanographic Partnership Program (NOPP)</t>
  </si>
  <si>
    <t>This work was funded by the National Environment Research Council through a PhD Studentship at the University of Liverpool in partnership with the Alfred Wegener Institute. Our thanks go to the scientists and crews of the various cruises whose data we have used, and to the CLIVAR and Carbon Hydrographic Data Office for hosting the publicly available data. The state estimates were provided by the ECCO Consortium for Estimating the Circulation and Climate of the Ocean funded by the National Oceanographic Partnership Program (NOPP). This work has been greatly improved by the comments of the initial two anonymous reviewers, and also subsequent comments from Dr. Elizabeth Jones. We also thank the final two anonymous reviewers for their contribution.</t>
  </si>
  <si>
    <t>1616-7341</t>
  </si>
  <si>
    <t>1616-7228</t>
  </si>
  <si>
    <t>OCEAN DYNAM</t>
  </si>
  <si>
    <t>Ocean Dyn.</t>
  </si>
  <si>
    <t>10.1007/s10236-017-1054-3</t>
  </si>
  <si>
    <t>EX7XB</t>
  </si>
  <si>
    <t>WOS:000403461600001</t>
  </si>
  <si>
    <t>Schaub, I; Wagner, H; Graeve, M; Karsten, U</t>
  </si>
  <si>
    <t>Schaub, Iris; Wagner, Heiko; Graeve, Martin; Karsten, Ulf</t>
  </si>
  <si>
    <t>Effects of prolonged darkness and temperature on the lipid metabolism in the benthic diatom Navicula perminuta from the Arctic Adventfjorden, Svalbard</t>
  </si>
  <si>
    <t>Benthic diatoms; Arctic Ocean; Lipids; Storage products; Polar night; Dark survival; Global warming</t>
  </si>
  <si>
    <t>FATTY-ACID-COMPOSITION; SEA-ICE DIATOMS; MARINE DIATOM; FTIR SPECTROSCOPY; THALASSIOSIRA-PSEUDONANA; CARBOHYDRATE-METABOLISM; BIOCHEMICAL-COMPOSITION; LAMINARIA-SOLIDUNGULA; CHAETOCEROS-GRACILIS; SURVIVAL</t>
  </si>
  <si>
    <t>The Arctic represents an extreme habitat for phototrophic algae due to long periods of darkness caused by the polar night (similar to 4 months darkness). Benthic diatoms, which dominate microphytobenthic communities in shallow water regions, can survive this dark period, but the underlying physiological and biochemical mechanisms are not well understood. One of the potential mechanisms for long-term dark survival is the utilisation of stored energy products in combination with a reduced basic metabolism. In recent years, water temperatures in the Arctic increased due to an ongoing global warming. Higher temperatures could enhance the cellular energy requirements for the maintenance metabolism during darkness and, therefore, accelerate the consumption of lipid reserves. In this study, we investigated the macromolecular ratios and the lipid content and composition of Navicula cf. perminuta Grunow, an Arctic benthic diatom isolated from the micro-phytobenthos of Adventfjorden (Svalbard, Norway), over a dark period of 8 weeks at two different temperatures (0 and 7 degrees C). The results demonstrate that N. perminuta uses the stored lipid compound triacylglycerol (TAG) during prolonged dark periods, but also the pool of free fatty acids (FFA). Under the enhanced temperature of 7 degrees C, the lipid resources were used significantly faster than at 0 degrees C, which could consequently lead to a depletion of this energy reserves before the end of the polar night. On the other hand, the membrane building phospho-and glycolipids remained unchanged during the 8 weeks darkness, indicating still intact thylakoid membranes. These results explain the shorter survival times of polar diatoms with increasing water temperatures during prolonged dark periods.</t>
  </si>
  <si>
    <t>[Schaub, Iris; Karsten, Ulf] Univ Rostock, Inst Biol Sci Appl Ecol &amp; Phycol, Albert Einstein Str 21, D-18059 Rostock, Germany; [Wagner, Heiko] Univ Leipzig, Inst Biol, Plant Physiol, Johannisallee 21-23, D-04103 Leipzig, Germany; [Graeve, Martin] Helmholtz Ctr Polar &amp; Marine Res, Alfred Wegener Inst, Ecol Chem, Handelshafen 12, D-27570 Bremerhaven, Germany</t>
  </si>
  <si>
    <t>University of Rostock; Leipzig University; Helmholtz Association; Alfred Wegener Institute, Helmholtz Centre for Polar &amp; Marine Research</t>
  </si>
  <si>
    <t>Schaub, I (corresponding author), Univ Rostock, Inst Biol Sci Appl Ecol &amp; Phycol, Albert Einstein Str 21, D-18059 Rostock, Germany.</t>
  </si>
  <si>
    <t>iris.schaub@uni-rostock.de</t>
  </si>
  <si>
    <t>Wagner, Heiko/ABB-6520-2021; Graeve, Martin/B-5751-2017</t>
  </si>
  <si>
    <t>Wagner, Heiko/0000-0003-2130-9915; Graeve, Martin/0000-0002-2294-1915</t>
  </si>
  <si>
    <t>German Research Council to UK in the frame of the Deutsche Forschungsgemeinschaft (DFG) priority program 1158 Antarctic Research (DFG) [KA899/12, KA899/15]; DFG [Wi64/10, Wi64/14, Wi64/19]</t>
  </si>
  <si>
    <t>German Research Council to UK in the frame of the Deutsche Forschungsgemeinschaft (DFG) priority program 1158 Antarctic Research (DFG)(German Research Foundation (DFG)); DFG(German Research Foundation (DFG))</t>
  </si>
  <si>
    <t>The work on microphytobenthos has been performed at the Ny-Alesund International Arctic Environmental Research and Monitoring Facility and under the agreement on scientific cooperation between the Alfred Wegener Institute and the University of Rostock. The authors thank the crew at the AWIPEV-base in Ny-Alesund and the German dive team (Anita Flohr, Peter Leopold, Max Schwanitz) for assistance in the field, collecting samples and further support. We thank Nadine Dolata for isolating the investigated diatom species and Juliane Muller for maintaining the stock collection of Arctic benthic diatoms at the University of Rostock. Furthermore, we thank Dr. Dieter Janssen (Alfred Wegener Institute, Helmholtz Centre for Polar and Marine Research, Ecological Chemistry) for HPLC calibration and measurements. Thanks to Dr. Susann Schaller-Laudel (University of Leipzig, Institute of Biology, Plant Physiology) for providing plant lipid standards from Lipid Products, England. Financial and logistic support of the microphytobenthic research was provided by the German Research Council to UK in the frame of the Deutsche Forschungsgemeinschaft (DFG) priority program 1158 Antarctic Research (DFG, KA899/12, KA899/15). In addition, the FTIR measurements were supported by DFG grants from Prof. C. Wilhelm (Wi64/10, Wi64/14, Wi64/19).</t>
  </si>
  <si>
    <t>10.1007/s00300-016-2067-y</t>
  </si>
  <si>
    <t>WOS:000406338800008</t>
  </si>
  <si>
    <t>Gutt, J</t>
  </si>
  <si>
    <t>Gutt, Julian</t>
  </si>
  <si>
    <t>Research on climate-change impact on Southern Ocean and Antarctic ecosystems after the UN Paris climate conference-now more than ever or set sail to new shores?</t>
  </si>
  <si>
    <t>Opinion survey; Novel research developments; Ecosystem understanding; Mitigation</t>
  </si>
  <si>
    <t>FOOD-WEB; BIODIVERSITY; PENINSULA; MARINE; AGREEMENT; RESPONSES; HABITATS; ICE</t>
  </si>
  <si>
    <t>The Paris Agreement, being the main result of the COP21 UN climate conference in 2015, included the ever most clearly defined political statement on anthropogenic climate change and the need for it to be reduced. In an opinion survey, Antarctic ecosystem researchers expressed their views, in which direction science should develop, after their mission to provide evidence for the existence of anthropogenic climate change and its impacts is accomplished. Four options for answers were offered. The majority voted in support for research for a better ecosystem understanding under climate change, since overarching questions seem to not yet be sufficiently answered. Applied research for mitigation received an intermediate amount of support. Similar amount of support was received for no changes in research strategies. This might be a result of an already existing lively progression of new developments, but might also be due to some old and burning questions, which still remain unanswered, e.g. on the Southern Ocean acting as a biological CO2 sink. Fewest experts thought that scientists should define totally new scientific themes. The results were also analysed separately for different groups of respondents in terms of stage of career, employing institutions (mission orientated or independent), and terrestrial or marine scientists. New student courses and university degrees are proposed, since new requirements by stakeholders demand new research strategies but traditional academic education and creativity is also still needed.</t>
  </si>
  <si>
    <t>[Gutt, Julian] Helmholtz Ctr Polar &amp; Marine Res, Alfred Wegener Inst, Alten Hafen 26, D-27568 Bremerhaven, Germany</t>
  </si>
  <si>
    <t>Gutt, J (corresponding author), Helmholtz Ctr Polar &amp; Marine Res, Alfred Wegener Inst, Alten Hafen 26, D-27568 Bremerhaven, Germany.</t>
  </si>
  <si>
    <t>Julian.gutt@awi.de</t>
  </si>
  <si>
    <t>Gutt, Julian/0000-0003-3773-9370</t>
  </si>
  <si>
    <t>10.1007/s00300-016-2059-y</t>
  </si>
  <si>
    <t>WOS:000406338800014</t>
  </si>
  <si>
    <t>Channell, JET; Riveiros, NV; Gottschalk, J; Waelbroeck, C; Skinner, LC</t>
  </si>
  <si>
    <t>Channell, J. E. T.; Riveiros, N. Vazquez; Gottschalk, J.; Waelbroeck, C.; Skinner, L. C.</t>
  </si>
  <si>
    <t>Age and duration of Laschamp and Iceland Basin geomagnetic excursions in the South Atlantic Ocean</t>
  </si>
  <si>
    <t>ICE CORE; RELATIVE PALEOINTENSITY; NORTH-ATLANTIC; PALEOMAGNETIC RECORD; CHRONOLOGY AICC2012; SECULAR VARIATION; FIELD EVOLUTION; ANTARCTIC ICE; MONO LAKE; SEDIMENTS</t>
  </si>
  <si>
    <t>Age models for new records of the Laschamp and Iceland Basin excursions from the eastern flank of the South Atlantic mid-ocean ridge (44.15 degrees S, 14.22 degrees W) are derived from radiocarbon dates, and from matching sea-surface temperature records to Antarctic (EPICA) air-temperature records from ice cores. The onset of the Laschamp excursion occurred during Antarctic Isotopic Maximum (AIM) 10, consistent with its occurrence during Greenland Interstadial 10. The end of the Laschamp excursion occurred prior to AIM 9 in Greenland Stadial 10. The age model is supported by synchroneity of directional and relative paleointensity manifestations of the Laschamp excursion in the marine core with peaks in EPICA Be-10 and nitrate flux. The Iceland Basin excursion is synchronous with the final phase of the transition from marine isotope stage (MIS) 7a to MIS 6e as recorded in the EPICA delta D record. The onset of the Laschamp and Iceland Basin excursions, defined here by component inclinations &gt;-40 degrees, occurred at 41.4 ka and 190.0 ka, and durations are similar to 1 kyr and similar to 3.5 lcyr, respectively, although these estimates depend on the criteria used to define the directional excursions. By comparison with Laschamp and Iceland Basin excursion records from the North Atlantic Ocean, the two excursions are synchronous at centennial timescales between the two hemispheres, based on synchronization of the GICCO5 and AICC2012 age models for Greenland and Antarctic ice cores. (C) 2017 Elsevier Ltd. All rights reserved.</t>
  </si>
  <si>
    <t>[Channell, J. E. T.] Univ Florida, Dept Geol Sci, POB 112120, Gainesville, FL 32611 USA; [Riveiros, N. Vazquez; Waelbroeck, C.] Univ Paris Saclay, LSCE, IPSL, CNRS,CEA,UVSQ, F-91198 Gif Sur Yvette, France; [Riveiros, N. Vazquez; Gottschalk, J.; Skinner, L. C.] Univ Cambridge, Dept Earth Sci, Godwin Lab Palaeoclimate Res, Cambridge CB2 3EQ, England; [Gottschalk, J.] Univ Bern, Inst Geol Sci, Baltzerstr 1 3, CH-3012 Bern, Switzerland; [Gottschalk, J.] Univ Bern, Oeschger Ctr Climate Change Res, Baltzerstr 1 3, CH-3012 Bern, Switzerland</t>
  </si>
  <si>
    <t>State University System of Florida; University of Florida; Universite Paris Saclay; Universite Paris Cite; CEA; Centre National de la Recherche Scientifique (CNRS); University of Cambridge; University of Bern; University of Bern</t>
  </si>
  <si>
    <t>Channell, JET (corresponding author), Univ Florida, Dept Geol Sci, POB 112120, Gainesville, FL 32611 USA.</t>
  </si>
  <si>
    <t>jetc@ufl.edu</t>
  </si>
  <si>
    <t>Vazquez Riveiros, Natalia/C-1100-2012</t>
  </si>
  <si>
    <t>Vazquez Riveiros, Natalia/0000-0001-7513-153X; Gottschalk, Julia/0000-0002-0403-3059; Channell, James/0000-0003-2382-3985; waelbroeck, claire/0000-0002-7256-5727</t>
  </si>
  <si>
    <t>US National Science Foundation [OCE-0850413, EAR-1014506]; NERC [NE/J010545/1]; Gates Cambridge Scholarship; AXA Research Fund Postdoctoral Fellowship; European Research Council [339108]; European Research Council (ERC) [339108] Funding Source: European Research Council (ERC); NERC [NE/J010545/1] Funding Source: UKRI</t>
  </si>
  <si>
    <t>US National Science Foundation(National Science Foundation (NSF)); NERC(UK Research &amp; Innovation (UKRI)Natural Environment Research Council (NERC)); Gates Cambridge Scholarship; AXA Research Fund Postdoctoral Fellowship(AXA Research Fund); European Research Council(European Research Council (ERC)); European Research Council (ERC)(European Research Council (ERC)Spanish Government); NERC(UK Research &amp; Innovation (UKRI)Natural Environment Research Council (NERC))</t>
  </si>
  <si>
    <t>We thank Kainian Huang for laboratory assistance, and Andrew Roberts for a thorough review of the manuscript. This research was supported by US National Science Foundation grants OCE-0850413 and EAR-1014506 (to JC), NERC grant NE/J010545/1 (to LCS), Gates Cambridge Scholarship (to JG), and AXA Research Fund Postdoctoral Fellowship (to NVR). CW acknowledges support from European Research Council grant ACCLIMATE/no 339108. This is LSCE contribution 5666.</t>
  </si>
  <si>
    <t>10.1016/j.quascirev.2017.04.020</t>
  </si>
  <si>
    <t>EY5DR</t>
  </si>
  <si>
    <t>WOS:000403997900001</t>
  </si>
  <si>
    <t>Biersma, EM; Jackson, JA; Hyvönen, J; Koskinen, S; Linse, K; Griffiths, H; Convey, P</t>
  </si>
  <si>
    <t>Biersma, E. M.; Jackson, J. A.; Hyvonen, J.; Koskinen, S.; Linse, K.; Griffiths, H.; Convey, P.</t>
  </si>
  <si>
    <t>Global biogeographic patterns in bipolar moss species</t>
  </si>
  <si>
    <t>bipolar disjunction; bryophyte; Polytrichaceae; Polytrichastrum</t>
  </si>
  <si>
    <t>HAPLOTYPE RECONSTRUCTION; HISTORICAL BIOGEOGRAPHY; MOLECULAR EVOLUTION; PHYLOGENY; BRYOPHYTES; DNA; POLYTRICHACEAE; DISJUNCTIONS; ANTARCTICA; DISPERSAL</t>
  </si>
  <si>
    <t>A bipolar disjunction is an extreme, yet common, biogeographic pattern in non-vascular plants, yet its underlyingmechanisms (vicariance or long-distance dispersal), origin and timing remain poorly understood. Here, combining a large-scale population dataset and multiple dating analyses, we examine the biogeography of four bipolar Polytrichales mosses, common to the Holarctic (temperate and polar Northern Hemisphere regions) and the Antarctic region (Antarctic, sub-Antarctic, southern South America) and other Southern Hemisphere (SH) regions. Our data reveal contrasting patterns, for three species were of Holarctic origin, with subsequent dispersal to the SH, while one, currently a particularly common species in the Holarctic (Polytrichum juniperinum), diversified in the Antarctic region and from here colonized both the Holarctic and other SH regions. Our findings suggest long-distance dispersal as the driver of bipolar disjunctions. We find such inter-hemispheric dispersals are rare, occurring on multi-million-year timescales. High-altitude tropical populations did not act as trans-equatorial 'steppingstones', but rather were derived from later dispersal events. All arrivals to the Antarctic region occurred well before the Last Glacial Maximum and previous glaciations, suggesting that, despite the harsh climate during these past glacial maxima, plants have had a much longer presence in this southern region than previously thought.</t>
  </si>
  <si>
    <t>[Biersma, E. M.; Griffiths, H.] Univ Cambridge, Dept Plant Sci, Downing St, Cambridge CB2 3EA, England; [Biersma, E. M.; Jackson, J. A.; Linse, K.; Convey, P.] British Antarctic Survey, NERC, High Cross,Madingley Rd, Cambridge CB3 0ET, England; [Hyvonen, J.] Univ Helsinki, Finnish Museum Nat Hist Bot, POB 7, FIN-00014 Helsinki, Finland; [Hyvonen, J.] Univ Helsinki, Viikki Plant Sci Ctr, Dept Biosci, POB 7, FIN-00014 Helsinki, Finland; [Koskinen, S.] Univ Turku, Dept Biochem, Turku 20014, Finland; [Convey, P.] Univ Malaya, Inst Grad Studies, Natl Antarctic Res Ctr, Kuala Lumpur 50603, Malaysia</t>
  </si>
  <si>
    <t>University of Cambridge; UK Research &amp; Innovation (UKRI); Natural Environment Research Council (NERC); NERC British Antarctic Survey; University of Helsinki; University of Helsinki; Finland National Institute for Health &amp; Welfare; University of Turku; Universiti Malaya</t>
  </si>
  <si>
    <t>Biersma, EM (corresponding author), Univ Cambridge, Dept Plant Sci, Downing St, Cambridge CB2 3EA, England.;Biersma, EM (corresponding author), British Antarctic Survey, NERC, High Cross,Madingley Rd, Cambridge CB3 0ET, England.</t>
  </si>
  <si>
    <t>elibi@bas.ac.uk</t>
  </si>
  <si>
    <t>Biersma, Elisabeth Machteld/AAL-9818-2020; Biersma, Elisabeth Machteld/JKI-1084-2023; Hyvonen, Jaakko T/H-5120-2012; Convey, Peter/AAV-5728-2020; Jackson, Jennifer A/E-7997-2013</t>
  </si>
  <si>
    <t>Biersma, Elisabeth Machteld/0000-0002-9877-2177; Convey, Peter/0000-0001-8497-9903; Jackson, Jennifer/0000-0003-4158-1924</t>
  </si>
  <si>
    <t>Natural Environment Research Council (NERC) PhD studentship [NE/K50094X/1]; NERC; Natural Environment Research Council [bas0100036, 1246575] Funding Source: researchfish; NERC [NE/K50094X/1, bas0100036] Funding Source: UKRI</t>
  </si>
  <si>
    <t>Natural Environment Research Council (NERC) PhD studentship(UK Research &amp; Innovation (UKRI)Natural Environment Research Council (NERC)); NERC(UK Research &amp; Innovation (UKRI)Natural Environment Research Council (NERC)); Natural Environment Research Council(UK Research &amp; Innovation (UKRI)Natural Environment Research Council (NERC)); NERC(UK Research &amp; Innovation (UKRI)Natural Environment Research Council (NERC))</t>
  </si>
  <si>
    <t>This study was funded by a Natural Environment Research Council (NERC) PhD studentship (ref. NE/K50094X/1) to E.M.B. and NERC core funding to the BAS Biodiversity, Evolution and Adaptation Team. This paper also contributes to the Scientific Committee on Antarctic Research 'State of the Antarctic Ecosystem' programme.</t>
  </si>
  <si>
    <t>10.1098/rsos.170147</t>
  </si>
  <si>
    <t>FC2LU</t>
  </si>
  <si>
    <t>Green Accepted, gold, Green Published, Green Submitted</t>
  </si>
  <si>
    <t>WOS:000406670000022</t>
  </si>
  <si>
    <t>Van Doorslaer, K; Ruoppolo, V; Schmidt, A; Lescroël, A; Jongsomjit, D; Elrod, M; Kraberger, S; Stainton, D; Dugger, KM; Ballard, G; Ainley, DG; Varsani, A</t>
  </si>
  <si>
    <t>Van Doorslaer, Koenraad; Ruoppolo, Valeria; Schmidt, Annie; Lescroel, Amelie; Jongsomjit, Dennis; Elrod, Megan; Kraberger, Simona; Stainton, Daisy; Dugger, Katie M.; Ballard, Grant; Ainley, David G.; Varsani, Arvind</t>
  </si>
  <si>
    <t>Unique genome organization of non-mammalian papillomaviruses provides insights into the evolution of viral early proteins</t>
  </si>
  <si>
    <t>VIRUS EVOLUTION</t>
  </si>
  <si>
    <t>papillomavirus; evolution; bird; reptile; avian</t>
  </si>
  <si>
    <t>PHYLOGENETIC ANALYSIS; MODEL CHOICE; TREE; IDENTIFICATION; E6; COEVOLUTION; PERFORMANCE; INFERENCE; EPISTEME; MRBAYES</t>
  </si>
  <si>
    <t>The family Papillomaviridae contains more than 320 papillomavirus types, with most having been identified as infecting skin and mucosal epithelium in mammalian hosts. To date, only nine non-mammalian papillomaviruses have been described from birds (n = 5), a fish (n = 1), a snake (n = 1), and turtles (n = 2). The identification of papillomaviruses in sauropsids and a sparid fish suggests that early ancestors of papillomaviruses were already infecting the earliest Euteleostomi. The Euteleostomi clade includes more than 90 per cent of the living vertebrate species, and progeny virus could have been passed on to all members of this clade, inhabiting virtually every habitat on the planet. As part of this study, we isolated a novel papillomavirus from a 16-year-old female Adelie penguin (Pygoscelis adeliae) from Cape Crozier, Ross Island (Antarctica). The new papillomavirus shares similar to 64 per cent genome-wide identity to a previously described Adelie penguin papillomavirus. Phylogenetic analyses show that the non-mammalian viruses (expect the python, Morelia spilota, associated papillomavirus) cluster near the base of the papillomavirus evolutionary tree. A papillomavirus isolated from an avian host (Northern fulmar; Fulmarus glacialis), like the two turtle papillomaviruses, lacks a putative E9 protein that is found in all other avian papillomaviruses. Furthermore, the Northern fulmar papillomavirus has an E7 more similar to the mammalian viruses than the other avian papillomaviruses. Typical E6 proteins of mammalian papillomaviruses have two Zinc finger motifs, whereas the sauropsid papillomaviruses only have one such motif. Furthermore, this motif is absent in the fish papillomavirus. Thus, it is highly likely that the most recent common ancestor of the mammalian and sauropsid papillomaviruses had a single motif E6. It appears that a motif duplication resulted in mammalian papillomaviruses having a double Zinc finger motif in E6. We estimated the divergence time between Northern fulmar-associated papillomavirus and the other Sauropsid papillomaviruses be to around 250 million years ago, during the Paleozoic-Mesozoic transition and our analysis dates the root of the papillomavirus tree between 400 and 600 million years ago. Our analysis shows evidence for niche adaptation and that these non-mammalian viruses have highly divergent E6 and E7 proteins, providing insights into the evolution of the early viral (onco-)proteins.</t>
  </si>
  <si>
    <t>[Van Doorslaer, Koenraad] Univ Arizona, ACBS &amp; Bio5, 1657 E Helen St, Tucson, AZ 85721 USA; [Ruoppolo, Valeria] Univ Sao Paulo, Fac Med Vet &amp; Zootecnia, Dept Patol, Lab Patol Comparada Anim Selvagens LAPCOM, Sao Paulo, Brazil; [Schmidt, Annie; Lescroel, Amelie; Jongsomjit, Dennis; Elrod, Megan; Ballard, Grant] Point Blue Conservat Sci, Petaluma, CA 94954 USA; [Lescroel, Amelie] CNRS, Ctr Ecol Fonct &amp; Evolut, UMR 5175, Montpellier, France; [Kraberger, Simona; Varsani, Arvind] Arizona State Univ, Sch Life Sci, Ctr Evolut &amp; Med, Biodesign Ctr Fundamental &amp; Appl Microbiom, Tempe, AZ 85287 USA; [Stainton, Daisy] Univ Queensland, Sch Biol Sci, Brisbane, Qld, Australia; [Dugger, Katie M.] Oregon State Univ, US Geol Survey, Dept Fisheries &amp; Wildlife, Oregon Cooperat Fish &amp; Wildlife Res Unit, Corvallis, OR 97331 USA; [Ainley, David G.] HT Harvey &amp; Associates, Los Gatos, CA 95032 USA; [Varsani, Arvind] Univ Cape Town, Dept Clin Lab Sci, Struct Biol Res Unit, ZA-7925 Cape Town, South Africa</t>
  </si>
  <si>
    <t>University of Arizona; Universidade de Sao Paulo; Centre National de la Recherche Scientifique (CNRS); CNRS - Institute of Ecology &amp; Environment (INEE); Universite PSL; Ecole Pratique des Hautes Etudes (EPHE); Institut Agro; Montpellier SupAgro; CIRAD; Institut de Recherche pour le Developpement (IRD); Universite Paul-Valery; Universite de Montpellier; Arizona State University; Arizona State University-Tempe; University of Queensland; Oregon State University; United States Department of the Interior; United States Geological Survey; University of Cape Town</t>
  </si>
  <si>
    <t>Van Doorslaer, K (corresponding author), Univ Arizona, ACBS &amp; Bio5, 1657 E Helen St, Tucson, AZ 85721 USA.;Varsani, A (corresponding author), Arizona State Univ, Sch Life Sci, Ctr Evolut &amp; Med, Biodesign Ctr Fundamental &amp; Appl Microbiom, Tempe, AZ 85287 USA.;Varsani, A (corresponding author), Univ Cape Town, Dept Clin Lab Sci, Struct Biol Res Unit, ZA-7925 Cape Town, South Africa.</t>
  </si>
  <si>
    <t>vandoorslaer@email.arizona.edu; arvind.varsani@asu.edu</t>
  </si>
  <si>
    <t>Varsani, Arvind/JOZ-5299-2023</t>
  </si>
  <si>
    <t>Varsani, Arvind/0000-0003-4111-2415; Schmidt, Annie/0000-0001-6144-9950</t>
  </si>
  <si>
    <t>US National Science Foundation (NSF) [ANT-0944411]; State of Arizona Improving Health TRIF; National Institute of Food and Agriculture, U.S. Department of Agriculture, Hatch NC229; Center of Evolution and Medicine Venture Fund (Center of Evolution and Medicine, Arizona State University, USA) grant</t>
  </si>
  <si>
    <t>US National Science Foundation (NSF)(National Science Foundation (NSF)); State of Arizona Improving Health TRIF; National Institute of Food and Agriculture, U.S. Department of Agriculture, Hatch NC229; Center of Evolution and Medicine Venture Fund (Center of Evolution and Medicine, Arizona State University, USA) grant</t>
  </si>
  <si>
    <t>The fieldwork for this study was supported by the US National Science Foundation (NSF) under grant ANT-0944411 awarded to D.G.A., K.M.D. and G.B., with logistics supplied by the US Antarctic Program. K.V.D. is supported by a State of Arizona Improving Health TRIF and by the National Institute of Food and Agriculture, U.S. Department of Agriculture, Hatch NC229. The molecular work described in this study is supported by Center of Evolution and Medicine Venture Fund (Center of Evolution and Medicine, Arizona State University, USA) grant awarded to A.V. Any use of trade, firm, or product names is for descriptive purposes only and does not imply endorsement by the US Government.</t>
  </si>
  <si>
    <t>2057-1577</t>
  </si>
  <si>
    <t>VIRUS EVOL</t>
  </si>
  <si>
    <t>Virus Evol.</t>
  </si>
  <si>
    <t>vex027</t>
  </si>
  <si>
    <t>10.1093/ve/vex027</t>
  </si>
  <si>
    <t>FV1BP</t>
  </si>
  <si>
    <t>WOS:000424296300012</t>
  </si>
  <si>
    <t>Moon, W; Wettlaufer, JS</t>
  </si>
  <si>
    <t>Moon, Woosok; Wettlaufer, J. S.</t>
  </si>
  <si>
    <t>A Stochastic Dynamical Model of Arctic Sea Ice</t>
  </si>
  <si>
    <t>CLIMATE MODEL; HEAT-TRANSPORT; RADIATION; FEEDBACK; OCEAN</t>
  </si>
  <si>
    <t>The noise forcing underlying the variability in the Arctic ice cover has a wide range of principally unknown origins. For this reason, the analytical and numerical solutions of a stochastic Arctic sea ice model are analyzed with both additive and multiplicative noise over a wide range of external heat fluxes Delta F-0, corresponding to greenhouse gas forcing. The stochastic variability fundamentally influences the nature of the deterministic steady-state solutions corresponding to perennial and seasonal ice and ice-free states. Thus, the results are particularly relevant for the interpretation of the state of the system as the ice cover thins with Delta F-0, allowing a thorough examination of the differing effects of additive versusmultiplicative noise. In the perennial ice regime, the principal stochastic moments are calculated and compared to those determined from a stochastic perturbation theory described previously. As Delta F-0 increases, the competing contributions to the variability of the destabilizing sea ice-albedo feedback and the stabilizing longwave radiative loss are examined in detail. At the end of summer the variability of the stochastic paths shows a clear maximum, which is due to the combination of the increasing influence of the albedo feedback and an associated memory effect,'' in which fluctuations accumulate from early spring to late summer. This is counterbalanced by the stabilization of the ice cover resulting from the longwave loss of energy from the ice surface, which is enhanced during winter, thereby focusing the stochastic paths and decreasing the variability. Finally, common examples in stochastic dynamics with multiplicative noise are discussed wherein the choice of the stochastic calculus (Ito or Stratonovich) is not necessarily determinable a priori from observations alone, which is why both calculi are treated on equal footing herein.</t>
  </si>
  <si>
    <t>[Moon, Woosok] Univ Cambridge, Dept Appl Math &amp; Theoret Phys, Cambridge, England; [Moon, Woosok] British Antarctic Survey, Cambridge, England; [Wettlaufer, J. S.] Yale Univ, New Haven, CT USA; [Wettlaufer, J. S.] Univ Oxford, Math Inst, Oxford, England; [Wettlaufer, J. S.] Royal Inst Technol, NORDITA, Stockholm, Sweden; [Wettlaufer, J. S.] Stockholm Univ, Stockholm, Sweden</t>
  </si>
  <si>
    <t>University of Cambridge; UK Research &amp; Innovation (UKRI); Natural Environment Research Council (NERC); NERC British Antarctic Survey; Yale University; University of Oxford; Nordic Institute for Theoretical Physics; Royal Institute of Technology; Stockholm University</t>
  </si>
  <si>
    <t>Moon, W (corresponding author), Univ Cambridge, Dept Appl Math &amp; Theoret Phys, Cambridge, England.;Moon, W (corresponding author), British Antarctic Survey, Cambridge, England.</t>
  </si>
  <si>
    <t>wooon@bas.ac.uk</t>
  </si>
  <si>
    <t>Swedish Research Council [638-2013-9243]; Royal Society Wolfson Research Merit Award; NASA [NNH13ZDA001N-CRYO]; National Science Foundation; Office of Naval Research; NERC [bas0100032] Funding Source: UKRI; Natural Environment Research Council [bas0100032] Funding Source: researchfish</t>
  </si>
  <si>
    <t>Swedish Research Council(Swedish Research Council); Royal Society Wolfson Research Merit Award(Royal Society); NASA(National Aeronautics &amp; Space Administration (NASA)); National Science Foundation(National Science Foundation (NSF)); Office of Naval Research(Office of Naval Research); NERC(UK Research &amp; Innovation (UKRI)Natural Environment Research Council (NERC)); Natural Environment Research Council(UK Research &amp; Innovation (UKRI)Natural Environment Research Council (NERC))</t>
  </si>
  <si>
    <t>WM acknowledges a NASA Graduate Research Fellowship and a Herchel-Smith postdoctoral fellowship. JSW acknowledges Swedish Research Council Grant 638-2013-9243, a Royal Society Wolfson Research Merit Award, and NASA Grant NNH13ZDA001N-CRYO for support. Much of this work was completed at the 2015 Geophysical Fluid Dynamics Summer Study Program Stochastic Processes in Atmospheric &amp; Oceanic Dynamics at the Woods Hole Oceanographic Institution, which is supported by the National Science Foundation and the Office of Naval Research. We thank many of the staff for comments and criticisms.</t>
  </si>
  <si>
    <t>10.1175/JCLI-D-16-0223.1</t>
  </si>
  <si>
    <t>EX2YB</t>
  </si>
  <si>
    <t>WOS:000403096200014</t>
  </si>
  <si>
    <t>Fretwell, PT; Scofield, P; Phillips, RA</t>
  </si>
  <si>
    <t>Fretwell, Peter T.; Scofield, Paul; Phillips, Richard A.</t>
  </si>
  <si>
    <t>Using super-high resolution satellite imagery to census threatened albatrosses</t>
  </si>
  <si>
    <t>IBIS</t>
  </si>
  <si>
    <t>aerial survey; albatross; population monitoring; remote sensing; satellite imagery; Very High Resolution; Worldview-3</t>
  </si>
  <si>
    <t>CONSERVATION; EPOMOPHORA; PENGUIN; SUCCESS</t>
  </si>
  <si>
    <t>This study is the first to utilize 30-cm resolution imagery from the WorldView-3 (WV-3) satellite to count wildlife directly. We test the accuracy of the satellite method for directly counting individuals at a well-studied colony of Wandering Albatross Diomedea exulans at South Georgia, and then apply it to the closely related Northern Royal Albatross Diomedea sanfordi, which is near-endemic to the Chatham Islands and of unknown recent population status due to the remoteness and limited accessibility of the colonies. At South Georgia, satellite-based counts were comparable to ground-based counts of Wandering Albatross nests, with a slight over-estimation due to the presence of non-breeding birds. In the Chatham Islands, satellite-based counts of Northern Royal Albatross in the 2015/2016 season were similar to ground-based counts undertaken on the Forty-Fours islands in 2009/2010, but much lower than ground-based counts undertaken on The Sisters islands in 2009/2010, which is of major conservation concern for this endangered albatross species. We conclude that the ground-breaking resolution of the newly available WV-3 satellite will provide a step change in our ability to count albatrosses and other large birds directly from space without disturbance, at potentially lower cost and with minimal logistical effort.</t>
  </si>
  <si>
    <t>[Fretwell, Peter T.; Phillips, Richard A.] British Antarctic Survey, Maddingley Rd, Cambridge, England; [Scofield, Paul] Canterbury Museum, Rolleston Ave, Christchurch, New Zealand</t>
  </si>
  <si>
    <t>Fretwell, PT (corresponding author), British Antarctic Survey, Maddingley Rd, Cambridge, England.</t>
  </si>
  <si>
    <t>ptf@bas.ac.uk</t>
  </si>
  <si>
    <t>Scofield, R. Paul/A-4271-2011</t>
  </si>
  <si>
    <t>Scofield, R. Paul/0000-0002-7510-6980</t>
  </si>
  <si>
    <t>RSPB; Natural Environment Research Council (NERC); Natural Environment Research Council [bas0100035, bas010011] Funding Source: researchfish; NERC [bas010011, bas0100035] Funding Source: UKRI</t>
  </si>
  <si>
    <t>RSPB; Natural Environment Research Council (NERC)(UK Research &amp; Innovation (UKRI)Natural Environment Research Council (NERC)); Natural Environment Research Council(UK Research &amp; Innovation (UKRI)Natural Environment Research Council (NERC)); NERC(UK Research &amp; Innovation (UKRI)Natural Environment Research Council (NERC))</t>
  </si>
  <si>
    <t>We would like to thank Cleo Small for her support and helpful comments on the manuscript. This project was supported by funding from RSPB and imagery from DigitalGlobe. We are very grateful to Lucy Quinn and others for assisting with surveys and monitoring of Wandering Albatrosses at Bird Island. We are also grateful to four referees and the Ibis editors for comments on an earlier version of the manuscript. This study represents a contribution to the Ecosystems Component of the British Antarctic Survey Polar Science for Planet Earth Programme, funded by the Natural Environment Research Council (NERC). Data will be archived in the NERC Polar Data Centre based at the British Antarctic Survey.</t>
  </si>
  <si>
    <t>0019-1019</t>
  </si>
  <si>
    <t>1474-919X</t>
  </si>
  <si>
    <t>Ibis</t>
  </si>
  <si>
    <t>10.1111/ibi.12482</t>
  </si>
  <si>
    <t>EX2ZS</t>
  </si>
  <si>
    <t>WOS:000403102000001</t>
  </si>
  <si>
    <t>Elliot, DH; Larsen, D; Fanning, CM; Fleming, TH; Vervoort, JD</t>
  </si>
  <si>
    <t>Elliot, D. H.; Larsen, D.; Fanning, C. M.; Fleming, T. H.; Vervoort, J. D.</t>
  </si>
  <si>
    <t>The Lower Jurassic Hanson Formation of the Transantarctic Mountains: implications for the Antarctic sector of the Gondwana plate margin</t>
  </si>
  <si>
    <t>Jurassic; stratigraphy; geochemistry; tectonics; Antarctica</t>
  </si>
  <si>
    <t>LARGE IGNEOUS PROVINCE; SOUTH VICTORIA LAND; COOMBS HILLS; SILICIC VOLCANISM; DETRITAL ZIRCONS; AGE CONSTRAINTS; WEST ANTARCTICA; PACIFIC MARGIN; ELLSWORTH LAND; GRAHAM LAND</t>
  </si>
  <si>
    <t>The Hanson Formation, Antarctica, consists of interbedded sandstones and tuffaceous rocks of Early Jurassic age. The sandstones, pebbly to medium-grained, range between quartzo-feldspathic and volcaniclastic, with some of the former being coarse-grained arkoses that imply proximal sources. Geochronology of detrital zircons provides evidence for source rock ages, whereas sandstone petrology demonstrates a mixed provenance. Tuffaceous strata are reworked fine to very fine-grained tuffs resulting from distal Plinian eruptions. Dated tuffs provide time constraints on the duration of volcanism. The sandstones and tuffs accumulated in a rift environment. Geochemically the tuffs are rhyolitic in composition, and the Sr and Nd isotope data together with the patterns on multi-element diagrams suggest they were derived from a volcanic arc, which is interpreted to have been located along the West Antarctic Gondwana margin. The silicic volcanism extends the distribution and timing of magmatism in the Early Jurassic along that margin. The Early Jurassic extensional regime was delimited by the plate margin region and the East Antarctic craton. The rift valley system along the East Antarctic craton margin, in which the Hanson strata accumulated, was the focus for subsequent emplacement of the intrusive and extrusive rocks of the Lower Jurassic Ferrar Large Igneous Province. The Early Jurassic extensional rifts may have been reactivated during Cretaceous-Cenozoic development of the West Antarctic Rift System.</t>
  </si>
  <si>
    <t>[Elliot, D. H.] Ohio State Univ, Sch Earth Sci, Columbus, OH 43214 USA; [Elliot, D. H.] Ohio State Univ, Byrd Polar &amp; Climate Res Ctr, Columbus, OH 43214 USA; [Larsen, D.] Univ Memphis, Dept Earth Sci, Memphis, TN 38152 USA; [Fanning, C. M.] Australian Natl Univ, Res Sch Earth Sci, Canberra, ACT 0200, Australia; [Fleming, T. H.] Southern Connecticut State Univ, Dept Earth Sci, New Haven, CT 06515 USA; [Vervoort, J. D.] Washington State Univ, Sch Environm, Pullman, WA 99164 USA</t>
  </si>
  <si>
    <t>University System of Ohio; Ohio State University; University System of Ohio; Ohio State University; University of Memphis; Australian National University; Connecticut State University System; Southern Connecticut State University; Washington State University</t>
  </si>
  <si>
    <t>Elliot, DH (corresponding author), Ohio State Univ, Sch Earth Sci, Columbus, OH 43214 USA.;Elliot, DH (corresponding author), Ohio State Univ, Byrd Polar &amp; Climate Res Ctr, Columbus, OH 43214 USA.</t>
  </si>
  <si>
    <t>elliot.1@osu.edu</t>
  </si>
  <si>
    <t>Vervoort, Jeff/AAJ-6234-2020; Fanning, C. Mark/I-6449-2016</t>
  </si>
  <si>
    <t>Fleming, Thomas/0000-0001-7091-7699</t>
  </si>
  <si>
    <t>NSF [ANT-0944662]; Office of Polar Programs, National Science Foundation; Italian Antarctic Program; Office of Polar Programs (OPP); Directorate For Geosciences [1141906] Funding Source: National Science Foundation</t>
  </si>
  <si>
    <t>NSF(National Science Foundation (NSF)); Office of Polar Programs, National Science Foundation(National Science Foundation (NSF)); Italian Antarctic Program; Office of Polar Programs (OPP); Directorate For Geosciences(National Science Foundation (NSF)NSF - Directorate for Geosciences (GEO))</t>
  </si>
  <si>
    <t>Preparation of this manuscript, and some of the fieldwork on which this paper is based, has been supported by NSF Grant ANT-0944662. The first author wishes to acknowledge significant research support over many years from the Office of Polar Programs, National Science Foundation. The first author also acknowledges support from the Italian Antarctic Program that enabled examination of the Deep Freeze Range rocks. The most recent fieldwork was made possible by the helicopter support provided by Petroleum Helicopters Inc. and by Raytheon Polar Services. Two anonymous reviews greatly improved the manuscript. This manuscript represents Byrd Polar Research Center Contribution No. 1545.</t>
  </si>
  <si>
    <t>10.1017/S0016756816000388</t>
  </si>
  <si>
    <t>EW9BJ</t>
  </si>
  <si>
    <t>WOS:000402811500006</t>
  </si>
  <si>
    <t>Noguchi, T; Yabuta, H; Itoh, S; Sakamoto, N; Mitsunari, T; Okubo, A; Okazaki, R; Nakamura, T; Tachibana, S; Terada, K; Ebihara, M; Imae, N; Kimura, M; Nagahara, H</t>
  </si>
  <si>
    <t>Noguchi, T.; Yabuta, H.; Itoh, S.; Sakamoto, N.; Mitsunari, T.; Okubo, A.; Okazaki, R.; Nakamura, T.; Tachibana, S.; Terada, K.; Ebihara, M.; Imae, N.; Kimura, M.; Nagahara, H.</t>
  </si>
  <si>
    <t>Variation of mineralogy and organic material during the early stages of aqueous activity recorded in Antarctic micrometeorites</t>
  </si>
  <si>
    <t>Micrometeorites; GEMS; Organic material; D and N-15 enrichment</t>
  </si>
  <si>
    <t>INTERPLANETARY DUST PARTICLES; RICH MICROMETEORITES; AMORPHOUS SILICATES; PARIS METEORITE; STARDUST TRACKS; SOLAR-SYSTEM; TAGISH LAKE; CHONDRITE; GRAINS; MATRIX</t>
  </si>
  <si>
    <t>Micrometeorites (MMs) recovered from surface snow near the Dome Fuji Station, Antarctica are almost free from terrestrial weathering and contain very primitive materials, and are suitable for investigation of the evolution and interaction of inorganic and organic materials in the early solar system. We carried out a comprehensive study on seven porous and fluffy MMs [ four Chondritic porous (CP) MMs and three fluffy fine-grained (Fluffy Fg) MMs] and one fine-grained type 1 (Fg C1) MM for comparison with scanning electron microscope, transmission electron microscope, X-ray absorption near-edge structure analysis, and secondary ion mass spectrometer. They show a variety of early aqueous activities. Four out of the seven CP MMs contain glass with embedded metal and sulfide (GEMS) and enstatite whiskers/platelets and do not have hydrated minerals. Despite the same mineralogy, organic chemistry of the CP MMs shows diversity. Two of them contain considerable amounts of organic materials with high carboxyl functionality, and one of them contains nitrile (CBN) and/or nitrogen heterocyclic groups with D and N-15 enrichments, suggesting formation in the molecular cloud or a very low temperature region of the outer solar system. Another two CP MMs are poorer in organic materials than the above-mentioned MMs. Organic material in one of them is richer in aromatic C than the CP MMs mentioned above, being indistinguishable from those of hydrated carbonaceous chondrites. In addition, bulk chemical compositions of GEMS in the latter organic poor CP MMs are more homogeneous and have higher Fe/(Si + Mg + Fe) ratios than those of GEMS in the former organic-rich CP MMs. Functional group of the organic materials and amorphous silicate in GEMS in the organic-poor CP MMs may have transformed in the earliest stage of aqueous alteration, which did not form hydrated minerals. Three Fluffy Fg MMs contain abundant phyllosilicates, showing a clear evidence of aqueous alteration. Phyllosilicates in thee MMs are richer in Fe than those in hydrated IDPs, typical fine-grained hydrated (Fg C1) MMs, and hydrated carbonaceous chondrites. One of the Fluffy Fg MMs contains amorphous silicate, which is richer in Fe than GEMS and contains little or no nanophase Fe metal but contains Fe sulfide. Because the chemical compositions of the amorphous silicate are within the compositional field of GEMS in CP IDPs, the amorphous silicate may be alteration products of GEMS. The entire compositional field of GEMS in the CP MMs and the amorphous silicate in the Fluffy Fg MM matches that of the previously reported total compositional range of GEMS in IDPs. One Fluffy Fg MM contains Mg-rich phyllosilicate along with Fe-rich phyllosilicate and Mg-Fe carbonate. Mg-rich phyllosilicate and Mg-Fe carbonate may have been formed through the reaction of Fe-rich phyllosilicate, Mg-rich olivine and pyroxene, and water with C-bearing chemical species. These data indicate that CP MMs and Fluffy Fg MMs recovered from Antarctic surface snow contain materials that throw a light on the earliest stages of aqueous alteration on very primitive solar system bodies. Because mineralogy and isotopic and structural features of organic materials in D10IB009 are comparable with isotopically primitive IDPs, its parent body could be comets or icy asteroids showing mass ejection (active asteroids). By contrast, organic-poor CP MMs may have experienced the earliest stage of aqueous alteration and Fluffy Fg MMs experienced weak aqueous alteration. The precursor materials of the parent bodies of Fluffy Fg MMs probably contained abundant GEMS or GEMS-like materials like CP IDPs, which is common to fine-grained matrices of very primitive carbonaceous chondrites such as CR3s. However, highly porous nature of organic-poor CP MMs and Fluffy Fg MMs suggests that parent bodies of these MMs must have been much more porous than the parent bodies of primitive carbonaceous chondrites. Given no phyllosilicate among the returned samples of 81P/Wild 2 comet, the MMs may have been derived from porous icy asteroids such as active asteroids as well as P-and D-type asteroids rather than comets. (C) 2017 Elsevier Ltd. All rights reserved.</t>
  </si>
  <si>
    <t>[Noguchi, T.] Kyushu Univ, Fac Arts &amp; Sci, Nishi Ku, 744 Motooka, Fukuoka 8190395, Japan; [Yabuta, H.] Hiroshima Univ, Grad Sch Sci, Dept Earth &amp; Planetary Syst Sci, 1-3-1 Kagamiyama, Higashihiroshima, Hiroshima 7398526, Japan; [Itoh, S.] Kyoto Univ, Grad Sch Sci, Div Earth &amp; Planetary Sci, Sakyo Ku, Kiashirakawa Oiwake Cho, Kyoto 6068052, Japan; [Sakamoto, N.] Hokkaido Univ, Creat Res Inst, Isotope Imaging Lab, Sapporo, Hokkaido 0010021, Japan; [Mitsunari, T.; Kimura, M.] Ibaraki Univ, Coll Sci, 2-1-1 Bunkyo, Mito, Ibaraki 3108512, Japan; [Okubo, A.; Nagahara, H.] Univ Tokyo, Dept Earth &amp; Planetary Sci, Grad Sch Sci, Bunkyo Ku, 7-3-1 Hongo, Tokyo 1130033, Japan; [Okazaki, R.] Kyushu Univ, Grad Sch Sci, Dept Earth &amp; Planetary Sci, Nishi Ku, 744 Motooka, Fukuoka 8190395, Japan; [Nakamura, T.] Tohoku Univ, Fac Sci, Dept Earth &amp; Planetary Mat Sci, Aoba Ku, Sendai, Miyagi 9808578, Japan; [Tachibana, S.] Hokkaido Univ, Dept Nat Hist Sci, N10W8, Sapporo, Hokkaido 0600810, Japan; [Terada, K.] Osaka Univ, Grad Sch Sci, Dept Earth &amp; Space Sci, Toyonaka, Osaka 5600043, Japan; [Kimura, M.] Tokyo Metropolitan Univ, Grad Sch Sci &amp; Engn, Dept Chem, 1-1 Minami Osawa, Hachioji, Tokyo 1920397, Japan; [Imae, N.] Natl Inst Polar Res, 10-3 Midori Cho, Tachikawa, Tokyo 1908518, Japan</t>
  </si>
  <si>
    <t>Hiroshima University; Kyoto University; Hokkaido University; Ibaraki University; University of Tokyo; Kyushu University; Tohoku University; Hokkaido University; Osaka University; Tokyo Metropolitan University; Research Organization of Information &amp; Systems (ROIS); National Institute of Polar Research (NIPR) - Japan</t>
  </si>
  <si>
    <t>Noguchi, T (corresponding author), Kyushu Univ, Fac Arts &amp; Sci, Nishi Ku, 744 Motooka, Fukuoka 8190395, Japan.</t>
  </si>
  <si>
    <t>tnoguchi@artsci.kyushu-u.ac.jp</t>
  </si>
  <si>
    <t>Yabuta, Hikaru/S-2662-2018; Noguchi, Takaaki/IWV-1123-2023; Terada, Kentaro/AAN-5930-2021; Tachibana, Shogo/R-7884-2018</t>
  </si>
  <si>
    <t>Noguchi, Takaaki/0000-0001-7211-2595; Tachibana, Shogo/0000-0002-4603-9440; Terada, Kentaro/0000-0003-0120-1229; Itoh, Shoichi/0000-0001-9431-0525</t>
  </si>
  <si>
    <t>Department of Energy, Basic Energy Sciences program; [22224010]; Grants-in-Aid for Scientific Research [16H06349, 25247091, 17H02975, 25108006, 16H01118, 17K05721, 16H04080, 25108003, 17H03784] Funding Source: KAKEN</t>
  </si>
  <si>
    <t>Department of Energy, Basic Energy Sciences program(United States Department of Energy (DOE)); ; Grants-in-Aid for Scientific Research(Ministry of Education, Culture, Sports, Science and Technology, Japan (MEXT)Japan Society for the Promotion of ScienceGrants-in-Aid for Scientific Research (KAKENHI))</t>
  </si>
  <si>
    <t>We would like to especially thank Hideaki Motoyama and Japan Antarctic Research Expedition teams for collecting surface snow near the Dome Fuji Station, Antarctica. We thank Hiroyuki Hanawa at Ibaraki University, and Satoshi Hata, Yoshinori Hata, and Hiroshi Maeno at Kyushu University for supporting to use TEM. Hisayoshi Yurimoto at Hokkaido University to use SIMS. and Hiroshi Naraoka for the standard of BBOT organic matter. The STXM facility at the beamline 5.3.2.2. ALS, is supported by the Department of Energy, Basic Energy Sciences program. We are gratefully indebted to David Kilcoyne for the beamline management. We were supported by a Grant-in-Aid for Scientific Research (S). 22224010, to HN.</t>
  </si>
  <si>
    <t>10.1016/j.gca.2017.03.034</t>
  </si>
  <si>
    <t>EW4RV</t>
  </si>
  <si>
    <t>WOS:000402489500007</t>
  </si>
  <si>
    <t>Wakamatsu, M; Shin, KJ; Wilson, C; Managi, S</t>
  </si>
  <si>
    <t>Wakamatsu, Mihoko; Shin, Kong Joo; Wilson, Clevo; Managi, Shunsuke</t>
  </si>
  <si>
    <t>Can bargaining resolve the international conflict over whaling?</t>
  </si>
  <si>
    <t>Whaling; Bargaining; Economic resolution; Willingness to pay; Australia; Japan</t>
  </si>
  <si>
    <t>WHALES; JAPAN; CONSERVATION; ISSUE; MANAGEMENT; POLITICS; SCIENCE; BIAS</t>
  </si>
  <si>
    <t>As the International Whaling Commission has failed to establish a consensus on the interpretation and enforcement of a moratorium on commercial whaling, the disagreement between Australia and Japan over whaling has recently escalated. Australia, a leading opponent of whaling, questioned Japan's scientific whaling program in the Antarctic at the International Court of Justice (ICJ). The ICJ ruled in 2014 that the Japanese whaling program is unscientific, but Japan revised the program and implemented it after the court ruling. To overcome the current international stalemate regarding whaling, this paper examines the possibility of a bargaining solution to this conflict, particularly through voluntary monetary compensation from Australia to Japan to halt whaling activities. The results of nationwide surveys indicate that Australia's total willingness to pay for the discontinuation of whaling by Japan is significantly greater than Japan's willingness to accept to abandon whaling in the high seas despite a substantial population difference between the two countries. The results suggest that a financial transfer could be a win-win strategy to resolve this long-standing international conflict.</t>
  </si>
  <si>
    <t>[Wakamatsu, Mihoko; Shin, Kong Joo; Managi, Shunsuke] Kyushu Univ, Grad Sch Engn, Urban Inst, Nishi Ku, 744 Motooka, Fukuoka 8190385, Japan; [Wakamatsu, Mihoko; Shin, Kong Joo; Managi, Shunsuke] Kyushu Univ, Grad Sch Engn, Dept Urban &amp; Environm Engn, Nishi Ku, 744 Motooka, Fukuoka 8190385, Japan; [Wilson, Clevo] Queensland Univ Technol, QUT Business Sch, 2 George St,GPO Box 2434, Brisbane, Qld 4001, Australia</t>
  </si>
  <si>
    <t>Kyushu University; Kyushu University; Queensland University of Technology (QUT)</t>
  </si>
  <si>
    <t>Wakamatsu, M (corresponding author), Kyushu Univ, Grad Sch Engn, Urban Inst, Nishi Ku, 744 Motooka, Fukuoka 8190385, Japan.;Wakamatsu, M (corresponding author), Kyushu Univ, Grad Sch Engn, Dept Urban &amp; Environm Engn, Nishi Ku, 744 Motooka, Fukuoka 8190385, Japan.</t>
  </si>
  <si>
    <t>mihokote@gmail.com</t>
  </si>
  <si>
    <t>Managi, Shunsuke/G-1740-2013</t>
  </si>
  <si>
    <t>Managi, Shunsuke/0000-0001-7883-1427; Wakamatsu, Mihoko/0000-0002-1340-8801; Wilson, Clevo/0000-0002-3885-0495</t>
  </si>
  <si>
    <t>JSPS [26000001]; Environment Research and Technology Development Fund of the Japanese Ministry of the Environment [S-15]; Grants-in-Aid for Scientific Research [26000001] Funding Source: KAKEN</t>
  </si>
  <si>
    <t>JSPS(Ministry of Education, Culture, Sports, Science and Technology, Japan (MEXT)Japan Society for the Promotion of Science); Environment Research and Technology Development Fund of the Japanese Ministry of the Environment; Grants-in-Aid for Scientific Research(Ministry of Education, Culture, Sports, Science and Technology, Japan (MEXT)Japan Society for the Promotion of ScienceGrants-in-Aid for Scientific Research (KAKENHI))</t>
  </si>
  <si>
    <t>This research was supported by JSPS Grant-in-Aid for Specially Promoted Research [26000001], JSPS Grant-in-Aid for Scientific Research on Innovative Areas, and the Environment Research and Technology Development Fund (S-15) of the Japanese Ministry of the Environment.</t>
  </si>
  <si>
    <t>10.1016/j.marpol.2017.04.002</t>
  </si>
  <si>
    <t>WOS:000402213400037</t>
  </si>
  <si>
    <t>Kalra, B; Tamang, AM; Parkash, R</t>
  </si>
  <si>
    <t>Kalra, Bhawna; Tamang, Aditya Moktan; Parkash, Ravi</t>
  </si>
  <si>
    <t>Cross-tolerance effects due to adult heat hardening, desiccation and starvation acclimation of tropical drosophilid-Zaprionus indianus</t>
  </si>
  <si>
    <t>COMPARATIVE BIOCHEMISTRY AND PHYSIOLOGY A-MOLECULAR &amp; INTEGRATIVE PHYSIOLOGY</t>
  </si>
  <si>
    <t>Zaprionus indianus; Cross-tolerance; Heat hardening; Starvation acclimation; Desiccation acclimation; Energy metabolites</t>
  </si>
  <si>
    <t>GOLDENROD GALL FLY; ANTARCTIC MIDGE; PLASTIC RESPONSES; FREEZE TOLERANCE; COLD; RESISTANCE; DEHYDRATION; TEMPERATURE; STRESS; SHOCK</t>
  </si>
  <si>
    <t>Some insect taxa from polar or temperate habitats have shown cross-tolerance for multiple stressors but tropical insect taxa have received less attention. Accordingly, we considered adult flies of a tropical drosophilid-Zaprionus indianus for testing direct as well as cross-tolerance effects of rapid heat hardening (HH), desiccation acclimation (DA) and starvation acclimation (SA) after rearing under warmer and drier season specific simulated conditions. We observed significant direct acclimation effects of HH, DA and SA; and four cases of cross tolerance effects but no cross-tolerance between desiccation and starvation. Cross-tolerance due to heat hardening on desiccation showed 20% higher effect than its reciprocal effect. There is greater reduction of water loss in heat hardened flies (due to increase in amount of cuticular lipids) as compared with desiccation acclimated flies. However, cross-tolerance effect of SA on heat knockdown was two times higher than its reciprocal. Heat hardened and desiccation acclimated adult flies showed substantial increase in the level of trehalose and proline while body lipids increased due to heat hardening or starvation acclimation. However, maximum increase in energy metabolites was stressor specific i.e. trehalose due to DA; proline due to HH and total body lipids due to SA. Rapid changes in energy metabolites due to heat hardening seem compensatory for possible depletion of trehalose and proline due to desiccation stress; and body lipids due to starvation stress. Thus, observed cross-tolerance effects in Z. indianus represent physiological changes to cope with multiple stressors related to warmer and drier subtropical habitats.</t>
  </si>
  <si>
    <t>[Kalra, Bhawna; Tamang, Aditya Moktan; Parkash, Ravi] Maharshi Dayanand Univ, Dept Genet, Rohtak 124001, Haryana, India</t>
  </si>
  <si>
    <t>Maharshi Dayanand University</t>
  </si>
  <si>
    <t>Parkash, R (corresponding author), Maharshi Dayanand Univ, Dept Genet, Rohtak 124001, Haryana, India.</t>
  </si>
  <si>
    <t>rpgenetics@gmail.com</t>
  </si>
  <si>
    <t>Parkash, Ravi/I-4987-2019</t>
  </si>
  <si>
    <t>Parkash, Ravi/0000-0001-9880-3941; kalra, Dr Bhawna/0000-0002-6687-5622; Tamang, Aditya Moktan/0000-0002-6124-8814</t>
  </si>
  <si>
    <t>University Grants Commission [Emeritus-2015-17-GEN-8112/SA-II]; Department of Biotechnology, Ministry of Science and Technology, New Delhi [BT/AB/08/01/2008 III]</t>
  </si>
  <si>
    <t>University Grants Commission(University Grants Commission, India); Department of Biotechnology, Ministry of Science and Technology, New Delhi(Department of Science &amp; Technology (India))</t>
  </si>
  <si>
    <t>We are indebted to the reviewers for their helpful comments which improved the MS. Financial assistance to RP (Emeritus scientist) from the University Grants Commission Emeritus-2015-17-GEN-8112/SA-II); and BK (Biocare, Women scientist) from the Department of Biotechnology, Ministry of Science and Technology, New Delhi (project no. BT/AB/08/01/2008 III) is gratefully acknowledged.</t>
  </si>
  <si>
    <t>1095-6433</t>
  </si>
  <si>
    <t>1531-4332</t>
  </si>
  <si>
    <t>COMP BIOCHEM PHYS A</t>
  </si>
  <si>
    <t>Comp. Biochem. Physiol. A-Mol. Integr. Physiol.</t>
  </si>
  <si>
    <t>10.1016/j.cbpa.2017.04.014</t>
  </si>
  <si>
    <t>Biochemistry &amp; Molecular Biology; Physiology; Zoology</t>
  </si>
  <si>
    <t>EW2XN</t>
  </si>
  <si>
    <t>WOS:000402359400009</t>
  </si>
  <si>
    <t>Durand, A; Chase, Z; Noble, TL; Bostock, H; Jaccard, SL; Kitchener, P; Townsend, AT; Jansen, N; Kinsley, L; Jacobsen, G; Johnson, S; Neil, H</t>
  </si>
  <si>
    <t>Durand, Axel; Chase, Zanna; Noble, Taryn L.; Bostock, Helen; Jaccard, Samuel L.; Kitchener, Priya; Townsend, Ashley T.; Jansen, Nils; Kinsley, Les; Jacobsen, Geraldine; Johnson, Sean; Neil, Helen</t>
  </si>
  <si>
    <t>Export production in the New-Zealand region since the Last Glacial Maximum</t>
  </si>
  <si>
    <t>biological activity; productivity; carbon draw-down; 230-Thorium; dust flux; silicic acid</t>
  </si>
  <si>
    <t>SUB-ANTARCTIC WATERS; SOUTHERN-OCEAN; SOUTHWEST PACIFIC; ATLANTIC SECTOR; LATE QUATERNARY; BIOGENIC OPAL; CHATHAM RISE; DEEP-OCEAN; FLUXES; IRON</t>
  </si>
  <si>
    <t>Increased export production (EP) in the Subantarctic Zone (SAZ) of the Southern Ocean due to iron fertilisation has been proposed as a key mechanism for explaining carbon drawdown during the last glacial maximum (LGM). This work reconstructs marine EP since the LGM at four sites around New Zealand. For the first time in this region, 230-Thorium-normalised fluxes of biogenic opal, carbonate, excess barium, and organic carbon are presented. In Subtropical Waters and the SAZ, these flux variations show that EP has not changed markedly since the LGM. The only exception is a site currently north of the subtropical front. Here we suggest the subtropical front shifted over the core site between 18 and 12 ka, driving increased EP. To understand why EP remained mostly low and constant elsewhere, lithogenic fluxes at the four sites were measured to investigate changes in dust deposition. At all sites, lithogenic fluxes were greater during the LGM compared to the Holocene. The positive temporal correlation between the Antarctic dust record and lithogenic flux at a site in the Tasman Sea shows that regionally, increased dust deposition contributed to the high glacial lithogenic fluxes. Additionally, it is inferred that lithogenic material from erosion and glacier melting deposited on the Campbell Plateau during the deglaciation (18-12 ka). From these observations, it is proposed that even though increased glacial dust deposition may have relieved iron limitation within the SAZ around New Zealand, the availability of silicic acid limited diatom growth and thus any resultant increase in carbon export during the LGM. Therefore, silicic acid concentrations have remained low since the LGM. This result suggests that both silicic acid and iron co-limit EP in the SAZ around New Zealand, consistent with modern process studies. (C) 2017 Elsevier B.V. All rights reserved.</t>
  </si>
  <si>
    <t>[Durand, Axel; Chase, Zanna; Noble, Taryn L.; Kitchener, Priya; Jansen, Nils] Univ Tasmania, Inst Marine &amp; Antarctic Studies, Hobart, Tas, Australia; [Bostock, Helen; Neil, Helen] Natl Inst Water &amp; Atmospher Res, Wellington, New Zealand; [Jaccard, Samuel L.] Univ Bern, Inst Geol Sci, Bern, Switzerland; [Jaccard, Samuel L.] Univ Bern, Oeschger Ctr Climate Change Res, Bern, Switzerland; [Townsend, Ashley T.] Univ Tasmania, Cent Sci Lab, Hobart, Tas, Australia; [Kinsley, Les] Australian Natl Univ, Canberra, ACT, Australia; [Jacobsen, Geraldine] ANSTO, Lucas Heights, NSW, Australia; [Johnson, Sean] Univ Tasmania, ARC Ctr Excellence Ore Deposits CODES, Hobart, Tas, Australia</t>
  </si>
  <si>
    <t>University of Tasmania; National Institute of Water &amp; Atmospheric Research (NIWA) - New Zealand; University of Bern; University of Bern; University of Tasmania; Australian National University; Australian Nuclear Science &amp; Technology Organisation; University of Tasmania</t>
  </si>
  <si>
    <t>Durand, A (corresponding author), Univ Tasmania, Inst Marine &amp; Antarctic Studies, Hobart, Tas, Australia.</t>
  </si>
  <si>
    <t>axel.durand@utas.edu.au</t>
  </si>
  <si>
    <t>Jaccard, Samuel/IZP-9669-2023; Townsend, Ashley/J-7445-2014; Bostock, Helen/A-6834-2013; Jaccard, Samuel/G-3447-2014; Chase, Zanna/E-9232-2013</t>
  </si>
  <si>
    <t>Townsend, Ashley/0000-0002-2972-2678; Bostock, Helen/0000-0002-8903-8958; Jaccard, Samuel/0000-0002-5793-0896; Noble, Taryn/0000-0002-5708-751X; Chase, Zanna/0000-0001-5060-779X; Johnson, Sean/0000-0001-9015-3809</t>
  </si>
  <si>
    <t>Australia/New Zealand IODP Consortium (ANZIC); ARC Future Fellowship [FT120100759]; AINSE grants [ALNGRA11081, ALNGRA14503]; ARC LIEF funds [LE0989539]; Swiss National Foundation [PP00P2-144811]; NIWA core funding 'Ocean Physical Resources' from the New Zealand government; Australian Research Council [FT120100759] Funding Source: Australian Research Council</t>
  </si>
  <si>
    <t>Australia/New Zealand IODP Consortium (ANZIC); ARC Future Fellowship(Australian Research Council); AINSE grants; ARC LIEF funds(Australian Research Council); Swiss National Foundation(Swiss National Science Foundation (SNSF)); NIWA core funding 'Ocean Physical Resources' from the New Zealand government; Australian Research Council(Australian Research Council)</t>
  </si>
  <si>
    <t>This work was supported by the Australia/New Zealand IODP Consortium (ANZIC) and by an ARC Future Fellowship awarded to Zanna Chase [grant number FT120100759]. Radiocarbon analyses at ANSTO were supported by a AINSE grants ALNGRA11081 and ALNGRA14503. Access to ICP-MS instrumentation was supported through ARC LIEF funds [grant number LE0989539]. Samuel L. Jaccard was funded by the Swiss National Foundation (grant PP00P2-144811). Helen Bostock and Helen Neil were funded by NIWA core funding 'Ocean Physical Resources' from the New Zealand government. Thanks to IODP for access to the samples for DSDP 593.</t>
  </si>
  <si>
    <t>10.1016/j.epsl.2017.03.035</t>
  </si>
  <si>
    <t>WOS:000402444700010</t>
  </si>
  <si>
    <t>Rahaman, W; Wittmann, H; von Blanckenburg, F</t>
  </si>
  <si>
    <t>Rahaman, Waliur; Wittmann, Hella; von Blanckenburg, Friedhelm</t>
  </si>
  <si>
    <t>Denudation rates and the degree of chemical weathering in the Ganga River basin from ratios of meteoric cosmogenic 10Be to stable 9Be</t>
  </si>
  <si>
    <t>meteoric cosmogenic Be-10; denudation; chemical weathering; Himalaya; Ganga</t>
  </si>
  <si>
    <t>GRAIN-SIZE DISTRIBUTION; MAJOR ION CHEMISTRY; EROSION RATES; HALF-LIFE; SEDIMENT; FLOODPLAIN; HIMALAYA; NUCLIDES; IMPACT; FLUXES</t>
  </si>
  <si>
    <t>The ratio of the meteoric cosmogenic nuclide Be-10, precipitated from the atmosphere, to the stable nuclide Be-9, released by silicate weathering, was measured in suspended sediment of the Ganga River basin to determine denudation rates, degrees of weathering, and sediment storage in the floodplain. The 10Be precipitated and the 9Be released are carried to ca. 90% by amorphous and to 10% by crystalline Fe-hydroxides, as revealed by chemical extractions, whereas the dissolved Be transport is negligible due to the river pH of 8. Resulting Be-10/Be-9 ratios increase from 0.75 x 10(-9) for the northern and Himalaya draining rivers to 1.7 x 10-9 in the downstream basin. The increase in Be-10/Be-9 ratios results from two compounding effects: with 1) average denudation rates decrease from 0.5 mm yr(-1) in the Himalayas to 0.17 mm yr(-1) for the Ganga main stem in the lowlands, 2) the southern tributaries draining the low-relief craton contribute sediment with a ratio of 2.0 x 10(-9), corresponding to a denudation rate of 0.03 mm yr(-1). We find that at the spatial scale of the entire basin, the atmospheric delivery flux of Be-10 equals its sedimentary export flux. Hence fluxes can be considered to be at steady state and radioactive decay of Be-10 during sediment storage is not discernible. The lack of a resolvable increase in Be-10 concentration during sediment transfer along the floodplain stretch furthermore suggests that the sediment transfer time is indeed short. We also cannot resolve any additional release of silicate bound Be-9 there, testifying to the lower degree of weathering there. When multiplied with the basin area the Be-10/Be-9-derived denudation rate of 0.14 mm yr(-1) corresponds to a sediment flux of 350 Mt yr(-1) which is in good agreement with gauging-derived sediment fluxes (ca. 400 Mt yr(-1)). Because they integrate over the entire basin, denudation rates from Be-10/Be-9 are lower than floodplain-corrected denudation rates from in situ cosmogenic Be-10 that reflect the rates of the sediment -producing mountain areas. (C) 2017 Elsevier B.V. All rights reserved.</t>
  </si>
  <si>
    <t>[Rahaman, Waliur; Wittmann, Hella; von Blanckenburg, Friedhelm] GFZ German Res Ctr Geosci, Potsdam, Germany; [Rahaman, Waliur] ESSO Natl Ctr Antarctic &amp; Ocean Res, Vasco Da Gama, Goa, India; [von Blanckenburg, Friedhelm] Free Univ Berlin, Inst Geol Sci, Berlin, Germany</t>
  </si>
  <si>
    <t>Helmholtz Association; Helmholtz-Center Potsdam GFZ German Research Center for Geosciences; Ministry of Earth Sciences (MoES) - India; National Centre for Polar and Ocean Research (NCPOR); Free University of Berlin</t>
  </si>
  <si>
    <t>Rahaman, W (corresponding author), GFZ German Res Ctr Geosci, Potsdam, Germany.;Rahaman, W (corresponding author), ESSO Natl Ctr Antarctic &amp; Ocean Res, Vasco Da Gama, Goa, India.</t>
  </si>
  <si>
    <t>waliur@ncaor.gov.in</t>
  </si>
  <si>
    <t>Rahaman, Waliur/V-7742-2019; von Blanckenburg, Friedhelm/K-4711-2013; Wittmann, Hella/F-9391-2011</t>
  </si>
  <si>
    <t>von Blanckenburg, Friedhelm/0000-0002-2964-717X; Rahaman, Waliur/0000-0001-6439-4529; Wittmann, Hella/0000-0002-1252-7059</t>
  </si>
  <si>
    <t>Alexander von Humboldt Foundation, Germany</t>
  </si>
  <si>
    <t>Alexander von Humboldt Foundation, Germany(Alexander von Humboldt Foundation)</t>
  </si>
  <si>
    <t>W. Rahaman thanks the Alexander von Humboldt Foundation, Germany, for a postdoctoral fellowship. Authors thank the Helmholtz Laboratory for the Geochemistry of the Earth Surface for laboratory infrastructure, and C. Schulz and J. Bartel for laboratory support and help with measuring trace and major elements using ICP-OES, and C. Andermann and S. Liening for performing grain size analysis in GFZ's SedLab. We are grateful to S. Heinze and S. Binnie from Cologne University for performing AMS measurements. We thank P.J. Frings for suggestions and comments on an earlier version of this manuscript. We thank M. Lupker as well as two anonymous reviewers for constructive comments that significantly improved this manuscript. We thank Derek Vance for editorial handling of this manuscript. This is NCAOR contribution No. 16/2015.</t>
  </si>
  <si>
    <t>10.1016/j.epsl.2017.04.001</t>
  </si>
  <si>
    <t>WOS:000402444700014</t>
  </si>
  <si>
    <t>Pertierra, LR; Aragón, P; Shaw, JD; Bergstrom, DM; Terauds, A; Olalla-Tárraga, MA</t>
  </si>
  <si>
    <t>Pertierra, Luis R.; Aragon, Pedro; Shaw, Justine D.; Bergstrom, Dana M.; Terauds, Aleks; Angel Olalla-Tarraga, Miguel</t>
  </si>
  <si>
    <t>Global thermal niche models of two European grasses show high invasion risks in Antarctica</t>
  </si>
  <si>
    <t>biosecurity protocols; nonanalogous climate; non-native species management; Poaceae; species distribution models</t>
  </si>
  <si>
    <t>BIOLOGICAL INVASIONS; POA-ANNUA; CLIMATE; POPULATIONS; COMMUNITIES; EVOLUTION; RESPONSES; IMPACTS; TRAITS; SHIFTS</t>
  </si>
  <si>
    <t>The two non-native grasses that have established long-term populations in Antarctica (Poa pratensis and Poa annua) were studied from a global multidimensional thermal niche perspective to address the biological invasion risk to Antarctica. These two species exhibit contrasting introduction histories and reproductive strategies and represent two referential case studies of biological invasion processes. We used a multistep process with a range of species distribution modelling techniques (ecological niche factor analysis, multidimensional envelopes, distance/entropy algorithms) together with a suite of thermoclimatic variables, to characterize the potential ranges of these species. Their native bioclimatic thermal envelopes in Eurasia, together with the different naturalized populations across continents, were compared next. The potential niche of P. pratensis was wider at the cold extremes; however, P. annua life history attributes enable it to be a more successful colonizer. We observe that particularly cold summers are a key aspect of the unique Antarctic environment. In consequence, ruderals such as P. annua can quickly expand under such harsh conditions, whereas the more stress-tolerant P. pratensis endures and persist through steady growth. Compiled data on human pressure at the Antarctic Peninsula allowed us to provide site-specific biosecurity risk indicators. We conclude that several areas across the region are vulnerable to invasions from these and other similar species. This can only be visualized in species distribution models (SDMs) when accounting for founder populations that reveal nonanalogous conditions. Results reinforce the need for strict management practices to minimize introductions. Furthermore, our novel set of temperature-based bioclimatic GIS layers for ice-free terrestrial Antarctica provide a mechanism for regional and global species distribution models to be built for other potentially invasive species.</t>
  </si>
  <si>
    <t>[Pertierra, Luis R.; Angel Olalla-Tarraga, Miguel] Univ Rey Juan Carlos, Dept Biol Geol Fis Quim Inorgan, Area Biodiversidad, C Tulipan S-N, Madrid 28933, Spain; [Aragon, Pedro] Museo Nacl Ciencias Natur, Dept Biogeog Cambio Global, C Jose Abascal 2, Madrid 28006, Spain; [Shaw, Justine D.; Bergstrom, Dana M.; Terauds, Aleks] Antarctic Conservat &amp; Management, Australian Antarctic Div, Kingston, Tas 7050, Australia; [Shaw, Justine D.] Univ Queensland, Ctr Biodivers &amp; Conservat Sci, Sch Biol Sci, St Lucia, Qld 4072, Australia</t>
  </si>
  <si>
    <t>Universidad Rey Juan Carlos; Consejo Superior de Investigaciones Cientificas (CSIC); CSIC - Museo Nacional de Ciencias Naturales (MNCN); Australian Antarctic Division; University of Queensland</t>
  </si>
  <si>
    <t>Pertierra, LR (corresponding author), Univ Rey Juan Carlos, Dept Biol Geol Fis Quim Inorgan, Area Biodiversidad, C Tulipan S-N, Madrid 28933, Spain.</t>
  </si>
  <si>
    <t>luis.pertierra@urjc.es</t>
  </si>
  <si>
    <t>Terauds, Aleks/A-4991-2010; Olalla-Tárraga, Miguel Ángel/ABE-7880-2020; Bergstrom, Dana/AAC-2837-2022; Aragón, Pedro/B-2598-2009; Pertierra, Luis R./K-3727-2017</t>
  </si>
  <si>
    <t>Olalla-Tárraga, Miguel Ángel/0000-0001-5346-4528; Bergstrom, Dana/0000-0001-8484-8954; Aragón, Pedro/0000-0002-6849-7274; Pertierra, Luis R./0000-0002-2232-428X; Shaw, Justine/0000-0002-9603-2271; Terauds, Aleks/0000-0001-7804-6648</t>
  </si>
  <si>
    <t>Spanish MINECO grant [CTM2013-47381-P]; SCAR Fellowship; 'Ramon y Cajal' Program (Spanish MINECO) [RYC-2011-07670]</t>
  </si>
  <si>
    <t>Spanish MINECO grant(Spanish Government); SCAR Fellowship; 'Ramon y Cajal' Program (Spanish MINECO)</t>
  </si>
  <si>
    <t>This study was supported by the Spanish MINECO grant (CTM2013-47381-P) to M.A. Olalla-Tarraga and a SCAR Fellowship to L.R. P. The Australian Antarctic Division is also thanked for hosting L.R. P. during the research collaboration. P. A. was funded by the 'Ramon y Cajal' Program (Spanish MINECO, RYC-2011-07670).</t>
  </si>
  <si>
    <t>10.1111/gcb.13596</t>
  </si>
  <si>
    <t>WOS:000402514900026</t>
  </si>
  <si>
    <t>Wall, CJ; Kohyama, T; Hartmann, DL</t>
  </si>
  <si>
    <t>Wall, Casey J.; Kohyama, Tsubasa; Hartmann, Dennis L.</t>
  </si>
  <si>
    <t>Low-Cloud, Boundary Layer, and Sea Ice Interactions over the Southern Ocean during Winter</t>
  </si>
  <si>
    <t>OVERTURNING CIRCULATION; FLUXES; AMPLIFICATION; PACIFIC; CLIMATE; CLOSURE; LEVEL; MODIS</t>
  </si>
  <si>
    <t>During austral winter, a sharp contrast in low-cloud fraction and boundary layer structure across the Antarctic sea ice edge is seen in ship-based measurements and in active satellite retrievals from Cloud-Aerosol Lidar and Infrared Pathfinder Satellite Observations (CALIPSO), which provide an unprecedented view of polar clouds during winter. Sea ice inhibits heat and moisture transport from the ocean to the atmosphere, and, as a result, the boundary layer is cold, stable, and clear over sea ice and warm, moist, well mixed, and cloudy over open water. The mean low-cloud fraction observed by CALIPSO is roughly 0.7 over open water and 0.4-0.5 over sea ice, and the low-cloud layer is deeper over open water. Low-level winds in excess of 10ms 21 are common over sea ice. Cold advection off of the sea ice pack causes enhanced low-cloud fraction over open water, and thus an enhanced longwave cloud radiative effect at the surface. Quantitative estimates of the surface longwave cloud radiative effect contributed by low clouds are presented. Finally, 10 state-of-the-art global climate models with satellite simulators are compared to observations. Near the sea ice edge, 7 out of 10 models simulate cloudier conditions over open water than over sea ice. Most models also underestimate low-cloud fraction both over sea ice and over open water.</t>
  </si>
  <si>
    <t>[Wall, Casey J.; Kohyama, Tsubasa; Hartmann, Dennis L.] Univ Washington, Dept Atmospher Sci, Seattle, WA 98195 USA</t>
  </si>
  <si>
    <t>Wall, CJ (corresponding author), Univ Washington, Dept Atmospher Sci, Seattle, WA 98195 USA.</t>
  </si>
  <si>
    <t>caseyw8@atmos.washington.edu</t>
  </si>
  <si>
    <t>Kohyama, Tsubasa/Q-6214-2017</t>
  </si>
  <si>
    <t>Kohyama, Tsubasa/0000-0002-5606-2062; Wall, Casey/0000-0001-7682-5576</t>
  </si>
  <si>
    <t>NASA [NNX14AJ26G]; National Science Foundation (NSF) [AGS-1549579, AGS-0960497]; Takenaka Scholarship Foundation; NASA [681262, NNX14AJ26G] Funding Source: Federal RePORTER</t>
  </si>
  <si>
    <t>NASA(National Aeronautics &amp; Space Administration (NASA)); National Science Foundation (NSF)(National Science Foundation (NSF)); Takenaka Scholarship Foundation; NASA(National Aeronautics &amp; Space Administration (NASA))</t>
  </si>
  <si>
    <t>This research was conducted with support from NASA Grant NNX14AJ26G, Terra and Aqua Science. Tsubasa Kohyama was supported by the National Science Foundation (NSF) under Grants AGS-1549579 and AGS-0960497, and the Takenaka Scholarship Foundation. We are grateful to Steve Warren for helpful discussion, Peter Blossey for sharing code for the radiative transfer model, Gregory Elsaesser for providing the MAC-LWP data, and three anonymous reviewers for their thorough and constructive feedback. We also thank the CALIPSO team and the authors of (Chepfer et al. 2010) for creating the CALIPSO-GOCCP dataset. We acknowledge the World Climate Research Programme's Working Group on Coupled Modelling, which is responsible for CMIP, and we thank the climate modeling groups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t>
  </si>
  <si>
    <t>10.1175/JCLI-D-16-0483.1</t>
  </si>
  <si>
    <t>EW3FO</t>
  </si>
  <si>
    <t>WOS:000402380900006</t>
  </si>
  <si>
    <t>Chiodo, G; Polvani, LM; Previdi, M</t>
  </si>
  <si>
    <t>Chiodo, G.; Polvani, L. M.; Previdi, M.</t>
  </si>
  <si>
    <t>Large Increase in Incident Shortwave Radiation due to the Ozone Hole Offset by High Climatological Albedo over Antarctica</t>
  </si>
  <si>
    <t>STRATOSPHERIC OZONE; SOLAR-RADIATION; CLIMATE; ABSORPTION; SURFACE; BALANCE; SNOW</t>
  </si>
  <si>
    <t>Despite increasing scientific scrutiny in recent years, the direct impact of the ozone hole on surface temperatures over Antarctica remains uncertain. Here, this question is explored by using the Community Earth System Model-Whole Atmosphere Community Climate Model (CESM-WACCM), contrasting two ensembles of runs with and without stratospheric ozone depletion. It is found that, during austral spring, the ozone hole leads to a surprisingly large increase in surface downwelling shortwave (SW) radiation over Antarctica of 3.8W m(-2) in clear sky and 1.8 W m(-2) in all sky. However, despite this large increase in incident SW radiation, no ozone-induced surface warming is seen in the model. It is shown that the lack of a surface temperature response is due to reflection of most of the increased downward SW, resulting in an insignificant change to the net SW radiative heating. To first order, this reflection is simply due to the high climatological surface albedo of the Antarctic snow (97% in visible SW), resulting in a net zero ozone-induced surface SW forcing. In addition, it is shown that stratospheric ozone depletion has a negligible effect on longwave (LW) radiation and other components of the surface energy budget. These results suggest a minimal role for ozone depletion in forcing Antarctic surface temperature trends on a continental scale.</t>
  </si>
  <si>
    <t>[Chiodo, G.] Columbia Univ, Dept Appl Phys &amp; Appl Math, New York, NY 10027 USA; [Polvani, L. M.] Columbia Univ, Dept Appl Phys &amp; Appl Math, Dept Earth &amp; Environm Sci, New York, NY USA; [Polvani, L. M.; Previdi, M.] Columbia Univ, Lamont Doherty Earth Observ, New York, NY USA</t>
  </si>
  <si>
    <t>Chiodo, G (corresponding author), Columbia Univ, Dept Appl Phys &amp; Appl Math, New York, NY 10027 USA.</t>
  </si>
  <si>
    <t>chiodo@columbia.edu</t>
  </si>
  <si>
    <t>Polvani, Lorenzo M/E-5949-2011; Chiodo, Gabriel/GPX-3646-2022; Chiodo, Gabriel/C-6626-2016; Chiodo, Gabriel/AGI-6886-2022</t>
  </si>
  <si>
    <t>Chiodo, Gabriel/0000-0002-8079-6314; Chiodo, Gabriel/0000-0002-8079-6314;</t>
  </si>
  <si>
    <t>U.S. NSF Frontiers of Earth System Dynamics; U.S. National Science Foundation</t>
  </si>
  <si>
    <t>U.S. NSF Frontiers of Earth System Dynamics; U.S. National Science Foundation(National Science Foundation (NSF))</t>
  </si>
  <si>
    <t>We thank Stephen Warren for his constructive comments, which helped improve the quality of the paper. This work is supported by the U.S. NSF Frontiers of Earth System Dynamics award to Columbia University. All model integrations were performed at the National Center for Atmospheric Research (NCAR), which is sponsored by the U.S. National Science Foundation. All the simulation data can be obtained by request to author GC.</t>
  </si>
  <si>
    <t>10.1175/JCLI-D-16-0842.1</t>
  </si>
  <si>
    <t>WOS:000402380900004</t>
  </si>
  <si>
    <t>Schoepfer, SD; Tobin, TS; Witts, JD; Newton, RJ</t>
  </si>
  <si>
    <t>Schoepfer, Shane D.; Tobin, Thomas S.; Witts, James D.; Newton, Robert J.</t>
  </si>
  <si>
    <t>Intermittent euxinia in the high-latitude James Ross Basin during the latest Cretaceous and earliest Paleocene</t>
  </si>
  <si>
    <t>Anoxia; Extinction; Antarctica; Seymour Island; Glauconite</t>
  </si>
  <si>
    <t>LARGE IGNEOUS PROVINCES; SEYMOUR-ISLAND; TRACE-METALS; PALEOGENE BOUNDARY; ISOTOPE PROFILES; ASTEROID IMPACT; ORGANIC-CARBON; MARAMBIO GROUP; MOLYBDENUM; SEDIMENTS</t>
  </si>
  <si>
    <t>Seymour Island, in the James Ross Basin, Antarctica, contains a continuous succession of latest Cretaceous sediments deposited in a shallow marine environment at high latitude, making it an ideal place to study environmental changes prior to the K-Pg mass extinction. We measured major and trace elements and conducted petrographic analysis of two sections from the Maastrichtian-Danian Lopez de Bertodano Formation of Seymour Island. Several lines of evidence point to intermittently anoxic to euxinic conditions during deposition, including the presence of pyrite framboids with a size distribution suggesting syngenetic formation in the water column, and enrichments in several trace elements, including molybdenum, arsenic, copper, zinc, and chromium. Molybdenum enrichments are clearly associated with enrichments in manganese and authigenic iron, suggesting shuttling of redox sensitive trace elements across a chemocline that fluctuated across the sediment-water interface. Comparisons with modern systems suggest relatively high-frequency redox variability, possibly over approximately annual timescales, which may be related to the annual cycle of polar sunlight and associated seasonal changes in primary productivity. Glauconitic horizons are associated with more reducing conditions, including at the K-Pg boundary, though this does not appear to be a uniquely euxinic interval; similar degrees of trace element enrichment are seen in other highly glauconitic intervals. While euxinia may have contributed to low diversity in the lowermost 'Rotularia Units', redox conditions do not seem to have been the primary control on the transition to a mollusc dominated fauna in the latest Maastrichtian. Redox conditions show little to no response to the eruption of the Deccan Traps or Maastrichtian climatic changes. Instead, intermittent euxinia appears to have been a characteristic feature of this high-latitude environment duririg the Cretaceous-Paleogene transition. (C) 2017 The Authors. Published by Elsevier B.V.</t>
  </si>
  <si>
    <t>[Schoepfer, Shane D.] Univ Calgary, Dept Geosci, Calgary, AB, Canada; [Tobin, Thomas S.] Univ Alabama, Dept Geol Sci, Tuscaloosa, AL 35487 USA; [Witts, James D.; Newton, Robert J.] Univ Leeds, Sch Earth &amp; Environm, Earth Surface Sci Inst, Leeds, W Yorkshire, England; [Witts, James D.] Amer Museum Nat Hist, Div Paleontol Invertebrates, New York, NY 10024 USA</t>
  </si>
  <si>
    <t>University of Calgary; University of Alabama System; University of Alabama Tuscaloosa; University of Leeds; American Museum of Natural History (AMNH)</t>
  </si>
  <si>
    <t>Schoepfer, SD (corresponding author), Univ Calgary, Dept Geosci, Calgary, AB, Canada.</t>
  </si>
  <si>
    <t>shane.schoepfer@ucalgary.ca</t>
  </si>
  <si>
    <t>Newton, Robert/B-2599-2009</t>
  </si>
  <si>
    <t>Newton, Robert/0000-0003-0144-6867; Witts, James/0000-0002-4002-415X; Tobin, Thomas/0000-0003-0992-7809</t>
  </si>
  <si>
    <t>UK Natural Environment Research Council (NERC) [NE/C506399/1]; University of Leeds; U.S. National Science Foundation Office of Polar Programs [OPP-0739541, OPP-0739432]; Natural Environment Research Council [NE/C506399/1] Funding Source: researchfish</t>
  </si>
  <si>
    <t>UK Natural Environment Research Council (NERC)(UK Research &amp; Innovation (UKRI)Natural Environment Research Council (NERC)); University of Leeds; U.S. National Science Foundation Office of Polar Programs(National Science Foundation (NSF)); Natural Environment Research Council(UK Research &amp; Innovation (UKRI)Natural Environment Research Council (NERC))</t>
  </si>
  <si>
    <t>The authors would like to thank the staff of the University of Washington Analytic Services Center and Cohen Laboratories (School of Earth and Environment, University of Leeds, UK), as well as Robert Jamieson (University of Durham, UK), for laboratory support and assistance with major and trace element measurements. Fieldwork to Seymour Island to sample section D5.251 was funded by the UK Natural Environment Research Council (NERC) grant NE/C506399/1 (Antarctic Funding Initiative) and was supported logistically by the British Antarctic Survey. James Witts was funded by a PhD scholarship from the University of Leeds. Fieldwork to sample section T12 was funded by the U.S. National Science Foundation Office of Polar Programs (OPP-0739541, OPP-0739432), and supported logistically by the United States Antarctic Program, the crew of the Laurence M. Gould, and the Instituto Antartico Argentino. We thank Eduardo Olivero and Alvar Sobral for invaluable assistance in the field. We thank Peter Ward (University of Washington), Joseph Kirschvink (California Institute of Technology), Ross Mitchell (Yale University) Paul Wignall (University of Leeds), Jane Francis, Alistair Crame, and Vanessa Bowman (British Antarctic Survey), and Jon Ineson (GEUS, Denmark) for useful discussions and providing access to field samples.</t>
  </si>
  <si>
    <t>10.1016/j.palaeo.2017.04.013</t>
  </si>
  <si>
    <t>EV6NK</t>
  </si>
  <si>
    <t>WOS:000401885900004</t>
  </si>
  <si>
    <t>Pozo, K; Martellini, T; Corsolini, S; Harner, T; Estellano, V; Kukucka, P; Mulder, MA; Lammel, G; Cincinelli, A</t>
  </si>
  <si>
    <t>Pozo, Karla; Martellini, Tania; Corsolini, Simonetta; Harner, Tom; Estellano, Victor; Kukucka, Petr; Mulder, Marie A.; Lammel, Gerhard; Cincinelli, Alessandra</t>
  </si>
  <si>
    <t>Persistent organic pollutants (POPs) in the atmosphere of coastal areas of the Ross Sea, Antarctica: Indications for long-term downward trends</t>
  </si>
  <si>
    <t>PCBs; OCPs; Antarctica; Air; Backward trajectories; Passive air samplers; Ross sea</t>
  </si>
  <si>
    <t>POLYBROMINATED DIPHENYL ETHERS; PASSIVE AIR SAMPLERS; KING GEORGE ISLAND; ORGANOCHLORINE PESTICIDES; CHLORINATED PESTICIDES; RANGE TRANSPORT; ATLANTIC-OCEAN; PCBS; AEROSOL; PBDES</t>
  </si>
  <si>
    <t>Passive air samplers were used to evaluate long-term trends and spatial distribution of trace organic compounds in Antarctica. Duplicate PUF disk samplers were deployed at six automatic weather stations in the coastal area of the Ross sea (East Antarctica), between December 2010 and January 2011, during the XXVI Italian Scientific Research Expedition. Among the investigated persistent organic compounds, Hexachlorobenzene was the most abundant, with air concentrations ranging from 0.8 to 50 pg m(-3). In general, the following decreasing concentration order was found for the air samples analyzed: HCB &gt; PeCB &gt; PCBs &gt; DDTs &gt; HCHs. While HCB concentrations were in the same range as those reported in the atmosphere of other Antarctic sampling areas and did not show a decline, HCHs and DDTs levels were lower or similar to those determined one or two decades ago. In general, the very low concentrations reflected the pristine state of the East Antarctica air. Backward trajectories indicated the prevalence of air masses coming from the Antarctic continent. Local contamination and volatilization from ice were suggested as potential sources for the presence of persistent organic pollutants in the atmosphere. 2017 Elsevier Ltd. All rights reserved.</t>
  </si>
  <si>
    <t>[Pozo, Karla; Corsolini, Simonetta; Estellano, Victor] Univ Siena, Dept Phys Earth &amp; Environm Sci, Siena, Italy; [Pozo, Karla; Kukucka, Petr; Mulder, Marie A.; Lammel, Gerhard] Masaryk Univ, Res Ctr Tox Cpds Environm, Brno, Czech Republic; [Pozo, Karla] Univ Catolica Santisima Concepcion, Fac Ciencias, Concepcion, Chile; [Martellini, Tania; Cincinelli, Alessandra] Univ Florence, Dept Chem Ugo Schiff, I-50019 Florence, Italy; [Harner, Tom] Environm Canada, Air Qual Proc Res Sect, Toronto, ON, Canada; [Lammel, Gerhard] Max Planck Inst Chem, Multiphase Chem Dept, Mainz, Germany; [Cincinelli, Alessandra] Italian Natl Res Council IDPA CNR, Inst Dynam Environm Proc, Venice, Italy</t>
  </si>
  <si>
    <t>University of Siena; Masaryk University Brno; Universidad Catolica de la Santisima Concepcion; University of Florence; Environment &amp; Climate Change Canada; Max Planck Society; Consiglio Nazionale delle Ricerche (CNR); Istituto per la Dinamica dei Processi Ambientali (IDPA-CNR)</t>
  </si>
  <si>
    <t>Cincinelli, A (corresponding author), Univ Florence, Dept Chem Ugo Schiff, I-50019 Florence, Italy.</t>
  </si>
  <si>
    <t>acincinelli@unifi.it</t>
  </si>
  <si>
    <t>Corsolini, Simonetta/B-9460-2012; Lammel, Gerhard/ABE-1446-2021; Cincinelli, Alessandra/A-8468-2011; Kukucka, Petr/F-7064-2016; Martellini, Tania/AAD-1095-2020; Pozo, Karla/D-3822-2012</t>
  </si>
  <si>
    <t>Corsolini, Simonetta/0000-0002-9772-2362; Lammel, Gerhard/0000-0003-2313-0628; Martellini, Tania/0000-0001-6803-1928; Pozo, Karla/0000-0001-7747-7518</t>
  </si>
  <si>
    <t>MIUR-PNRA project Flows of POPs between poLar Abiotic and Biotic compartments (POP-LAB) in Italy [PEA-PdR 2009/A2.10]; National Sustainability Programme of the Czech Ministry of Education, Youth and Sports [LO1214]; Czech Ministry of Education, Operational Program Research and Development for Innovations [CZ.1.05/3.2.00/08.0144]</t>
  </si>
  <si>
    <t>MIUR-PNRA project Flows of POPs between poLar Abiotic and Biotic compartments (POP-LAB) in Italy; National Sustainability Programme of the Czech Ministry of Education, Youth and Sports; Czech Ministry of Education, Operational Program Research and Development for Innovations</t>
  </si>
  <si>
    <t>This project was funded by MIUR-PNRA, project PEA-PdR 2009/A2.10 Flows of POPs between poLar Abiotic and Biotic compartments (POP-LAB) in Italy. The instrumental analysis of samples were carried out at the RECETOX research infrastructure (LM2015051) with the support of the National Sustainability Programme of the Czech Ministry of Education, Youth and Sports (LO1214). The authors thank Masaryk University, MetaCentrum, for the usage of the CERIT-SC computing and storage facilities, part of the Czech Ministry of Education, Operational Program Research and Development for Innovations No. CZ.1.05/3.2.00/08.0144.</t>
  </si>
  <si>
    <t>10.1016/j.chemosphere.2017.02.118</t>
  </si>
  <si>
    <t>EU2SJ</t>
  </si>
  <si>
    <t>WOS:000400879800052</t>
  </si>
  <si>
    <t>Wood, AT; Clark, TD; Andrewartha, SJ; Elliott, NG; Frappell, PB</t>
  </si>
  <si>
    <t>Wood, Andrew T.; Clark, Timothy D.; Andrewartha, Sarah J.; Elliott, Nicholas G.; Frappell, Peter B.</t>
  </si>
  <si>
    <t>Developmental Hypoxia Has Negligible Effects on Long-Term Hypoxia Tolerance and Aerobic Metabolism of Atlantic Salmon (Salmo salar)</t>
  </si>
  <si>
    <t>PHYSIOLOGICAL AND BIOCHEMICAL ZOOLOGY</t>
  </si>
  <si>
    <t>hypoxia; aerobic metabolism; hypoxia tolerance; developmental trajectory</t>
  </si>
  <si>
    <t>ONCORHYNCHUS-MYKISS EMBRYOS; ZEBRAFISH DANIO-RERIO; RAINBOW-TROUT; DISSOLVED-OXYGEN; SWIMMING PERFORMANCE; BOUNDARY-LAYER; CLIMATE-CHANGE; DEAD ZONES; TEMPERATURE; FISHES</t>
  </si>
  <si>
    <t>Exposure to developmental hypoxia can have long-term impacts on the physiological performance of fish because of irreversible plasticity. Wild and captive-reared Atlantic salmon (Salmo salar) can be exposed to hypoxic conditions during development and continue to experience fluctuating oxygen levels as juveniles and adults. Here, we examine whether developmental hypoxia impacts subsequent hypoxia tolerance and aerobic performance of Atlantic salmon. Individuals at 8 degrees C were exposed to 50% (hypoxia) or 100%(normoxia) dissolved oxygen(DO) saturation(as percent of air saturation) from fertilization for similar to 100 d (800 degree days) andthenraisedinnormoxic conditions for a further 15 mo. At 18 mo after fertilization, aerobic scope was calculated in normoxia (100% DO) and acute (18 h) hypoxia (50% DO) from the difference between the minimum and maximum oxygen consumption rates ((M) over dotO(2min) and (M) over dotO(2max), respectively) at 10 degrees C. Hypoxia tolerance was determined as the DO at which loss of equilibrium (LOE) occurred in a constantly decreasing DO environment. There was no difference in (M) over dotO(2min), (M) over dotO(2max), or aerobic scope between fish raised in hypoxia or normoxia. There was some evidence that hypoxia tolerance was lower (higher DO at LOE) in hypoxiaraised fish compared with those raised in normoxia, but the magnitude of the effect was small (12.52% DO vs. 11.73% DO at LOE). Acute hypoxia significantly reduced aerobic scope by reducing (M) over dotO(2max), while (M) over dotO(2min) remained unchanged. Interestingly, acute hypoxia uncovered individual-level relationships between DO at LOE and (M) over dotO(2min), (M) over dotO(2max), and aerobic scope. We discuss our findings in the context of developmental trajectories and the role of aerobic performance in hypoxia tolerance.</t>
  </si>
  <si>
    <t>[Wood, Andrew T.; Clark, Timothy D.; Andrewartha, Sarah J.; Elliott, Nicholas G.] Commonwealth Sci &amp; Ind Res Org Agr &amp; Food, 3-4 Castray Esplanade, Battery Point, Tas, Australia; [Wood, Andrew T.; Clark, Timothy D.; Andrewartha, Sarah J.; Frappell, Peter B.] Univ Tasmania, Inst Marine &amp; Antarctic Studies, 20 Castray Esplanade, Battery Point, Tas, Australia</t>
  </si>
  <si>
    <t>Commonwealth Scientific &amp; Industrial Research Organisation (CSIRO); University of Tasmania</t>
  </si>
  <si>
    <t>Wood, AT (corresponding author), Commonwealth Sci &amp; Ind Res Org Agr &amp; Food, 3-4 Castray Esplanade, Battery Point, Tas, Australia.;Wood, AT (corresponding author), Univ Tasmania, Inst Marine &amp; Antarctic Studies, 20 Castray Esplanade, Battery Point, Tas, Australia.</t>
  </si>
  <si>
    <t>andrew.wood@csiro.au</t>
  </si>
  <si>
    <t>Andrewartha, Sarah/K-4189-2012; Clark, Timothy/K-7129-2012; Wood, Andrew/A-3837-2014</t>
  </si>
  <si>
    <t>Andrewartha, Sarah/0000-0003-1973-9502; Clark, Timothy/0000-0001-8738-3347; Wood, Andrew/0000-0002-3351-8397</t>
  </si>
  <si>
    <t>1522-2152</t>
  </si>
  <si>
    <t>1537-5293</t>
  </si>
  <si>
    <t>PHYSIOL BIOCHEM ZOOL</t>
  </si>
  <si>
    <t>Physiol. Biochem. Zool.</t>
  </si>
  <si>
    <t>10.1086/692250</t>
  </si>
  <si>
    <t>Physiology; Zoology</t>
  </si>
  <si>
    <t>ET7GX</t>
  </si>
  <si>
    <t>WOS:000400464100002</t>
  </si>
  <si>
    <t>Palerme, C; Claud, C; Dufour, A; Genthon, C; Wood, NB; L'Ecuyer, T</t>
  </si>
  <si>
    <t>Palerme, Cyril; Claud, Chantal; Dufour, Ambroise; Genthon, Christophe; Wood, Norman B.; L'Ecuyer, Tristan</t>
  </si>
  <si>
    <t>Evaluation of Antarctic snowfall in global meteorological reanalyses</t>
  </si>
  <si>
    <t>ATMOSPHERIC RESEARCH</t>
  </si>
  <si>
    <t>Precipitation; Antarctica; Meteorological analyses; CloudSat</t>
  </si>
  <si>
    <t>ACCUMULATION; CLOUDSAT</t>
  </si>
  <si>
    <t>Recent precipitation observations provided by CloudSat are used to evaluate the ability of various meteorological analyses and reanalyses to reproduce Antarctic snowfall. The performance of the ECMWF Interim Re-Analysis (ERA Interim), the Climate Forecast System Reanalysis (CFSR), the Japanese 55-year Reanalysis (JRA55), the Modern Era Retrospective-Analysis for Research and Application (MERRA), and the Modern Era Retrospective-Analysis for Research and Application 2 (MERRA-2), as well as ECMWF operational analyses are compared over the 2007-2010 period. The mean snowfall rate over Antarctica north of 82 degrees S simulated by the reanalyses between 2007 and 2010 ranges from 165 to 225 mm per year, while CloudSat observations indicate a value of 172 mm per year. ERA Interim produces the closest match to the observed snowfall rate, but all the reanalyses reproduce well the seasonal and interannual variability of Antarctic snowfall reported in CloudSat observations. (C) 2017 The Authors. Published by Elsevier B.V.</t>
  </si>
  <si>
    <t>[Palerme, Cyril; Dufour, Ambroise; Genthon, Christophe] CNRS, LGGE, F-38041 Grenoble, France; [Palerme, Cyril; Dufour, Ambroise; Genthon, Christophe] Univ Grenoble Alpes, LGGE, F-38041 Grenoble, France; [Claud, Chantal] Univ Paris Saclay, CNRS, LMD IPSL, Palaiseau, France; [Claud, Chantal] Univ Paris Saclay, Ecole Polytech, Palaiseau, France; [Wood, Norman B.] Univ Wisconsin, Cooperat Inst Meteorol Satellite Studies, Madison, WI 53706 USA; [L'Ecuyer, Tristan] Univ Wisconsin, Dept Atmospher &amp; Ocean Sci, Madison, WI 53706 USA</t>
  </si>
  <si>
    <t>Centre National de la Recherche Scientifique (CNRS); Communaute Universite Grenoble Alpes; Universite Grenoble Alpes (UGA); Communaute Universite Grenoble Alpes; Universite Grenoble Alpes (UGA); Universite Paris Cite; Centre National de la Recherche Scientifique (CNRS); Ecole des Ponts ParisTech; Universite Paris Saclay; Universite Paris Cite; Institut Polytechnique de Paris; Universite Paris Saclay; University of Wisconsin System; University of Wisconsin Madison; University of Wisconsin System; University of Wisconsin Madison</t>
  </si>
  <si>
    <t>Palerme, C (corresponding author), CNRS, LGGE, F-38041 Grenoble, France.</t>
  </si>
  <si>
    <t>cyrilpalerme@gmail.com</t>
  </si>
  <si>
    <t>Dufour, Ambroise/AAH-1985-2021; L'Ecuyer, Tristan S/E-5607-2012; Dufour, Ambroise/AAK-8976-2020</t>
  </si>
  <si>
    <t>Dufour, Ambroise/0000-0003-0146-4483; L'Ecuyer, Tristan S/0000-0002-7584-4836; Palerme, Cyril/0000-0003-1475-7496; Wood, Norman/0000-0001-8228-3910</t>
  </si>
  <si>
    <t>French National Research Agency (ANR) [ANR-15-CE01-0003]; LEFE programme DEPHY2 (Institut National des Sciences de l'Univers); NASA CloudSat Research Grant [G-3969-1]; Agence Nationale de la Recherche (ANR) [ANR-15-CE01-0003] Funding Source: Agence Nationale de la Recherche (ANR)</t>
  </si>
  <si>
    <t>French National Research Agency (ANR)(Agence Nationale de la Recherche (ANR)Norwegian Agency for Development Cooperation - NORAD); LEFE programme DEPHY2 (Institut National des Sciences de l'Univers); NASA CloudSat Research Grant; Agence Nationale de la Recherche (ANR)(Agence Nationale de la Recherche (ANR))</t>
  </si>
  <si>
    <t>This research was funded by the French National Research Agency (ANR), through the APRES3 project (ANR-15-CE01-0003) with additional support from the LEFE programme DEPHY2 (Institut National des Sciences de l'Univers). We are thankful to the Centre National d'Etudes Spatiales (CNES) and the project Expecting Earth-Care, Learning from A-Train (EECLAT). Parts of this research conducted by T. L'Ecuyer and N. B. Wood were performed at the University of Wisconsin-Madison for the Jet Propulsion Laboratory, California Institute of Technology, and sponsored by NASA CloudSat Research Grant G-3969-1.</t>
  </si>
  <si>
    <t>0169-8095</t>
  </si>
  <si>
    <t>1873-2895</t>
  </si>
  <si>
    <t>ATMOS RES</t>
  </si>
  <si>
    <t>Atmos. Res.</t>
  </si>
  <si>
    <t>10.1016/j.atmosres.2017.02.015</t>
  </si>
  <si>
    <t>ES6BS</t>
  </si>
  <si>
    <t>WOS:000399631900010</t>
  </si>
  <si>
    <t>Moctezuma-Flores, M; Parmiggiani, F; Fragiacomo, C; Guerrieri, L</t>
  </si>
  <si>
    <t>Moctezuma-Flores, Miguel; Parmiggiani, Flavio; Fragiacomo, Corrado; Guerrieri, Lorenzo</t>
  </si>
  <si>
    <t>Synthetic aperture radar analysis of floating ice at Terra Nova Bay-an application to ice eddy parameter extraction</t>
  </si>
  <si>
    <t>JOURNAL OF APPLIED REMOTE SENSING</t>
  </si>
  <si>
    <t>sea-ice; synthetic aperture radar; eddy; Terra Nova Bay</t>
  </si>
  <si>
    <t>EDDIES</t>
  </si>
  <si>
    <t>In the framework of a study of ice formation in Antarctica, synthetic aperture radar (SAR) image acquisitions were planned over Terra Nova Bay (TNB). Thanks to the European Space Agency (ESA) Third Party Mission program, Cosmo-SkyMed and Radarsat-2 images over TNB were obtained for the period of February 20 to March 20, 2015; in addition, available Sentinel-1 images for the same period were retrieved from the ESA scientific data hub. The first inspection of the images revealed the presence of a prominent eddy, i.e., an ice vortex presumably caused by the wind blowing from the continent. The important parameters of an eddy are its area and lifetime. While the eddy lifetime was easily obtained from the image sequence, the area was measured using a specific processing scheme that consists of nonlinear filtering and Markov random field segmentation. The main goal of our study was to develop a segmentation scheme to detect and measure objects in SAR images. In addition, the connection between eddy area and wind field was investigated using parametric and nonparametric correlation functions; statistically significant correlation values were obtained in the analyzed period. After March 15, a powerful katabatic wind completely disrupted the surface eddy. (C) The Authors. Published by SPIE under a Creative Commons Attribution 3.0 Unported License. Distribution or reproduction of this work in whole or in part requires full attribution of the original publication, including its</t>
  </si>
  <si>
    <t>[Moctezuma-Flores, Miguel] UNAM FI, Dept Telecommun, Ciudad Univ, Mexico City, DF, Mexico; [Parmiggiani, Flavio; Guerrieri, Lorenzo] CNR, Inst Atmospher Sci &amp; Climate, Bologna, Italy; [Fragiacomo, Corrado] Natl Inst Oceanog &amp; Expt Geophys, Sgonico Ts, Italy</t>
  </si>
  <si>
    <t>Universidad Nacional Autonoma de Mexico; Consiglio Nazionale delle Ricerche (CNR); Istituto di Scienze dell'Atmosfera e del Clima (ISAC-CNR)</t>
  </si>
  <si>
    <t>Moctezuma-Flores, M (corresponding author), UNAM FI, Dept Telecommun, Ciudad Univ, Mexico City, DF, Mexico.</t>
  </si>
  <si>
    <t>mmoctezumaf@hotmail.com</t>
  </si>
  <si>
    <t>Moctezuma-Flores, Miguel/AAF-7221-2020</t>
  </si>
  <si>
    <t>Moctezuma-Flores, Miguel/0000-0002-6046-2421; Guerrieri, Lorenzo/0000-0003-1894-5048</t>
  </si>
  <si>
    <t>EU SPICES</t>
  </si>
  <si>
    <t>The authors wish to thank the ESA for providing SAR images through the Third Party Mission Program: CSK to F.P. (Project Proposal id14674) and Radarsat-2 to C.F. (Project Proposal id1652). We also thank the Meteo-Climatological Observatory of the Italian Program for Antarctic Research1 for providing wind data collected by the AWS Eneide. We acknowledge the support of the EU SPICES project41 to F.P. and L.G., and of the Direccion General de Asuntos del Personal Academico, Program PASPA-UNAM, to M.M.F. Finally, the authors wish to thank the anonymous reviewers who provided useful comments on a previous version of this paper.</t>
  </si>
  <si>
    <t>SPIE-SOC PHOTO-OPTICAL INSTRUMENTATION ENGINEERS</t>
  </si>
  <si>
    <t>BELLINGHAM</t>
  </si>
  <si>
    <t>1000 20TH ST, PO BOX 10, BELLINGHAM, WA 98225 USA</t>
  </si>
  <si>
    <t>1931-3195</t>
  </si>
  <si>
    <t>J APPL REMOTE SENS</t>
  </si>
  <si>
    <t>J. Appl. Remote Sens.</t>
  </si>
  <si>
    <t>JUN 30</t>
  </si>
  <si>
    <t>10.1117/1.JRS.11.026041</t>
  </si>
  <si>
    <t>FB3JP</t>
  </si>
  <si>
    <t>WOS:000406039100001</t>
  </si>
  <si>
    <t>Nauels, A; Meinshausen, M; Mengel, M; Lorbacher, K; Wigley, TML</t>
  </si>
  <si>
    <t>Nauels, Alexander; Meinshausen, Malte; Mengel, Matthias; Lorbacher, Katja; Wigley, Tom M. L.</t>
  </si>
  <si>
    <t>Synthesizing long-term sea level rise projections - the MAGICC sea level model v2.0</t>
  </si>
  <si>
    <t>GREENLAND ICE-SHEET; SURFACE MASS-BALANCE; CARBON-CYCLE MODELS; 1.5 DEGREES-C; CLIMATE-CHANGE; ATMOSPHERE-OCEAN; SIMPLER MODEL; PISM-PIK; SENSITIVITY; SCENARIOS</t>
  </si>
  <si>
    <t>Sea level rise (SLR) is one of the major impacts of global warming; it will threaten coastal populations, infrastructure, and ecosystems around the globe in coming centuries. Well-constrained sea level projections are needed to estimate future losses from SLR and benefits of climate protection and adaptation. Process-based models that are designed to resolve the underlying physics of individual sea level drivers form the basis for state-of-the-art sea level projections. However, associated computational costs allow for only a small number of simulations based on selected scenarios that often vary for different sea level components. This approach does not sufficiently support sea level impact science and climate policy analysis, which require a sea level projection methodology that is flexible with regard to the climate scenario yet comprehensive and bound by the physical constraints provided by process-based models. To fill this gap, we present a sea level model that emulates global-mean long-term process-based model projections for all major sea level components. Thermal expansion estimates are calculated with the hemispheric upwelling-diffusion ocean component of the simple carbon-cycle climate model MAGICC, which has been updated and calibrated against CMIP5 ocean temperature profiles and thermal expansion data. Global glacier contributions are estimated based on a parameterization constrained by transient and equilibrium process-based projections. Sea level contribution estimates for Greenland and Antarctic ice sheets are derived from surface mass balance and solid ice discharge parameterizations reproducing current output from ice-sheet models. The land water storage component replicates recent hydrological modeling results. For 2100, we project 0.35 to 0.56m (66% range) total SLR based on the RCP2.6 scenario, 0.45 to 0.67m for RCP4.5, 0.46 to 0.71m for RCP6.0, and 0.65 to 0.97m for RCP8.5. These projections lie within the range of the latest IPCC SLR estimates. SLR projections for 2300 yield median responses of 1.02m for RCP2.6, 1.76m for RCP4.5, 2.38m for RCP6.0, and 4.73m for RCP8.5. The MAGICC sea level model provides a flexible and efficient platform for the analysis of major scenario, model, and climate uncertainties underlying long-term SLR projections. It can be used as a tool to directly investigate the SLR implications of different mitigation pathways and may also serve as input for regional SLR assessments via component-wise sea level pattern scaling.</t>
  </si>
  <si>
    <t>[Nauels, Alexander; Meinshausen, Malte; Lorbacher, Katja] Univ Melbourne, Australian German Climate &amp; Energy Coll, Parkville, Vic 3010, Australia; [Nauels, Alexander; Meinshausen, Malte] Univ Melbourne, Dept Earth Sci, Parkville, Vic 3010, Australia; [Meinshausen, Malte; Mengel, Matthias] Potsdam Inst Climate Impact Res PIK, D-14473 Potsdam, Germany; [Wigley, Tom M. L.] Univ Adelaide, Environm Inst, Adelaide, SA 5005, Australia; [Wigley, Tom M. L.] Univ Adelaide, Sch Biol Sci, Adelaide, SA 5005, Australia; [Wigley, Tom M. L.] Natl Ctr Atmospher Res, Climate &amp; Global Dynam Div, POB 3000, Boulder, CO 80307 USA</t>
  </si>
  <si>
    <t>University of Melbourne; University of Melbourne; Potsdam Institut fur Klimafolgenforschung; University of Adelaide; University of Adelaide; National Center Atmospheric Research (NCAR) - USA</t>
  </si>
  <si>
    <t>Nauels, A (corresponding author), Univ Melbourne, Australian German Climate &amp; Energy Coll, Parkville, Vic 3010, Australia.;Nauels, A (corresponding author), Univ Melbourne, Dept Earth Sci, Parkville, Vic 3010, Australia.</t>
  </si>
  <si>
    <t>alexander.nauels@climate-energy-college.org</t>
  </si>
  <si>
    <t>Meinshausen, Malte/A-7037-2011; Meinshausen, Malte/AAG-7985-2019; Wigley, Tom M.L./B-4705-2008; Meinshausen, Malte/AAG-6505-2019</t>
  </si>
  <si>
    <t>Meinshausen, Malte/0000-0003-4048-3521; Meinshausen, Malte/0000-0003-4048-3521; Nauels, Alexander/0000-0003-1378-3377; Mengel, Matthias/0000-0001-6724-9685</t>
  </si>
  <si>
    <t>Australian Research Council (ARC) Future Fellowship [FT130100809]; Australian Research Council [DP130103261]; Australian Research Council [FT130100809] Funding Source: Australian Research Council</t>
  </si>
  <si>
    <t>Australian Research Council (ARC) Future Fellowship(Australian Research Council); Australian Research Council(Australian Research Council); Australian Research Council(Australian Research Council)</t>
  </si>
  <si>
    <t>We acknowledge the World Climate Research Programme's Working Group on Coupled Modeling, which is responsible for CMIP, and we thank the climate modeling groups for producing and making available their model output (CMIP5 models used in the present study are listed in Table 1 of this paper; see also http: //cmip-pcmdi.llnl.gov/cmip5/docs/CMIP5_modeling_groups.pdf). For CMIP the U.S. Department of Energy's Program for Climate Model Diagnosis and Intercomparison provides coordinating support and led development of software infrastructure in partnership with the Global Organization for Earth System Science Portals. We would especially like to thank B. Marzeion, X. Fettweis, F. Nick, S. Ligtenberg, A. Levermann, and Y. Wada for providing the calibration data used in this study. The authors would also like to acknowledge C. Hay and J. Church and the CSIRO for making available their GMSL reconstruction/reanalysis datasets. M. Meinshausen receives the Australian Research Council (ARC) Future Fellowship Grant FT130100809. T. M. L. Wigley is supported by the Australian Research Council under Discovery Grant DP130103261.</t>
  </si>
  <si>
    <t>10.5194/gmd-10-2495-2017</t>
  </si>
  <si>
    <t>EZ5TU</t>
  </si>
  <si>
    <t>WOS:000404782200001</t>
  </si>
  <si>
    <t>Cannone, N; Corinti, T; Malfasi, F; Gerola, P; Vianelli, A; Vanetti, I; Zaccara, S; Convey, P; Guglielmin, M</t>
  </si>
  <si>
    <t>Cannone, N.; Corinti, T.; Malfasi, F.; Gerola, P.; Vianelli, A.; Vanetti, I.; Zaccara, S.; Convey, P.; Guglielmin, M.</t>
  </si>
  <si>
    <t>Moss survival through in situ cryptobiosis after six centuries of glacier burial</t>
  </si>
  <si>
    <t>DESICCATION TOLERANCE; REGENERATION; RECOVERY; CRYPTOGAMS; LIFE</t>
  </si>
  <si>
    <t>Cryptobiosis is a reversible ametabolic state of life characterized by the ceasing of all metabolic processes, allowing survival of periods of intense adverse conditions. Here we show that 1) entire moss individuals, dated by C-14, survived through cryptobiosis during six centuries of cold-based glacier burial in Antarctica, 2) after re-exposure due to glacier retreat, instead of dying (due to high rates of respiration supporting repair processes), at least some of these mosses were able to return to a metabolically active state and remain alive. Moss survival was assessed through growth experiments and, for the first time, through vitality measurements. Future investigations on the genetic pathways involved in cryptobiosis and the subsequent recovery mechanisms will provide key information on their applicability to other systematic groups, with implications for fields as divergent as medicine, biodiversity conservation, agriculture and space exploration.</t>
  </si>
  <si>
    <t>[Cannone, N.; Malfasi, F.] Insubria Univ, Dept Sci &amp; High Technol, Via Valleggio 11, I-22100 Como, CO, Italy; [Corinti, T.; Gerola, P.; Vianelli, A.; Vanetti, I.; Zaccara, S.; Guglielmin, M.] Insubria Univ, Dept Theoret &amp; Appl Sci, Via Dunant 3, I-21100 Varese, VA, Italy; [Convey, P.] British Antarctic Survey, Nat Environm Res Council, Madingley Rd, Cambridge CB3 0ET, England</t>
  </si>
  <si>
    <t>University of Insubria; University of Insubria; UK Research &amp; Innovation (UKRI); Natural Environment Research Council (NERC); NERC British Antarctic Survey</t>
  </si>
  <si>
    <t>Cannone, N (corresponding author), Insubria Univ, Dept Sci &amp; High Technol, Via Valleggio 11, I-22100 Como, CO, Italy.</t>
  </si>
  <si>
    <t>Convey, Peter/AAV-5728-2020; Malfasi, Francesco/JTS-5575-2023; Cannone, Nicoletta/W-8651-2019; Vianelli, Alberto/A-6292-2010</t>
  </si>
  <si>
    <t>Convey, Peter/0000-0001-8497-9903; Malfasi, Francesco/0000-0002-2660-8327; Cannone, Nicoletta/0000-0002-3390-3965; Vianelli, Alberto/0000-0002-5206-3164</t>
  </si>
  <si>
    <t>PNRA (Progetto Nazionale di Ricerca in Antartide); NERC (Natural Environment Research Council); BAS (British Antarctic Survey); PNRA [2013/C1.01]; NERC [bas0100036] Funding Source: UKRI; Natural Environment Research Council [bas0100036] Funding Source: researchfish</t>
  </si>
  <si>
    <t>PNRA (Progetto Nazionale di Ricerca in Antartide); NERC (Natural Environment Research Council)(UK Research &amp; Innovation (UKRI)Natural Environment Research Council (NERC)); BAS (British Antarctic Survey); PNRA; NERC(UK Research &amp; Innovation (UKRI)Natural Environment Research Council (NERC)); Natural Environment Research Council(UK Research &amp; Innovation (UKRI)Natural Environment Research Council (NERC))</t>
  </si>
  <si>
    <t>We thank PNRA (Progetto Nazionale di Ricerca in Antartide), NERC (Natural Environment Research Council) and BAS (British Antarctic Survey) for funding and logistical support Grant: PNRA Project 2013/C1.01. We thank M. Ronchini and M. Zilio for logistical help during the growth experiment. Special thanks to Dr. Ronald I. Lewis Smith for confirmation of the taxonomic identity of the moss samples and to Dr. Irene Murgia for providing the Plant Efficiency Analyzer. This paper contributes to the SCAR AntEco (State of the Antarctic Ecosystem) research programme.</t>
  </si>
  <si>
    <t>10.1038/s41598-017-04848-6</t>
  </si>
  <si>
    <t>EZ1DX</t>
  </si>
  <si>
    <t>WOS:000404451300044</t>
  </si>
  <si>
    <t>Eisenmann, P; Fry, B; Mazumder, D; Jacobsen, G; Holyoake, CS; Coughran, D; Nash, SB</t>
  </si>
  <si>
    <t>Eisenmann, Pascale; Fry, Brian; Mazumder, Debashish; Jacobsen, Geraldine; Holyoake, Carlysle Sian; Coughran, Douglas; Nash, Susan Bengtson</t>
  </si>
  <si>
    <t>Radiocarbon as a Novel Tracer of Extra-Antarctic Feeding in Southern Hemisphere Humpback Whales</t>
  </si>
  <si>
    <t>STABLE-ISOTOPES; MEGAPTERA-NOVAEANGLIAE; BOMB RADIOCARBON; WEST-COAST; PRE-BOMB; OCEAN; CARBON; DELTA-N-15; DELTA-C-13; PREDATORS</t>
  </si>
  <si>
    <t>Bulk stable isotope analysis provides information regarding food web interactions, and has been applied to several cetacean species for the study of migration ecology. One limitation in bulk stable isotope analysis arises when a species, such as Southern hemisphere humpback whales, utilises geographically distinct food webs with differing isotopic baselines. Migrations to areas with different baselines can result in isotopic changes that mimic changes in feeding relations, leading to ambiguous food web interpretations. Here, we demonstrate the novel application of radiocarbon measurement for the resolution of such ambiguities. Radiocarbon was measured in baleen plates from humpback whales stranded in Australia between 2007 and 2013, and in skin samples collected in Australia and Antarctica from stranded and free-ranging animals. Radiocarbon measurements showed lower values for Southern Ocean feeding than for extra-Antarctic feeding in Australian waters. While the whales mostly relied on Antarctic-derived energy stores during their annual migration, there was some evidence of feeding within temperate zone waters in some individuals. This work, to our knowledge, provides the first definitive biochemical evidence for supplementary feeding by southern hemisphere humpback whales within temperate waters during migration. Further, the work contributes a powerful new tool (radiocarbon) for tracing source regions and geographical feeding.</t>
  </si>
  <si>
    <t>[Eisenmann, Pascale; Nash, Susan Bengtson] Griffith Univ, EFRI, Southern Ocean Persistent Organ Pollutants SOPOPP, Brisbane, Qld 4111, Australia; [Fry, Brian] Griffith Univ, ARI, Brisbane, Qld 4111, Australia; [Mazumder, Debashish; Jacobsen, Geraldine] ANSTO, Lucas Heights, NSW 2234, Australia; [Holyoake, Carlysle Sian] Murdoch Univ, Perth, WA 6150, Australia; [Coughran, Douglas] Dept Pk &amp; Wildlife, Kensington, WA 6151, Australia</t>
  </si>
  <si>
    <t>Griffith University; Griffith University; Australian Nuclear Science &amp; Technology Organisation; Murdoch University</t>
  </si>
  <si>
    <t>Eisenmann, P (corresponding author), Griffith Univ, EFRI, Southern Ocean Persistent Organ Pollutants SOPOPP, Brisbane, Qld 4111, Australia.</t>
  </si>
  <si>
    <t>pascale.eisenmann@griffithuni.edu.au</t>
  </si>
  <si>
    <t>Bengtson Nash, Susan/I-3942-2015; Bengtson Nash, Susan/GMX-4611-2022</t>
  </si>
  <si>
    <t>Bengtson Nash, Susan/0000-0001-5928-0850; Bengtson Nash, Susan/0000-0001-5928-0850</t>
  </si>
  <si>
    <t>Pacific Life Ocean Foundation; Australian Institute of Nuclear Science and Engineering (AINSE) [ALNSTU11199]; Griffith University (GUIPRS); Griffith University (GUPRS); ANSTO</t>
  </si>
  <si>
    <t>Pacific Life Ocean Foundation; Australian Institute of Nuclear Science and Engineering (AINSE); Griffith University (GUIPRS); Griffith University (GUPRS); ANSTO</t>
  </si>
  <si>
    <t>This project was funded by a Pacific Life Ocean Foundation grant and a post-graduate research award (PGRA #ALNSTU11199) from the Australian Institute of Nuclear Science and Engineering (AINSE) in partnership with ANSTO. P. Eisenmann acknowledges an International and a Post-Graduate Research Scholarship from Griffith University (GUIPRS and GUPRS). Baleen plates and skin samples were sourced from collections at Griffith University, the Museum of Victoria, Murdoch University, WA, and the Tasmanian Department of Primary Industries, Parks, Water and Environment (DPIPWE). The stable isotope analyses were conducted at the Stable Isotope Laboratory Griffith University by R. Diocares and R. Bak. The radiocarbon analyses were conducted at ANSTO, and we sincerely thank Fiona Doessel and Andrew Jenkinson for their help.</t>
  </si>
  <si>
    <t>JUN 29</t>
  </si>
  <si>
    <t>10.1038/s41598-017-04698-2</t>
  </si>
  <si>
    <t>EY9QC</t>
  </si>
  <si>
    <t>WOS:000404332100004</t>
  </si>
  <si>
    <t>Pope, JO; Holland, PR; Orr, A; Marshall, GJ; Phillips, T</t>
  </si>
  <si>
    <t>Pope, James O.; Holland, Paul R.; Orr, Andrew; Marshall, Gareth J.; Phillips, Tony</t>
  </si>
  <si>
    <t>The impacts of El Nino on the observed sea ice budget of West Antarctica</t>
  </si>
  <si>
    <t>El Nino; Antarctica; sea ice</t>
  </si>
  <si>
    <t>SOUTH AMERICAN MODES; ANNULAR MODE; VARIABILITY; CLIMATE; OCEAN; TRENDS; OSCILLATION; TEMPERATURE; PATTERNS; DIPOLE</t>
  </si>
  <si>
    <t>We assess the impact of El Nino-induced wind changes on seasonal West Antarctic sea ice concentrations using reanalysis data and sea ice observations. A novel ice budget analysis reveals that in autumn a previously identified east-west dipole of sea ice concentration anomalies is formed by dynamic and thermodynamic processes in response to El Nino-generated circulation changes. The dipole features decreased (increased) concentration in the Ross Sea (Amundsen and Bellingshausen Seas). Thermodynamic processes and feedback make a substantial contribution to ice anomalies in all seasons. The eastward propagation of this anomaly is partly driven by mean sea ice drift rather than anomalous winds. Our results demonstrate that linkages between sea ice anomalies and atmospheric variability are highly nonlocal in space and time. Therefore, we assert that caution should be applied when interpreting the results of studies that attribute sea ice changes without accounting for such temporally and spatially remote linkages.</t>
  </si>
  <si>
    <t>[Pope, James O.; Holland, Paul R.; Orr, Andrew; Marshall, Gareth J.; Phillips, Tony] British Antarctic Survey, Cambridge, England</t>
  </si>
  <si>
    <t>Pope, JO (corresponding author), British Antarctic Survey, Cambridge, England.</t>
  </si>
  <si>
    <t>japope@bas.ac.uk</t>
  </si>
  <si>
    <t>Holland, Paul R/G-2796-2012; Pope, James/E-9473-2017</t>
  </si>
  <si>
    <t>Marshall, Gareth/0000-0001-8887-7314; Phillips, Tony/0000-0002-3058-9157; Pope, James/0000-0001-8945-4209</t>
  </si>
  <si>
    <t>Natural Environment Research Council (NERC) [NEK/K012150/1]; NERC [NE/K00445X/1]; NERC [bas0100033, NE/K012150/1, NE/K00445X/1, bas0100032] Funding Source: UKRI; Natural Environment Research Council [NE/K00445X/1, bas0100033, bas0100032, NE/K012150/1] Funding Source: researchfish</t>
  </si>
  <si>
    <t>J.O.P., P.R.H., A.O., and G.J.M. acknowledge the support of the Natural Environment Research Council (NERC) grant: NEK/K012150/1. T.P. acknowledges the Polar Science for Planet Earth program of the British Antarctic Survey and was supported financially by NERC under grant NE/K00445X/1. We are grateful to ECMWF for the provision of the ERA-Interim meteorological fields (available here: http://apps.ecmwf.int/datasets/data/interim-mdfa/) and to the U.S. National Snow and Ice Data Center for providing sea ice data (available here: http://nsidc.org/data/docs/daac/nsidc0079_bootstrap_seaice.gd.html). The usage of these data has been cited in the text and included within the reference list. The authors declare no conflicts of interest. The authors would like to thank two anonymous reviews whose comments made useful improvements to the paper.</t>
  </si>
  <si>
    <t>JUN 28</t>
  </si>
  <si>
    <t>10.1002/2017GL073414</t>
  </si>
  <si>
    <t>FB0SG</t>
  </si>
  <si>
    <t>WOS:000405854200038</t>
  </si>
  <si>
    <t>Su, Z</t>
  </si>
  <si>
    <t>Su, Zhan</t>
  </si>
  <si>
    <t>Preconditioning of Antarctic maximum sea ice extent by upper ocean stratification on a seasonal timescale</t>
  </si>
  <si>
    <t>CIRCULATION; WATER; TRENDS; CONVECTION; PENINSULA; MODEL; STATE</t>
  </si>
  <si>
    <t>This study uses an observationally constrained and dynamically consistent ocean and sea ice state estimate. The author presents a remarkable agreement between the location of the edge of Antarctic maximum sea ice extent, reached in September, and the narrow transition band for the upper ocean (0-100 m depths) stratification, as early as April to June. To the south of this edge, the upper ocean has high stratification, which forbids convective fluxes to cross through; consequently, the ocean heat loss to the atmosphere is an efficient way to cool the surface ocean to the freezing point during April to September. To the north, the upper ocean has low stratification such that the ocean heat loss to the atmosphere is not efficient to cool the upper ocean. The upper ocean is instead cooled mainly through mixing with the colder inflow carried by northward Ekman transport but cannot reach the freezing point due to the nature of mixing. Therefore, upper ocean stratification, dominated by salinity here, provides an important constraint on the northward expansion of Antarctic sea ice to its maximum.</t>
  </si>
  <si>
    <t>[Su, Zhan] CALTECH, Jet Prop Lab, Pasadena, CA 91125 USA</t>
  </si>
  <si>
    <t>Su, Z (corresponding author), CALTECH, Jet Prop Lab, Pasadena, CA 91125 USA.</t>
  </si>
  <si>
    <t>zssu@caltech.edu</t>
  </si>
  <si>
    <t>NASA Postdoctoral Program (NPP) Fellowship</t>
  </si>
  <si>
    <t>NASA Postdoctoral Program (NPP) Fellowship(National Aeronautics &amp; Space Administration (NASA))</t>
  </si>
  <si>
    <t>The data set used in this study can be obtained from the ECCO project website (http://ecco2.org/llc_hires). General discussions about ocean-ice interaction with Andy Thompson, Ron Kwok, Dimitris Menemenlis, Ian Fenty, Ou Wang, and Hong Zhang are gratefully acknowledged. Two anonymous reviewers provided helpful comments. This research was carried out, in part, at the Jet Propulsion Laboratory, California Institute of Technology, under a contract with the National Aeronautics and Space Administration (NASA). Z.S. was supported by a NASA Postdoctoral Program (NPP) Fellowship.</t>
  </si>
  <si>
    <t>10.1002/2017GL073236</t>
  </si>
  <si>
    <t>WOS:000405854200050</t>
  </si>
  <si>
    <t>Jurkat, T; Voigt, C; Kaufmann, S; Grooss, JU; Ziereis, H; Dörnbrack, A; Hoor, P; Bozem, H; Engel, A; Bönisch, H; Keber, T; Hüneke, T; Pfeilsticker, K; Zahn, A; Walker, KA; Boone, CD; Bernath, PF; Schlager, H</t>
  </si>
  <si>
    <t>Jurkat, T.; Voigt, C.; Kaufmann, S.; Grooss, J. -U.; Ziereis, H.; Doernbrack, A.; Hoor, P.; Bozem, H.; Engel, A.; Boenisch, H.; Keber, T.; Hueneke, T.; Pfeilsticker, K.; Zahn, A.; Walker, K. A.; Boone, C. D.; Bernath, P. F.; Schlager, H.</t>
  </si>
  <si>
    <t>Depletion of ozone and reservoir species of chlorine and nitrogen oxide in the lower Antarctic polar vortex measured from aircraft</t>
  </si>
  <si>
    <t>MASS-SPECTROMETER AIMS; LOWER STRATOSPHERE; UPPER TROPOSPHERE; VALIDATION; IMPACT; HNO3; HCL; TEMPERATURE; AIR; CLIMATE</t>
  </si>
  <si>
    <t>Novel airborne in situ measurements of inorganic chlorine, nitrogen oxide species, and ozone were performed inside the lower Antarctic polar vortex and at its edge in September 2012. We focus on one flight during the Transport and Composition of the LMS/Earth System Model Validation (TACTS/ESMVal) campaign with the German research aircraft HALO (High-Altitude LOng range research aircraft), reaching latitudes of 65 degrees S and potential temperatures up to 405 K. Using the early winter correlations of reactive trace gases with N2O from the Atmospheric Chemistry Experiment-Fourier Transform Spectrometer (ACE-FTS), we find high depletion of chlorine reservoir gases up to similar to 40% (0.8 ppbv) at 12 km to 14 km altitude in the vortex and 0.4 ppbv at the edge in subsided stratospheric air with mean ages up to 4.5 years. We observe denitrification of up to 4 ppbv, while ozone was depleted by 1.2 ppmv at potential temperatures as low as 380 K. The advanced instrumentation aboard HALO enables high-resolution measurements with implications for the oxidation capacity of the lowermost stratosphere. Plain Language Summary Chemistry climate models reveal large uncertainties in the future ozone projection until the end of the century in the lower polar and midlatitude stratosphere. One process that impacts the ozone lifetime during the polar winter is the formation of active chlorine from chlorine reservoir species. Here we present high-resolution measurements performed aboard the new German research aircraft HALO (High-Altitude LOng range research aircraft) in the lower Antarctic vortex in winter 2012. We find significant amounts of active chlorine in the lower vortex that has been transported from higher altitudes and latitudes to the flight altitude of HALO (similar to 14 km). This enhanced activated chlorine content has implications on the ozone lifetime in this region. Our measurements complement satellite observations but feature higher-altitude resolution and extend to lower altitudes. With our case study we investigate the intersection of midlatitude and polar air as well as the effects of transport from the upper to the lower polar vortex. These process studies help to improve chemistry climate models.</t>
  </si>
  <si>
    <t>[Jurkat, T.; Voigt, C.; Kaufmann, S.; Ziereis, H.; Doernbrack, A.; Schlager, H.] Inst Phys Atmosphare, Deutsch Zentrum Luft &amp; Raumfahrt, Oberpfaffenhofen, Germany; [Voigt, C.; Hoor, P.; Bozem, H.] Johannes Gutenberg Univ Mainz, Inst Atmospher Phys, Mainz, Germany; [Grooss, J. -U.] Forschungszentrum Julich, Inst Energie &amp; Klimaforsch Stratosphare, Julich, Germany; [Engel, A.; Boenisch, H.; Keber, T.] Goethe Univ Frankfurt, Inst Atmospher &amp; Environm Sci, Frankfurt, Germany; [Boenisch, H.; Zahn, A.] Karlsruhe Inst Technol, Karlsruhe, Germany; [Hueneke, T.; Pfeilsticker, K.] Heidelberg Univ, Inst Environm Phys, Heidelberg, Germany; [Walker, K. A.] Univ Toronto, Dept Phys, Toronto, ON, Canada; [Boone, C. D.] Univ Waterloo, Dept Chem, Waterloo, ON, Canada; [Bernath, P. F.] Old Dominion Univ, Dept Chem &amp; Biochem, Norfolk, VA USA</t>
  </si>
  <si>
    <t>Helmholtz Association; German Aerospace Centre (DLR); Johannes Gutenberg University of Mainz; Helmholtz Association; Research Center Julich; Goethe University Frankfurt; Helmholtz Association; Karlsruhe Institute of Technology; Ruprecht Karls University Heidelberg; University of Toronto; University of Waterloo; Old Dominion University</t>
  </si>
  <si>
    <t>Jurkat, T (corresponding author), Inst Phys Atmosphare, Deutsch Zentrum Luft &amp; Raumfahrt, Oberpfaffenhofen, Germany.</t>
  </si>
  <si>
    <t>tina.jurkat@dlr.de</t>
  </si>
  <si>
    <t>1294, HALO SPP/AAA-7658-2021; hoor, peter m/G-5421-2010; Bernath, Peter F/B-6567-2012; Grooß, Jens-Uwe/N-3305-2019; Grooß, Jens-Uwe/A-7315-2013; Zahn, Andreas/K-2567-2012; Engel, Andreas/E-3100-2014; Bozem, Heiko/O-2702-2016; Voigt, Christiane/G-3279-2010</t>
  </si>
  <si>
    <t>hoor, peter m/0000-0001-6582-6864; Bernath, Peter F/0000-0002-1255-396X; Grooß, Jens-Uwe/0000-0002-9485-866X; Grooß, Jens-Uwe/0000-0002-9485-866X; Zahn, Andreas/0000-0003-3153-3451; Engel, Andreas/0000-0003-0557-3935; Bozem, Heiko/0000-0003-2412-9864; Voigt, Christiane/0000-0001-8925-7731; Bonisch, Harald/0000-0002-1004-0861</t>
  </si>
  <si>
    <t>Deutsche Forschungsgemeinschaft (DFG) [HALO-SPP 1294, JU 3059/1-1, VO 1504/4-1, PF-384/7-1, PF-384/7-2, PF384/9-1, W2/W3-60]; Helmholtz Association [W2/W3-60]; Canadian Space Agency; Natural Sciences and Engineering Research Council of Canada</t>
  </si>
  <si>
    <t>Deutsche Forschungsgemeinschaft (DFG)(German Research Foundation (DFG)); Helmholtz Association(Helmholtz Association); Canadian Space Agency(Canadian Space Agency); Natural Sciences and Engineering Research Council of Canada(Natural Sciences and Engineering Research Council of Canada (NSERC)CGIAR)</t>
  </si>
  <si>
    <t>This research was funded by the Deutsche Forschungsgemeinschaft (DFG, HALO-SPP 1294) via grants JU 3059/1-1 and VO 1504/4-1 (T.J. and C.V.), PF-384/7-1, PF-384/7-2, and PF384/9-1 (K.P. and T.H.). C.V., T.J., and S.K. thank financing by the Helmholtz Association under contract W2/W3-60. We also thank three anonymous reviewers for their valuable comments. The Atmospheric Chemistry Experiment (ACE), also known as SCISAT, is a Canadian-led mission mainly supported by the Canadian Space Agency and the Natural Sciences and Engineering Research Council of Canada. The in situ data can be found in the HALO database (https://halo-db. pa.op.dlr.de/). The ACE-FTS data can be downloaded from http://www.ace.uwaterloo.ca. (registration required).</t>
  </si>
  <si>
    <t>10.1002/2017GL073270</t>
  </si>
  <si>
    <t>WOS:000405854200065</t>
  </si>
  <si>
    <t>Marzocchi, A; Jansen, MF</t>
  </si>
  <si>
    <t>Marzocchi, Alice; Jansen, Malte F.</t>
  </si>
  <si>
    <t>Connecting Antarctic sea ice to deep-ocean circulation in modern and glacial climate simulations</t>
  </si>
  <si>
    <t>MERIDIONAL OVERTURNING CIRCULATION; SOUTHERN-OCEAN; ATMOSPHERIC CO2; ATLANTIC-OCEAN; CARBON-CYCLE; NCAR-CCSM; MAXIMUM; STRATIFICATION; TEMPERATURE; WESTERLIES</t>
  </si>
  <si>
    <t>Antarctic sea-ice formation plays a key role in shaping the abyssal overturning circulation and stratification in all ocean basins, by driving surface buoyancy loss through the associated brine rejection. Changes in Antarctic sea ice have therefore been suggested as drivers of major glacial-interglacial ocean circulation rearrangements. Here, the relationship between Antarctic sea ice, buoyancy loss, deep-ocean stratification, and overturning circulation is investigated in Last Glacial Maximum and preindustrial simulations from the Paleoclimate Modelling Intercomparison Project (PMIP). The simulations show substantial intermodel differences in their representation of the glacial deep-ocean state and circulation, which is often at odds with the geological evidence. We argue that these apparent inconsistencies can largely be attributed to differing (and likely insufficient) Antarctic sea-ice formation. Discrepancies can be further amplified by short integration times. Deep-ocean equilibration and sea-ice representation should, therefore, be carefully evaluated in the forthcoming PMIP4 simulations.</t>
  </si>
  <si>
    <t>[Marzocchi, Alice; Jansen, Malte F.] Univ Chicago, Dept Geophys Sci, Chicago, IL 60637 USA</t>
  </si>
  <si>
    <t>University of Chicago</t>
  </si>
  <si>
    <t>Marzocchi, A (corresponding author), Univ Chicago, Dept Geophys Sci, Chicago, IL 60637 USA.</t>
  </si>
  <si>
    <t>amarzocchi@uchicago.edu</t>
  </si>
  <si>
    <t>Jansen, Malte/ABB-4451-2020</t>
  </si>
  <si>
    <t>Jansen, Malte/0000-0003-3894-1124; Marzocchi, Alice/0000-0002-3430-3574</t>
  </si>
  <si>
    <t>National Science Foundation [1536454]; Directorate For Geosciences; Division Of Ocean Sciences [1536454] Funding Source: National Science Foundation</t>
  </si>
  <si>
    <t>We thank Ruza Ivanovic, the Editor, and three anonymous reviewers for valuable comments and the modeling groups participating in PMIP for making their model output available. Links to the PMIP data repositories are provided in the SI; data from the idealized simulations can be obtained from MFJ (e-mail:mfj@uchicago.edu). This work was funded by the National Science Foundation under award 1536454.</t>
  </si>
  <si>
    <t>10.1002/2017GL073936</t>
  </si>
  <si>
    <t>WOS:000405854200048</t>
  </si>
  <si>
    <t>Jungblut, AD; Hawes, I</t>
  </si>
  <si>
    <t>Jungblut, Anne D.; Hawes, Ian</t>
  </si>
  <si>
    <t>Using Captain Scott's Discovery specimens to unlock the past: has Antarctic cyanobacterial diversity changed over the last 100 years?</t>
  </si>
  <si>
    <t>Antarctica; cyanobacteria; climatic change; 16S rRNA gene; freshwater; historic collections</t>
  </si>
  <si>
    <t>MCMURDO DRY VALLEYS; MICROBIAL MATS; PONDS</t>
  </si>
  <si>
    <t>Evidence of climate-driven environmental change is increasing in Antarctica, and with it comes concern that this will propagate to impacts on biological communities. Recognition and prediction of change needs to incorporate the extent and timescales over which communities vary under extant conditions. However, few observations of Antarctic microbial communities, which dominate inland habitats, allow this. We therefore carried out the first molecular comparison of Cyanobacteria in historic herbarium microbial mats from freshwater ecosystems on Ross Island and the McMurdo Ice Shelf, collected by Captain R.F. Scott's 'Discovery' Expedition (1902-1903), with modern samples from those areas. Using 16S rRNA gene surveys, we found that modern and historic cyanobacteria assemblages showed some variation in community structure but were dominated by the same genotypes. Modern communities had a higher richness, including genotypes not found in historic samples, but they had the highest similarity to other cyanobacteria sequences from Antarctica. The results imply slow cyanobacterial 16S rRNA gene genotype turnover and considerable community stability within Antarctic microbial mats. We suggest that this relates to Antarctic freshwater 'organisms requiring a capacity to withstand diverse stresses, and that this could also provide a degree of resistance and resilience to future climatic-driven environmental change in Antarctica.</t>
  </si>
  <si>
    <t>[Jungblut, Anne D.] Nat Hist Museum, Life Sci Dept, Cromwell Rd, London SW7 5BD, England; [Hawes, Ian] Univ Waikato, 58 Cross Rd, Tauranga 3110, New Zealand</t>
  </si>
  <si>
    <t>Natural History Museum London; University of Waikato</t>
  </si>
  <si>
    <t>Jungblut, AD (corresponding author), Nat Hist Museum, Life Sci Dept, Cromwell Rd, London SW7 5BD, England.</t>
  </si>
  <si>
    <t>a.jungblut@nhm.ac.uk</t>
  </si>
  <si>
    <t>Jungblut, Anne D./0000-0002-4569-8233; Hawes, Ian/0000-0003-2471-6903</t>
  </si>
  <si>
    <t>Royal Society; British Phycological Project Award</t>
  </si>
  <si>
    <t>Royal Society(Royal Society); British Phycological Project Award</t>
  </si>
  <si>
    <t>The work was supported by a Royal Society Research Grant and British Phycological Project Award to A.D.J.</t>
  </si>
  <si>
    <t>10.1098/rspb.2017.0833</t>
  </si>
  <si>
    <t>FB2EC</t>
  </si>
  <si>
    <t>WOS:000405955900015</t>
  </si>
  <si>
    <t>Mcinnes, SJ; Michalczyk, L; Kaczmarek, L</t>
  </si>
  <si>
    <t>Mcinnes, Sandra J.; Michalczyk, Lukasz; Kaczmarek, Lukasz</t>
  </si>
  <si>
    <t>Annotated zoogeography of non-marine Tardigrada. Part IV: Africa</t>
  </si>
  <si>
    <t>biogeography; species list; tardigrades; taxonomy</t>
  </si>
  <si>
    <t>SP-NOV EUTARDIGRADA; MACROBIOTUS-HUFELANDI GROUP; BEITRAGE ZUR KENNTNIS; SP N. EUTARDIGRADA; MOLECULAR-DATA; SOUTH-AFRICA; 1ST RECORD; FAUNA; PHYLOGENY; GENUS</t>
  </si>
  <si>
    <t>This paper is the fourth monograph in a series that describes the global records of limno-terrestrial water bears (Tardigrada). Here, we provide a comprehensive list of non-marine tardigrades recorded from Africa, providing an updated and revised taxonomy accompanied by geographic co-ordinates, habitat, and biogeographic comments. It is hoped this work will serve as a reference point and background for further zoogeographical and taxonomical studies.</t>
  </si>
  <si>
    <t>[Mcinnes, Sandra J.] British Antarctic Survey, Madingley Rd, Cambridge CB3 0ET, England; [Michalczyk, Lukasz] Jagiellonian Univ, Inst Zool, Dept Entomol, Gronostajowa 9, PL-30387 Krakow, Poland; [Kaczmarek, Lukasz] Adam Mickiewicz Univ, Fac Biol, Dept Anim Taxon &amp; Ecol, Umultowska 89, PL-61614 Poznan, Poland; [Kaczmarek, Lukasz] Univ Estatal Amazon, Lab Ecol Nat &amp; Aplicada Invertebrados, Campus Principal Km 2-1-2 Via Napo, Pastaza, Ecuador</t>
  </si>
  <si>
    <t>UK Research &amp; Innovation (UKRI); Natural Environment Research Council (NERC); NERC British Antarctic Survey; Jagiellonian University; Adam Mickiewicz University</t>
  </si>
  <si>
    <t>Mcinnes, SJ (corresponding author), British Antarctic Survey, Madingley Rd, Cambridge CB3 0ET, England.</t>
  </si>
  <si>
    <t>s.mcinnes@bas.ac.uk; LM@tardigrada.net; kaczmar@amu.edu.pl</t>
  </si>
  <si>
    <t>McInnes, Sandra/AAN-4773-2020; Kaczmarek, Lukasz/A-2000-2008; Michalczyk, Lukasz/D-1362-2009</t>
  </si>
  <si>
    <t>McInnes, Sandra/0000-0003-3403-9379; Michalczyk, Lukasz/0000-0002-2912-4870</t>
  </si>
  <si>
    <t>NERC [bas010011] Funding Source: UKRI</t>
  </si>
  <si>
    <t>NERC(UK Research &amp; Innovation (UKRI)Natural Environment Research Council (NERC))</t>
  </si>
  <si>
    <t>10.11646/zootaxa.4284.1.1</t>
  </si>
  <si>
    <t>EY6OS</t>
  </si>
  <si>
    <t>WOS:000404103600001</t>
  </si>
  <si>
    <t>Orr, A; Listowski, C; Couttet, M; Collier, E; Immerzeel, W; Deb, P; Bannister, D</t>
  </si>
  <si>
    <t>Orr, A.; Listowski, C.; Couttet, M.; Collier, E.; Immerzeel, W.; Deb, P.; Bannister, D.</t>
  </si>
  <si>
    <t>Sensitivity of simulated summer monsoonal precipitation in Langtang Valley, Himalaya, to cloud microphysics schemes in WRF</t>
  </si>
  <si>
    <t>TIBETAN PLATEAU; BULK PARAMETERIZATION; SNOW COVER; CLIMATE; RESOLUTION; WATER; ASIA; VARIABILITY; RUNOFF; REANALYSIS</t>
  </si>
  <si>
    <t>A better understanding of regional-scale precipitation patterns in the Himalayan region is required to increase our knowledge of the impacts of climate change on downstream water availability. This study examines the impact of four cloud microphysical schemes (Thompson, Morrison, Weather Research and Forecasting (WRF) single-moment 5-class, and WRF double-moment 6-class) on summer monsoon precipitation in the Langtang Valley in the central Nepalese Himalayas, as simulated by the WRF model at 1 km grid spacing for a 10 day period in July 2012. The model results are evaluated through a comparison with surface precipitation and radiation measurements made at two observation sites. Additional understanding is gained from a detailed examination of the microphysical characteristics simulated by each scheme, which are compared with measurements using a spaceborne radar/lidar cloud product. Also examined are the roles of large- and small-scale forcings. In general, the schemes are able to capture the timing of surface precipitation better than the actual amounts in the Langtang Valley, which are predominately underestimated, with the Morrison scheme showing the best agreement with the measured values. The schemes all show a large positive bias in incoming radiation. Analysis of the radar/lidar cloud product and hydrometeors from each of the schemes suggests that cold-rain processes are a key precipitation formation mechanism, which is also well represented by the Morrison scheme. As well as microphysical structure, both large-scale and localized forcings are also important for determining surface precipitation.</t>
  </si>
  <si>
    <t>[Orr, A.; Listowski, C.; Deb, P.; Bannister, D.] British Antarctic Survey, Cambridge, England; [Listowski, C.] UPMC Univ Paris 06, UVSQ Univ Paris Saclay, CNRS, LATMOS,IPSL, Guyancourt, France; [Couttet, M.] Ecole Polytech Fed Lausanne, Sch Architecture Civil &amp; Environm Engn, Lausanne, Switzerland; [Collier, E.] Friedrich Alexander Univ Erlangen Nurnberg, Inst Geog, Climate Syst Res Grp, Erlangen, Germany; [Immerzeel, W.] Univ Utrecht, Dept Phys Geog, Utrecht, Netherlands</t>
  </si>
  <si>
    <t>UK Research &amp; Innovation (UKRI); Natural Environment Research Council (NERC); NERC British Antarctic Survey; Universite Paris Cite; Sorbonne Universite; Universite Paris Saclay; Centre National de la Recherche Scientifique (CNRS); Swiss Federal Institutes of Technology Domain; Ecole Polytechnique Federale de Lausanne; University of Erlangen Nuremberg; Utrecht University</t>
  </si>
  <si>
    <t>Orr, A (corresponding author), British Antarctic Survey, Cambridge, England.</t>
  </si>
  <si>
    <t>anmcr@bas.ac.uk</t>
  </si>
  <si>
    <t>Listowski, Constantino/X-8595-2019; Immerzeel, Walter W/E-2489-2012</t>
  </si>
  <si>
    <t>Listowski, Constantino/0000-0001-8693-8689; Collier, Emily/0000-0001-7314-3000; Bannister, Daniel/0000-0002-2982-3751; Immerzeel, Walter/0000-0002-2010-9543</t>
  </si>
  <si>
    <t>Natural Environment Research Council (NERC); NERC [NE/K01305X/1, NE/K00445X/1, NE/N015592/1]; CNES; Natural Environment Research Council [NE/R000107/1, NE/K01305X/1, NE/N015592/1, bas0100032, NE/K00445X/1] Funding Source: researchfish; NERC [NE/K01305X/1, NE/K00445X/1, bas0100032, NE/N015592/1, NE/R000107/1] Funding Source: UKRI</t>
  </si>
  <si>
    <t>Natural Environment Research Council (NERC)(UK Research &amp; Innovation (UKRI)Natural Environment Research Council (NERC)); NERC(UK Research &amp; Innovation (UKRI)Natural Environment Research Council (NERC)); CNES(Centre National D'etudes Spatiales); Natural Environment Research Council(UK Research &amp; Innovation (UKRI)Natural Environment Research Council (NERC)); NERC(UK Research &amp; Innovation (UKRI)Natural Environment Research Council (NERC))</t>
  </si>
  <si>
    <t>Data from the WRF experiments and the measurements from sites 1 and 2 may be obtained on request from A. O. (e-mail: anmcr@bas.ac.uk). The SRTM data were provided by A. Jarvis, and can be downloaded from http://www.cgiar-csi.org/data/srtm-90m-digital-elevation-database-v4-1. The DARDAR-MASK data were obtained from the French ICARE (Cloud-Aerosol-Water-Radiation Interactions) data center and can be downloaded from the ICARE website at http://www.icare.univ-lille1.fr/. The TRMM data were obtained freely from https://pmm.nasa.gov/data-access/downloads/trmm. The ERA Interim data were also obtained freely and can be obtained from https://www.ecmwf.int/en/research/climate-reanalysis/era-interim. This study is part of the British Antarctic Survey Polar Science for Planet Earth Programme, funded by the Natural Environment Research Council (NERC). C.L. was supported by NERC under grant NE/K01305X/1. C.L. also thanks CNES for postdoctoral fellowship funding. P.D. was supported by NERC under grant NE/K00445X/1. D.B. was supported by NERC under grant NE/N015592/1. C.L. thanks Julien Delanoe for useful discussions about DARDAR products. Finally, the authors are grateful to the three anonymous referees whose comments helped considerably to improve the study.</t>
  </si>
  <si>
    <t>JUN 27</t>
  </si>
  <si>
    <t>10.1002/2016JD025801</t>
  </si>
  <si>
    <t>FA5WE</t>
  </si>
  <si>
    <t>WOS:000405514000011</t>
  </si>
  <si>
    <t>Hossaini, R; Chipperfield, MP; Montzka, SA; Leeson, AA; Dhomse, SS; Pyle, JA</t>
  </si>
  <si>
    <t>Hossaini, Ryan; Chipperfield, Martyn P.; Montzka, Stephen A.; Leeson, Amber A.; Dhomse, Sandip S.; Pyle, John A.</t>
  </si>
  <si>
    <t>The increasing threat to stratospheric ozone from dichloromethane</t>
  </si>
  <si>
    <t>CHEMISTRY-CLIMATE MODEL; ANTARCTIC OZONE; ORGANIC BROMINE; MONTREAL PROTOCOL; CHLORINE; RECOVERY; SENSITIVITY; REDUCTIONS; SUBSTANCES; EMISSIONS</t>
  </si>
  <si>
    <t>It is well established that anthropogenic chlorine-containing chemicals contribute to ozone layer depletion. The successful implementation of the Montreal Protocol has led to reductions in the atmospheric concentration of many ozone-depleting gases, such as chlorofluorocarbons. As a consequence, stratospheric chlorine levels are declining and ozone is projected to return to levels observed pre-1980 later this century. However, recent observations show the atmospheric concentration of dichloromethane-an ozone-depleting gas not controlled by the Montreal Protocol-is increasing rapidly. Using atmospheric model simulations, we show that although currently modest, the impact of dichloromethane on ozone has increased markedly in recent years and if these increases continue into the future, the return of Antarctic ozone to pre-1980 levels could be substantially delayed. Sustained growth in dichloromethane would therefore offset some of the gains achieved by the Montreal Protocol, further delaying recovery of Earth's ozone layer.</t>
  </si>
  <si>
    <t>[Hossaini, Ryan; Leeson, Amber A.] Univ Lancaster, Lancaster Environm Ctr, Lancaster LA1 4YQ, England; [Chipperfield, Martyn P.; Dhomse, Sandip S.] Univ Leeds, Sch Earth &amp; Environm, Leeds LS2 9JT, W Yorkshire, England; [Chipperfield, Martyn P.; Dhomse, Sandip S.] Univ Leeds, Natl Ctr Earth Observat, Leeds LS2 9JT, W Yorkshire, England; [Montzka, Stephen A.] NOAA, Boulder, CO 80305 USA; [Pyle, John A.] Univ Cambridge, Dept Chem, Cambridge CB2 1EW, England; [Pyle, John A.] Univ Cambridge, Natl Ctr Atmospher Sci, Cambridge CB2 1EW, England</t>
  </si>
  <si>
    <t>Lancaster University; University of Leeds; University of Leeds; National Oceanic Atmospheric Admin (NOAA) - USA; University of Cambridge; University of Cambridge; UK Research &amp; Innovation (UKRI); Natural Environment Research Council (NERC); NERC National Centre for Atmospheric Science</t>
  </si>
  <si>
    <t>Hossaini, R (corresponding author), Univ Lancaster, Lancaster Environm Ctr, Lancaster LA1 4YQ, England.</t>
  </si>
  <si>
    <t>r.hossaini@lancaster.ac.uk</t>
  </si>
  <si>
    <t>Dhomse, Sandip/C-8198-2011; Hossaini, Ryan/F-7134-2015; montzka, stephen/V-6162-2019; Leeson, Amber/JFA-1001-2023; Chipperfield, Martyn/H-6359-2013</t>
  </si>
  <si>
    <t>Dhomse, Sandip/0000-0003-3854-5383; montzka, stephen/0000-0002-9396-0400; Chipperfield, Martyn/0000-0002-6803-4149; Leeson, Amber/0000-0001-8720-9808; Hossaini, Ryan/0000-0003-2395-6657</t>
  </si>
  <si>
    <t>Natural Environment Research Council (NERC) [NE/N014375/1]; European Research Council (ERC) under the ACCI project [267760]; Royal Society; NOAA Climate Program Office's AC4 programme; NERC [NE/R001782/1, NE/J02449X/1, NE/N014375/1] Funding Source: UKRI; Natural Environment Research Council [NE/R001782/1, NE/J02449X/1, NE/N014375/1] Funding Source: researchfish</t>
  </si>
  <si>
    <t>Natural Environment Research Council (NERC)(UK Research &amp; Innovation (UKRI)Natural Environment Research Council (NERC)); European Research Council (ERC) under the ACCI project(European Research Council (ERC)); Royal Society(Royal Society); NOAA Climate Program Office's AC4 programme; NERC(UK Research &amp; Innovation (UKRI)Natural Environment Research Council (NERC)); Natural Environment Research Council(UK Research &amp; Innovation (UKRI)Natural Environment Research Council (NERC))</t>
  </si>
  <si>
    <t>R.H. thanks the Natural Environment Research Council (NERC) for funding a research fellowship (NE/N014375/1). We thank the European Research Council (ERC) for support under the ACCI project (Project number 267760). M.P.C. thanks the Royal Society for a Wolfson Research Merit Award. We thank Wuhu Feng (NCAS) for help with SLIMCAT. This work was performed using the Archer and ARC2 high performance computing facilities. NOAA measurements were supported in part by the NOAA Climate Program Office's AC4 programme. We thank the two anonymous reviewers and Dr Robyn Schofield whose constructive comments strengthened the manuscript.</t>
  </si>
  <si>
    <t>10.1038/ncomms15962</t>
  </si>
  <si>
    <t>EY6YG</t>
  </si>
  <si>
    <t>WOS:000404130000001</t>
  </si>
  <si>
    <t>Macqueen, DJ; Primmer, CR; Houston, RD; Nowak, BF; Bernatchez, L; Bergseth, S; Davidson, WS; Gallardo-Escárate, C; Goldammer, T; Guiguen, Y; Iturra, P; Kijas, JW; Koop, BF; Lien, S; Maass, A; Martin, SAM; McGinnity, P; Montecino, M; Naish, KA; Nichols, KM; Olafsson, K; Omholt, SW; Palti, Y; Plastow, GS; Rexroad, CE; Rise, ML; Ritchie, RJ; Sandve, SR; Schulte, PM; Tello, A; Vidal, R; Vik, JO; Wargelius, A; Yañez, JM</t>
  </si>
  <si>
    <t>Macqueen, Daniel J.; Primmer, Craig R.; Houston, Ross D.; Nowak, Barbara F.; Bernatchez, Louis; Bergseth, Steinar; Davidson, William S.; Gallardo-Escarate, Cristian; Goldammer, Tom; Guiguen, Yann; Iturra, Patricia; Kijas, James W.; Koop, Ben F.; Lien, Sigbjorn; Maass, Alejandro; Martin, Samuel A. M.; McGinnity, Philip; Montecino, Martin; Naish, Kerry A.; Nichols, Krista M.; Olafsson, Kristinn; Omholt, Stig W.; Palti, Yniv; Plastow, Graham S.; Rexroad, Caird E., III; Rise, Matthew L.; Ritchie, Rachael J.; Sandve, Simen R.; Schulte, Patricia M.; Tello, Alfredo; Vidal, Rodrigo; Vik, Jon Olav; Wargelius, Anna; Yanez, Jose Manuel</t>
  </si>
  <si>
    <t>FAASG Consortium</t>
  </si>
  <si>
    <t>Functional Annotation of All Salmonid Genomes (FAASG): an international initiative supporting future salmonid research, conservation and aquaculture</t>
  </si>
  <si>
    <t>Salmonid fish; Genome biology; Functional annotation; Comparative biology; Standardized data and metadata; Data sharing; Aquaculture; Whole genome duplication; Evolution; Phenotyping</t>
  </si>
  <si>
    <t>ATLANTIC SALMON; RAINBOW-TROUT; ADAPTIVE DIVERGENCE; WILD POPULATIONS; DNA METHYLATION; CHIP-SEQ; EVOLUTION; INSIGHTS; FISH; RESISTANCE</t>
  </si>
  <si>
    <t>We describe an emerging initiative - the 'Functional Annotation of All Salmonid Genomes' (FAASG), which will leverage the extensive trait diversity that has evolved since a whole genome duplication event in the salmonid ancestor, to develop an integrative understanding of the functional genomic basis of phenotypic variation. The outcomes of FAASG will have diverse applications, ranging from improved understanding of genome evolution, to improving the efficiency and sustainability of aquaculture production, supporting the future of fundamental and applied research in an iconic fish lineage of major societal importance.</t>
  </si>
  <si>
    <t>[Macqueen, Daniel J.; Martin, Samuel A. M.] Univ Aberdeen, Inst Biol &amp; Environm Sci, Aberdeen AB24 2TZ, Scotland; [Primmer, Craig R.] Univ Turku, Dept Biol, Turku 20014, Finland; [Houston, Ross D.] Univ Edinburgh, Roslin Inst, Roslin EH25 9RG, Midlothian, Scotland; [Houston, Ross D.] Univ Edinburgh, Royal Dick Sch Vet Studies, Roslin EH25 9RG, Midlothian, Scotland; [Nowak, Barbara F.] Univ Tasmania, Inst Marine &amp; Antarctic Studies, Launceston, Tas, Australia; [Bernatchez, Louis] Univ Laval, IBIS, Dept Biol, Quebec City, PQ G1V 0A6, Canada; [Bergseth, Steinar] Res Council Norway, Drammensveien 288,POB 564, NO-1327 Lysaker, Norway; [Davidson, William S.] Simon Fraser Univ, Dept Mol Biol &amp; Biochem, Burnaby, BC V5A 1S6, Canada; [Gallardo-Escarate, Cristian] Univ Concepcion, Lab Biotechnol &amp; Aquat Genom, Interdisciplinary Ctr Aquaculture Res, Dept Oceanog, Concepcion 4030000, Chile; [Goldammer, Tom] Leibniz Inst Farm Anim Biol, Inst Genome Biol, Fish Genet Unit, Wilhelm Stahl Allee 2, D-18196 Dummerstorf, Germany; [Guiguen, Yann] INRA, Fish Physiol &amp; Genom UR1037, Rennes, France; [Iturra, Patricia] Univ Chile, Human Genet Program, ICBM Fac Med, Santiago, Chile; [Kijas, James W.] CSIRO Agr, St Lucia, Qld 4067, Australia; [Koop, Ben F.] Univ Victoria, Dept Biol, Victoria, BC V8W 3N5, Canada; [Lien, Sigbjorn; Omholt, Stig W.; Sandve, Simen R.; Vik, Jon Olav] Norwegian Univ Life Sci, Dept Anim &amp; Aquacultural Sci, Ctr Integrat Genet CIGENE, NO-1432 As, Norway; [Maass, Alejandro] Univ Chile, Dept Math Engn, Ctr Math Modelling, Santiago 8370456, Chile; [Maass, Alejandro] Univ Chile, Ctr Genome Regulat, Santiago 8370456, Chile; [McGinnity, Philip] Univ Coll Cork, Sch Biol Earth &amp; Environm Sci, Cork, Ireland; [Montecino, Martin] Univ Andres Bello, Ctr Biomed Res, Santiago 8370146, Chile; [Montecino, Martin] Univ Andres Bello, FONDAP Ctr Genome Regulat, Fac Biol Sci, Santiago 8370146, Chile; [Montecino, Martin] Univ Andres Bello, Fac Med, Santiago 8370146, Chile; [Naish, Kerry A.] Univ Washington, Sch Aquat &amp; Fishery Sci, Box 355020, Seattle, WA 98195 USA; [Nichols, Krista M.] NOAA, Conservat Biol Div, Northwest Fisheries Sci Ctr, Natl Marine Fisheries Serv, 2725 Montlake Blvd E, Seattle, WA 98112 USA; [Olafsson, Kristinn] Matis Ltd, Vinlandsleid 12, IS-113 Reykjavik, Iceland; [Omholt, Stig W.] NTNU Norwegian Univ Sci &amp; Technol, NO-7491 Trondheim, Norway; [Palti, Yniv] ARS, Natl Ctr Cool &amp; Cold Water Aquaculture, USDA, 11861 Leetown Rd, Kearneysville, WV 25430 USA; [Plastow, Graham S.] Univ Alberta, Dept Agr Food &amp; Nutr Sci, Edmonton, AB, Canada; [Rexroad, Caird E., III] ARS, Off Natl Programs, USDA, 5601 Sunnyside Ave, Beltsville, MD 20705 USA; [Rise, Matthew L.] Mem Univ Newfoundland, Dept Ocean Sci, 1 Marine Lab Rd, St John, NF A1C 5S7, Canada; [Ritchie, Rachael J.] Genome British Columbia, Suite 400-575,West 8th Ave, Vancouver, BC V5Z 0C4, Canada; [Schulte, Patricia M.] Univ British Columbia, Dept Zool, 6270 Univ Blvd, Vancouver, BC V6T 1Z4, Canada; [Tello, Alfredo] Inst Tecnol Salmon SA, INTESAL SalmonChile, Puerto Montt, Chile; [Vidal, Rodrigo] Univ Santiago, Dept Biol, Lab Mol Ecol Genom &amp; Evolutionary Studies, Santiago 9170022, Chile; [Wargelius, Anna] Inst Marine Res, POB 1870, NO-5817 Bergen, Norway; [Yanez, Jose Manuel] Univ Chile, Fac Vet &amp; Anim Sci, Av Santa Rosa 11735, Santiago, Chile; [Yanez, Jose Manuel] Aquainnovo, Cardonal S-N, Puerto Montt, Chile</t>
  </si>
  <si>
    <t>University of Aberdeen; University of Turku; University of Edinburgh; UK Research &amp; Innovation (UKRI); Biotechnology and Biological Sciences Research Council (BBSRC); Roslin Institute; University of Edinburgh; University of Tasmania; Laval University; Research Council of Norway; Simon Fraser University; Universidad de Concepcion; Forschungsinstitut fur Nutztierbiologie (FBN); INRAE; Universite de Rennes; Universidad de Chile; Commonwealth Scientific &amp; Industrial Research Organisation (CSIRO); University of Victoria; Norwegian University of Life Sciences; Universidad de Chile; Universidad de Chile; University College Cork; Universidad Andres Bello; Universidad Andres Bello; Universidad Andres Bello; University of Washington; University of Washington Seattle; National Oceanic Atmospheric Admin (NOAA) - USA; Norwegian University of Science &amp; Technology (NTNU); United States Department of Agriculture (USDA); University of Alberta; United States Department of Agriculture (USDA); Memorial University Newfoundland; University of British Columbia; Universidad de Santiago de Chile; Institute of Marine Research - Norway; Universidad de Chile</t>
  </si>
  <si>
    <t>Macqueen, DJ (corresponding author), Univ Aberdeen, Inst Biol &amp; Environm Sci, Aberdeen AB24 2TZ, Scotland.;Primmer, CR (corresponding author), Univ Turku, Dept Biol, Turku 20014, Finland.;Houston, RD (corresponding author), Univ Edinburgh, Roslin Inst, Roslin EH25 9RG, Midlothian, Scotland.;Houston, RD (corresponding author), Univ Edinburgh, Royal Dick Sch Vet Studies, Roslin EH25 9RG, Midlothian, Scotland.;Nowak, BF (corresponding author), Univ Tasmania, Inst Marine &amp; Antarctic Studies, Launceston, Tas, Australia.</t>
  </si>
  <si>
    <t>daniel.macqueen@abdn.ac.uk; craig.primmer@helsinki.fi; ross.houston@roslin.ed.ac.uk; b.nowak@utas.edu.au</t>
  </si>
  <si>
    <t>Davidson, Willie/M-1992-2019; Koop, Ben F./A-8151-2008; Vik, Jon Olav/B-9350-2008; Schulte, Patricia M./AAB-3934-2019; Kijas, James W/A-4656-2011; Gallardo-Escárate, Cristian/AAE-8980-2022; Yáñez, José M/H-5279-2013; Gallardo-Escárate, Cristian/J-8702-2014; Maass, Alejandro E/D-5848-2012; Nowak, Barbara/J-7261-2014; Naish, Kerry-Ann/F-5768-2014; Primmer, Craig/B-8179-2008</t>
  </si>
  <si>
    <t>Koop, Ben F./0000-0003-0045-5200; Gallardo-Escárate, Cristian/0000-0002-7094-6702; Maass, Alejandro E/0000-0002-7038-4527; Montecino, Martin/0000-0002-6025-0023; Harrison, Peter/0000-0002-4007-2899; Bernatchez, Louis/0000-0002-8085-9709; Houston, Ross/0000-0003-1805-0762; Nowak, Barbara/0000-0002-0347-643X; Naish, Kerry-Ann/0000-0002-3275-8778; Primmer, Craig/0000-0002-3687-8435; Martin, Samuel/0000-0003-0289-6317; Plastow, Graham/0000-0002-3774-3110</t>
  </si>
  <si>
    <t>International Cooperation to Sequence the Atlantic Salmon Genome (ICSASG) - Research Council of Norway (RCN); Norwegian Seafood Research Fund (FHF); Genome British Columbia (GBC, Canada); Chilean Economic Development Agency (CORFO); Innova Chile Committee (InnovaChile); Biotechnology and Biological Sciences Research Council (UK) [BB/P02582X/1]; ICSASG; U.S. Department of Agriculture (USDA) through NIFA National Research Support Project; BBSRC [BB/H022007/1, BBS/E/D/20310000, BBS/E/D/20211550, BBS/E/D/20241863, BB/M028321/1, BB/P02582X/1, BBS/E/D/20002174, BB/N019563/1] Funding Source: UKRI; Newton Fund [BB/N024044/1] Funding Source: UKRI; Biotechnology and Biological Sciences Research Council [BBS/E/D/20241863, BB/N024044/1, BBS/E/D/10002070, BBS/E/D/20002172, BBS/E/D/20211550, BBS/E/D/20310000, BB/H022007/1, BB/N019563/1, BB/M028321/1, BB/P02582X/1, BBS/E/D/30002275] Funding Source: researchfish</t>
  </si>
  <si>
    <t>International Cooperation to Sequence the Atlantic Salmon Genome (ICSASG) - Research Council of Norway (RCN); Norwegian Seafood Research Fund (FHF); Genome British Columbia (GBC, Canada); Chilean Economic Development Agency (CORFO); Innova Chile Committee (InnovaChile); Biotechnology and Biological Sciences Research Council (UK)(UK Research &amp; Innovation (UKRI)Biotechnology and Biological Sciences Research Council (BBSRC)); ICSASG; U.S. Department of Agriculture (USDA) through NIFA National Research Support Project; BBSRC(UK Research &amp; Innovation (UKRI)Biotechnology and Biological Sciences Research Council (BBSRC)); Newton Fund; Biotechnology and Biological Sciences Research Council(UK Research &amp; Innovation (UKRI)Biotechnology and Biological Sciences Research Council (BBSRC))</t>
  </si>
  <si>
    <t>The first FAASG meeting (June 2016, https://www.faasg.org/publications/toronto-workshop-report) and the second meeting (January 2017, https://www.faasg.org/workshops/san-diego-workshop-january-2017) were organized and supported by the International Cooperation to Sequence the Atlantic Salmon Genome (ICSASG), funded by: The Research Council of Norway (RCN), The Norwegian Seafood Research Fund (FHF), Genome British Columbia (GBC, Canada)), The Chilean Economic Development Agency (CORFO) and the Innova Chile Committee (InnovaChile). FAASG has also received support from the Biotechnology and Biological Sciences Research Council (UK) (ref: BB/P02582X/1). Initial FAASG pilot studies (currently in process) are being funded by the ICSASG and the U.S. Department of Agriculture (USDA), through NIFA National Research Support Project 8.</t>
  </si>
  <si>
    <t>10.1186/s12864-017-3862-8</t>
  </si>
  <si>
    <t>FA4WK</t>
  </si>
  <si>
    <t>Green Published, Green Submitted, Green Accepted, gold</t>
  </si>
  <si>
    <t>WOS:000405443700001</t>
  </si>
  <si>
    <t>Barnes, DKA; Sands, CJ</t>
  </si>
  <si>
    <t>Barnes, David K. A.; Sands, Chester J.</t>
  </si>
  <si>
    <t>Functional group diversity is key to Southern Ocean benthic carbon pathways</t>
  </si>
  <si>
    <t>BIODIVERSITY; ECOSYSTEM; GEORGIA; SHELF; SEA</t>
  </si>
  <si>
    <t>High latitude benthos are globally important in terms of accumulation and storage of ocean carbon, and the feedback this is likely to have on regional warming. Understanding this ecosystem service is important but difficult because of complex taxonomic diversity, history and geography of benthic biomass. Using South Georgia as a model location (where the history and geography of benthic biology is relatively well studied) we investigated whether the composition of functional groups were critical to benthic accumulation, immobilization and burial pathway to sequestration-and also aid their study through simplification of identification. We reclassified [1], [2]) morphotype and carbon mass data to 13 functional groups, for each sample of 32 sites around the South Georgia continental shelf. We investigated the influence on carbon accumulation, immobilization and sequestration estimate by multiple factors including the compositions of functional groups. Functional groups showed high diversity within and between sites, and within and between habitat types. Carbon storage was not linked to a functional group in particular but accumulation and immobilization increased with the number of functional groups present and the presence of hard substrata. Functional groups were also important to carbon burial rate, which increased with the presence of mixed (hard and soft substrata). Functional groups showed high surrogacy for taxonomic composition and were useful for examining contrasting habitat categorization. Functional groups not only aid marine carbon storage investigation by reducing time and the need for team size and speciality, but also important to benthic carbon pathways per se. There is a distinct geography to seabed carbon storage; seabed boulder-fields are hotspots of carbon accumulation and immobilization, whilst the interface between such boulder-fields and sediments are key places for burial and sequestration.</t>
  </si>
  <si>
    <t>[Barnes, David K. A.; Sands, Chester J.] British Antarctic Survey, Nat Environm Res Council, Cambridge, England</t>
  </si>
  <si>
    <t>Barnes, DKA (corresponding author), British Antarctic Survey, Nat Environm Res Council, Cambridge, England.</t>
  </si>
  <si>
    <t>Barnes, David/0000-0002-9076-7867; Sands, Chester/0000-0003-1028-0328</t>
  </si>
  <si>
    <t>Darwin Initiative (DEFRA) [18-019, EIDCF013]; Darwin Initiative grants, DEFRA [18-019, EIDCF013]; NERC [bas0100036] Funding Source: UKRI; Natural Environment Research Council [bas0100036] Funding Source: researchfish</t>
  </si>
  <si>
    <t>Darwin Initiative (DEFRA)(Department for Environment, Food &amp; Rural Affairs (DEFRA)); Darwin Initiative grants, DEFRA; NERC(UK Research &amp; Innovation (UKRI)Natural Environment Research Council (NERC)); Natural Environment Research Council(UK Research &amp; Innovation (UKRI)Natural Environment Research Council (NERC))</t>
  </si>
  <si>
    <t>The funders Darwin Initiative (DEFRA), through grants 18-019 and EIDCF013, had no role in study design, data collection and analysis, decision to publish, or preparation of the manuscript.; We thank the crew of RRS James Clark Ross and the scientists who participated on benthic scientific cruises JR262 and JR287. The South Georgia component of both cruises was funded by Darwin Initiative grants (18-019 and EIDCF013), DEFRA. Thanks also to Carl Robinson for technical development of the Shelf Underwater Camera System (SUCS) and Laura Gerrish for construction of the map in Fig 1. Finally we thank K Mintenbeck and an anonymous referee for helpful suggestions leading to an improved ms. Neither authors have conflicts of interest to declare. This work forms part of the Antarctic Seabed Carbon Capture Change project (www.asece.co.uk)</t>
  </si>
  <si>
    <t>e0179735</t>
  </si>
  <si>
    <t>10.1371/journal.pone.0179735</t>
  </si>
  <si>
    <t>EZ2LT</t>
  </si>
  <si>
    <t>WOS:000404541500028</t>
  </si>
  <si>
    <t>Raksha, N; Gladun, D; Ishchuk, T</t>
  </si>
  <si>
    <t>Raksha, N.; Gladun, D.; Ishchuk, T.</t>
  </si>
  <si>
    <t>THE INFLUENCE OF FIBRINOGENASE ISOLATED FROM THE ANTARCTIC SCALLOP ON BLOOD COAGULATION</t>
  </si>
  <si>
    <t>HAEMATOLOGICA</t>
  </si>
  <si>
    <t>22nd Congress of the European-Hematology-Association</t>
  </si>
  <si>
    <t>JUN 22-25, 2017</t>
  </si>
  <si>
    <t>Madrid, SPAIN</t>
  </si>
  <si>
    <t>[Raksha, N.; Gladun, D.; Ishchuk, T.] Taras Shevchenko Natl Univ Kyiv, Biochem Educ &amp; Sci Ctr, Inst Biol &amp; Med, Kiev, Ukraine</t>
  </si>
  <si>
    <t>Ministry of Education &amp; Science of Ukraine; Taras Shevchenko National University of Kyiv</t>
  </si>
  <si>
    <t>Dmytro, Gladun/AAH-8719-2020; Raksha, Nataliia/IST-3176-2023; Raksha, Nataliia/H-9806-2018</t>
  </si>
  <si>
    <t>Raksha, Nataliia/0000-0001-6654-771X</t>
  </si>
  <si>
    <t>FERRATA STORTI FOUNDATION</t>
  </si>
  <si>
    <t>PAVIA</t>
  </si>
  <si>
    <t>VIA GIUSEPPE BELLI 4, 27100 PAVIA, ITALY</t>
  </si>
  <si>
    <t>0390-6078</t>
  </si>
  <si>
    <t>Haematologica</t>
  </si>
  <si>
    <t>JUN 26</t>
  </si>
  <si>
    <t>PB2208</t>
  </si>
  <si>
    <t>Hematology</t>
  </si>
  <si>
    <t>EY6XF</t>
  </si>
  <si>
    <t>WOS:000404127006304</t>
  </si>
  <si>
    <t>Ponce, JF; Borromei, AM; Menounos, B; Rabassa, J</t>
  </si>
  <si>
    <t>Federico Ponce, Juan; Maria Borromei, Ana; Menounos, Brian; Rabassa, Jorge</t>
  </si>
  <si>
    <t>Late-Holocene and Little Ice Age palaeoenvironmental change inferred from pollen analysis, Isla de los Estados, Argentina</t>
  </si>
  <si>
    <t>6th Argentine Congress of Quaternary and Geomorphology</t>
  </si>
  <si>
    <t>APR, 2015</t>
  </si>
  <si>
    <t>Ushuaia, ARGENTINA</t>
  </si>
  <si>
    <t>Pollen; Climate change; Isla de los Estados; Late-Holocene; Little Ice Age</t>
  </si>
  <si>
    <t>TIERRA-DEL-FUEGO; SOUTHERN-HEMISPHERE WESTERLIES; CLIMATE; AMERICA; RECORD; FLUCTUATIONS; VARIABILITY; PLEISTOCENE; ANTARCTICA</t>
  </si>
  <si>
    <t>We present pollen and spore analysis from a peat-bog section from southwestern Isla de los Estados (Staaten Island), Tierra del Fuego to better understand late-Holocene environmental change in southernmost Patagonia. The island's position as the easternmost landmass at the southernmost of South America, places it squarely within the influence of the southern westerly winds (SWW) and the Antarctic Circumpolar Current, and so makes the island a unique location to document the palaeoecological response to climate change during the late Quaternary. We compare our Nothofagus pollen record from Bahia Franklin with other Nothofagus pollen records from Isla de los Estados and Tierra del Fuego. Nothofagus has been shown to respond to changes in mean annual temperature in the southern latitudes under cooler climate with little seasonality in precipitation. We also evaluate the correspondence between these changes in vegetation to other late-Holocene environmental proxies that include variations in sea surface temperature (SST) from the Beagle Channel and records of past glacier fluctuations. Our results show that low concentrations of Nothofagus pollen existed at Bahia Franklin at about 4000 cal yr BP. Climate ameliorated between ca. 3500 and 500 cal yr BP based on an increase in frequency and concentration values of Nothofagus and Drimys winteri. Between about 500 and 50 cal yr BP, the pollen record revealed a noticeable decline in the forest density. We interpret the decline in forest density in Isla de los Estados between 500 and 50 yr cal BP as a response to cold and windy conditions during the Little Ice Age (LIA). Our interpretation from our Nothofagus pollen record broadly agrees with regional cooling recorded in reconstructed SST of the Beagle Channel and with glacier expansion in the Fuegian Cordillera. (C) 2016 Elsevier Ltd and INQUA. All rights reserved.</t>
  </si>
  <si>
    <t>[Federico Ponce, Juan; Rabassa, Jorge] CADIC CONICET, Lab Geomorfol &amp; Cuaternario, B Houssay 200,V9410BFD, RA-9410 Ushuaia, Tierra Del Fueg, Argentina; [Maria Borromei, Ana] Univ Nacl Sur, INGEOSUR CONICET, Dept Geol, San Juan 670,B8000ICN, Bahia Blanca, Buenos Aires, Argentina; [Menounos, Brian] Univ Northern British Columbia, Geog Program &amp; Nat Resources, Prince George, BC V2N 4Z9, Canada; [Menounos, Brian] Univ Northern British Columbia, Environm Studies Inst, Prince George, BC V2N 4Z9, Canada; [Federico Ponce, Juan; Rabassa, Jorge] ICPA UNTDF, Onas 450, RA-9410 Ushuaia, Argentina</t>
  </si>
  <si>
    <t>Consejo Nacional de Investigaciones Cientificas y Tecnicas (CONICET); Consejo Nacional de Investigaciones Cientificas y Tecnicas (CONICET); National University of the South; University of Northern British Columbia; University of Northern British Columbia</t>
  </si>
  <si>
    <t>Ponce, JF (corresponding author), CADIC CONICET, Lab Geomorfol &amp; Cuaternario, B Houssay 200,V9410BFD, RA-9410 Ushuaia, Tierra Del Fueg, Argentina.</t>
  </si>
  <si>
    <t>jfponce@cadic-conicet.gob.ar</t>
  </si>
  <si>
    <t>Agencia Nacional de Promoci6n Cientifica y Tecnologica of Argentina (ANPCyT) [PICT 2011-2280]; PIP-CONICET [112201001-00041]; National Science and Engineering Research Council of Canada; Canada Research Chairs Program</t>
  </si>
  <si>
    <t>Agencia Nacional de Promoci6n Cientifica y Tecnologica of Argentina (ANPCyT)(ANPCyT); PIP-CONICET(Consejo Nacional de Investigaciones Cientificas y Tecnicas (CONICET)); National Science and Engineering Research Council of Canada(Natural Sciences and Engineering Research Council of Canada (NSERC)); Canada Research Chairs Program(Canada Research Chairs)</t>
  </si>
  <si>
    <t>This paper was partially funded by the project PICT 2011-2280 of the Agencia Nacional de Promoci6n Cientifica y Tecnologica of Argentina (ANPCyT) to Juan Federico Ponce, PIP-CONICET 112201001-00041 to Ana Maria Borromei and grants from the National Science and Engineering Research Council of Canada and the Canada Research Chairs Program to Menounos. We wish to thank Oscar Martinez for help in the field, A. Schiavini and colleagues for arranging travel and stadia in Isla de los Estados, and to Armada Argentina and crew of Sobral navigation for travel assistance to Isla de los Estados. We also express our sincere thanks to two reviewers for their useful suggestions that helped to improve our manuscript.</t>
  </si>
  <si>
    <t>JUN 23</t>
  </si>
  <si>
    <t>10.1016/j.quaint.2016.04.016</t>
  </si>
  <si>
    <t>EZ9NG</t>
  </si>
  <si>
    <t>WOS:000405056500004</t>
  </si>
  <si>
    <t>Münch, S; Curtius, J</t>
  </si>
  <si>
    <t>Muench, Steffen; Curtius, Joachim</t>
  </si>
  <si>
    <t>Nucleation modeling of the Antarctic stratospheric CN layer and derivation of sulfuric acid profiles</t>
  </si>
  <si>
    <t>IN-SITU MEASUREMENTS; CONDENSATION NUCLEI; PARTICLE FORMATION; EXPERIMENTAL THERMODYNAMICS; AEROSOL NUCLEATION; UPPER TROPOSPHERE; VAPOR; H2SO4; IONS; H2O</t>
  </si>
  <si>
    <t>Recent analysis of long-term balloon-borne measurements of Antarctic stratospheric condensation nuclei (CN) between July and October showed the formation of a volatile CN layer at 21-27 km altitude in a background of existing particles. We use the nucleation model SAWNUC to simulate these CN in subsiding air parcels and study their nucleation and coagulation characteristics. Our simulations confirm recent analysis that the development of the CN layer can be explained with neutral sulfuric acid-water nucleation and we show that outside the CN layer the measured CN concentrations are well reproduced just considering coagulation and the subsidence of the air parcels. While ion-induced nucleation is expected as the dominating formation process at higher temperatures, it does not play a significant role during the CN layer formation as the charged clusters recombine too fast. Further, we derive sulfuric acid concentrations for the CN layer formation. Our concentrations are about 1 order of magnitude higher than previously presented concentrations as our simulations consider that nucleated clusters have to grow to CN size and can coagulate with preexisting particles. Finally, we calculate threshold sulfuric acid profiles that show which concentration of sulfuric acid is necessary for nucleation and growth to observable size. These threshold profiles should represent upper limits of the actual sulfuric acid outside the CN layer. According to our profiles, sulfuric acid concentrations seem to be below midlatitude average during Antarctic winter but above midlatitude average for the CN layer formation.</t>
  </si>
  <si>
    <t>[Muench, Steffen; Curtius, Joachim] Goethe Univ Frankfurt Main, Inst Atmospher &amp; Environm Sci, D-60323 Frankfurt, Germany; [Muench, Steffen] Swiss Fed Inst Technol, Inst Atmospher &amp; Climate Sci, CH-8092 Zurich, Switzerland</t>
  </si>
  <si>
    <t>Goethe University Frankfurt; Swiss Federal Institutes of Technology Domain; ETH Zurich</t>
  </si>
  <si>
    <t>Münch, S (corresponding author), Goethe Univ Frankfurt Main, Inst Atmospher &amp; Environm Sci, D-60323 Frankfurt, Germany.;Münch, S (corresponding author), Swiss Fed Inst Technol, Inst Atmospher &amp; Climate Sci, CH-8092 Zurich, Switzerland.</t>
  </si>
  <si>
    <t>steffen.muench@env.ethz.ch</t>
  </si>
  <si>
    <t>Curtius, Joachim/A-2681-2011</t>
  </si>
  <si>
    <t>Curtius, Joachim/0000-0003-3153-4630; Muench, Steffen/0000-0002-3551-1922</t>
  </si>
  <si>
    <t>JUN 22</t>
  </si>
  <si>
    <t>10.5194/acp-17-7581-2017</t>
  </si>
  <si>
    <t>EY5VU</t>
  </si>
  <si>
    <t>WOS:000404049500005</t>
  </si>
  <si>
    <t>Matthes, K; Funke, B; Andersson, ME; Barnard, L; Beer, J; Charbonneau, P; Clilverd, MA; de Wit, TD; Haberreiter, M; Hendry, A; Jackman, CH; Kretzschmar, M; Kruschke, T; Kunze, M; Langematz, U; Marsh, DR; Maycock, AC; Misios, S; Rodger, CJ; Scaife, AA; Seppala, A; Shangguan, M; Sinnhuber, M; Tourpali, K; Usoskin, I; De Kamp, MV; Verronen, PT; Versick, S</t>
  </si>
  <si>
    <t>Matthes, Katja; Funke, Bernd; Andersson, Monika E.; Barnard, Luke; Beer, Jurg; Charbonneau, Paul; Clilverd, Mark A.; de Wit, Thierry Dudok; Haberreiter, Margit; Hendry, Aaron; Jackman, Charles H.; Kretzschmar, Matthieu; Kruschke, Tim; Kunze, Markus; Langematz, Ulrike; Marsh, Daniel R.; Maycock, Amanda C.; Misios, Stergios; Rodger, Craig J.; Scaife, Adam A.; Seppala, Annika; Shangguan, Ming; Sinnhuber, Miriam; Tourpali, Kleareti; Usoskin, Ilya; De Kamp, Max Van; Verronen, Pekka T.; Versick, Stefan</t>
  </si>
  <si>
    <t>Solar forcing for CMIP6 (v3.2)</t>
  </si>
  <si>
    <t>ENERGETIC PARTICLE-PRECIPITATION; EARTH INTERPLANETARY CONDITIONS; SUBMODEL SYSTEM MESSY; OCTOBER-NOVEMBER 2003; GALACTIC COSMIC-RAYS; PAST 167 YR; PROTON-EVENTS; MIDDLE ATMOSPHERE; SPECTRAL IRRADIANCE; OZONE DEPLETION</t>
  </si>
  <si>
    <t>This paper describes the recommended solar forcing dataset for CMIP6 and highlights changes with respect to CMIP5. The solar forcing is provided for radiative properties, namely total solar irradiance (TSI), solar spectral irradiance (SSI), and the F10.7 index as well as particle forcing, including geomagnetic indices Ap and Kp, and ionization rates to account for effects of solar protons, electrons, and galactic cosmic rays. This is the first time that a recommendation for solar-driven particle forcing has been provided for a CMIP exercise. The solar forcing datasets are provided at daily and monthly resolution separately for the CMIP6 preindustrial control, historical (1850-2014), and future (2015-2300) simulations. For the preindustrial control simulation, both constant and time-varying solar forcing components are provided, with the latter including variability on 11-year and shorter timescales but no long-term changes. For the future, we provide a realistic scenario of what solar behavior could be, as well as an additional extreme Maunder-minimum-like sensitivity scenario. This paper describes the forcing datasets and also provides detailed recommendations as to their implementation in current climate models. For the historical simulations, the TSI and SSI time series are defined as the average of two solar irradiance models that are adapted to CMIP6 needs: an empirical one (NRLTSI2-NRLSSI2) and a semi-empirical one (SATIRE). A new and lower TSI value is recommended: the contemporary solar-cycle average is now 1361.0 W m(-2). The slight negative trend in TSI over the three most recent solar cycles in the CMIP6 dataset leads to only a small global radiative forcing of -0.04 W m(-2). In the 200-400 nm wavelength range, which is important for ozone photochemistry, the CMIP6 solar forcing dataset shows a larger solar-cycle variability contribution to TSI than in CMIP5 (50% compared to 35 %). We compare the climatic effects of the CMIP6 solar forcing dataset to its CMIP5 predecessor by using time-slice experiments of two chemistry-climate models and a reference radiative transfer model. The differences in the long-term mean SSI in the CMIP6 dataset, compared to CMIP5, impact on climatological stratospheric conditions (lower shortwave heating rates of -0.35 K day(-1) at the stratopause), cooler stratospheric temperatures (-1.5K in the upper stratosphere), lower ozone abundances in the lower stratosphere (3 %), and higher ozone abundances (+1.5% in the upper stratosphere and lower mesosphere). Between the maximum and minimum phases of the 11-year solar cycle, there is an increase in shortwave heating rates (+0.2 K day(-1) at the stratopause), temperatures (similar to 1 K at the stratopause), and ozone (+2.5% in the upper stratosphere) in the tropical upper stratosphere using the CMIP6 forcing dataset. This solar-cycle response is slightly larger, but not statistically significantly different from that for the CMIP5 forcing dataset. CMIP6 models with a well-resolved shortwave radiation scheme are encouraged to prescribe SSI changes and include solar-induced stratospheric ozone variations, in order to better represent solar climate variability compared to models that only prescribe TSI and/or exclude the solar-ozone response. We show that monthly-mean solar-induced ozone variations are implicitly included in the SPARC/CCMI CMIP6 Ozone Database for historical simulations, which is derived from transient chemistry-climate model simulations and has been developed for climate models that do not calculate ozone interactively. CMIP6 models without chemistry that perform a preindustrial control simulation with time-varying solar forcing will need to use a modified version of the SPARC/CCMI Ozone Database that includes solar variability. CMIP6 models with interactive chemistry are also encouraged to use the particle forcing datasets, which will allow the potential long-term effects of particles to be addressed for the first time. The consideration of particle forcing has been shown to significantly improve the representation of reactive nitrogen and ozone variability in the polar middle atmosphere, eventually resulting in further improvements in the representation of solar climate variability in global models.</t>
  </si>
  <si>
    <t>[Matthes, Katja; Kruschke, Tim; Shangguan, Ming] GEOMAR Helmholtz Ctr Ocean Res Kiel, Kiel, Germany; [Matthes, Katja] Christian Albrechts Univ Kiel, Kiel, Germany; [Funke, Bernd] CSIC, Inst Astrofis Andalucia, Granada, Spain; [Barnard, Luke] Univ Reading, Reading, Berks, England; [Beer, Jurg] EAWAG, Dubendorf, Switzerland; [Charbonneau, Paul] Univ Montreal, Montreal, PQ, Canada; [Clilverd, Mark A.] British Antarctic Survey, NERC, Cambridge, England; [de Wit, Thierry Dudok; Kretzschmar, Matthieu] CNRS, LPC2E, Orleans, France; [de Wit, Thierry Dudok; Kretzschmar, Matthieu] Univ Orleans, Orleans, France; [Haberreiter, Margit] Phys Meteorol Observatorium Davos World Radiat Ct, Davos, Switzerland; [Jackman, Charles H.] NASA, Goddard Space Flight Ctr, Greenbelt, MD USA; [Kunze, Markus; Langematz, Ulrike] Free Univ Berlin, Berlin, Germany; [Maycock, Amanda C.] Univ Leeds, Leeds, W Yorkshire, England; [Misios, Stergios; Tourpali, Kleareti] Aristotle Univ Thessaloniki, Lab Atmospher Phys, Thessaloniki, Greece; [Hendry, Aaron; Rodger, Craig J.] Univ Otago, Dept Phys, Dunedin, New Zealand; [Scaife, Adam A.] Met Off, Hadley Ctr, Fitz Roy Rd, Exeter, Devon, England; [Sinnhuber, Miriam; Versick, Stefan] Karlsruhe Inst Technol, Karlsruhe, Germany; [Usoskin, Ilya] Univ Oulu, Space Climate Res Unit, Oulu, Finland; [Usoskin, Ilya] Univ Oulu, Sodankyla Geophys Observ, Oulu, Finland; [Seppala, Annika; De Kamp, Max Van; Verronen, Pekka T.] Finnish Meteorol Inst, Helsinki, Finland; [Marsh, Daniel R.] Natl Ctr Atmospher Res, POB 3000, Boulder, CO 80307 USA</t>
  </si>
  <si>
    <t>Helmholtz Association; GEOMAR Helmholtz Center for Ocean Research Kiel; University of Kiel; Consejo Superior de Investigaciones Cientificas (CSIC); CSIC - Instituto de Astrofisica de Andalucia (IAA); University of Reading; Swiss Federal Institutes of Technology Domain; Swiss Federal Institute of Aquatic Science &amp; Technology (EAWAG); Universite de Montreal; UK Research &amp; Innovation (UKRI); Natural Environment Research Council (NERC); NERC British Antarctic Survey; Centre National de la Recherche Scientifique (CNRS); Universite de Orleans; Universite de Orleans; National Aeronautics &amp; Space Administration (NASA); NASA Goddard Space Flight Center; Free University of Berlin; University of Leeds; Aristotle University of Thessaloniki; University of Otago; Met Office - UK; Hadley Centre; Helmholtz Association; Karlsruhe Institute of Technology; University of Oulu; University of Oulu; Finnish Meteorological Institute; National Center Atmospheric Research (NCAR) - USA</t>
  </si>
  <si>
    <t>Matthes, K (corresponding author), GEOMAR Helmholtz Ctr Ocean Res Kiel, Kiel, Germany.;Matthes, K (corresponding author), Christian Albrechts Univ Kiel, Kiel, Germany.</t>
  </si>
  <si>
    <t>kmatthes@geomar.de</t>
  </si>
  <si>
    <t>Rodger, Craig/A-1501-2011; Jackman, Charles H/D-4699-2012; Szelag, Monika Ewa/AAH-3529-2019; Haberreiter, Margit/IZE-0550-2023; Hendry, Aaron/T-1911-2019; Maycock, Amanda C/T-5380-2018; Verronen, Pekka T/G-6658-2014; Marsh, Daniel/A-8406-2008; Kruschke, Tim/F-2052-2014; shangguan, ming/HKF-4940-2023; Misios, Stergios/ABA-8997-2020; Seppälä, Annika/C-8031-2014; Barnard, Luke/L-2930-2015; Verronen, P. T./AIE-0203-2022; Misios, Stergios/GPT-4347-2022; Dudok de Wit, Thierry/O-6478-2014; Funke, Bernd/C-2162-2008; Usoskin, Ilya/E-5089-2014; Sinnhuber, Miriam/A-7252-2013; Matthes, Katja/F-7361-2014</t>
  </si>
  <si>
    <t>Szelag, Monika Ewa/0000-0002-8501-3366; Haberreiter, Margit/0000-0001-8007-9764; Hendry, Aaron/0000-0002-9130-3781; Marsh, Daniel/0000-0001-6699-494X; Kruschke, Tim/0000-0002-1205-3754; shangguan, ming/0000-0003-3699-2163; Misios, Stergios/0000-0003-1226-4719; Seppälä, Annika/0000-0002-5028-8220; Barnard, Luke/0000-0001-9876-4612; Verronen, P. T./0000-0002-3479-9071; Misios, Stergios/0000-0003-1226-4719; Dudok de Wit, Thierry/0000-0002-4401-0943; Kretzschmar, Matthieu/0000-0001-5796-6138; Maycock, Amanda/0000-0002-6614-1127; Funke, Bernd/0000-0003-0462-4702; Kunze, Markus/0000-0002-9608-1823; Usoskin, Ilya/0000-0001-8227-9081; Rodger, Craig J./0000-0002-6770-2707; Sinnhuber, Miriam/0000-0002-3527-9051; Versick, Stefan/0000-0003-2265-6695; Tourpali, Kleareti/0000-0003-4111-6176; Matthes, Katja/0000-0003-1801-3072</t>
  </si>
  <si>
    <t>European Commission's Seventh Framework Programme (FP7) (SOLID) [313188]; Academy of Finland [276926, 265005]; German Ministry of Research (BMBF) within the nationally funded project ROMIC-SOLIC [01LG1219]; Helmholtz University Young Investigators Group NATHAN; Helmholtz-Association through the President's Initiative and Networking Fund; GEOMAR Helmholtz Centre for Ocean Research Kiel; Helmholtz Association of German Research Centres (HGF) [608 VH-NG-624]; Spanish MCINN [ESP2014-54362-P]; EC FEDER funds; Science and Technology Facilities Council (STFC) [ST/M000885/1]; joint DECC-Defra Met Office Hadley Centre Climate Programme [GA01101]; EU SPECS project [GA308378]; National Science Foundation; Academy of Finland (AKA) [265005] Funding Source: Academy of Finland (AKA); Natural Environment Research Council [bas0100031] Funding Source: researchfish; NERC [bas0100031] Funding Source: UKRI</t>
  </si>
  <si>
    <t>European Commission's Seventh Framework Programme (FP7) (SOLID); Academy of Finland(Research Council of Finland); German Ministry of Research (BMBF) within the nationally funded project ROMIC-SOLIC(Federal Ministry of Education &amp; Research (BMBF)); Helmholtz University Young Investigators Group NATHAN; Helmholtz-Association through the President's Initiative and Networking Fund; GEOMAR Helmholtz Centre for Ocean Research Kiel(Helmholtz Association); Helmholtz Association of German Research Centres (HGF)(Helmholtz Association); Spanish MCINN(Spanish Government); EC FEDER funds(European Union (EU)); Science and Technology Facilities Council (STFC)(UK Research &amp; Innovation (UKRI)Science &amp; Technology Facilities Council (STFC)Science and Technology Development Fund (STDF)); joint DECC-Defra Met Office Hadley Centre Climate Programme; EU SPECS project; National Science Foundation(National Science Foundation (NSF)); Academy of Finland (AKA); Natural Environment Research Council(UK Research &amp; Innovation (UKRI)Natural Environment Research Council (NERC)); NERC(UK Research &amp; Innovation (UKRI)Natural Environment Research Council (NERC))</t>
  </si>
  <si>
    <t>We are very grateful to the SATIRE and NRL teams for providing their respective solar irradiance reconstructions. Without these datasets the CMIP6 solar forcing recommendation as well as this paper would not have been possible. We also thank the researchers and engineers of NOAA's Space Environment Center for the provision of the data and the operation of the SEM-2 instrument carried onboard the POES spacecraft. This work has been conducted in the frame of the WCRP/SPARC SOLARIS-HEPPA activity and an early part inside the EU COST Action ES1005 (TOSCA), which some authors were involved in. This work contributes to the ROSMIC activity within the SCOSTEP VarSITI programme. Part of the work described in this article emanates from two teams at the International Space Science Institute (ISSI) in Bern, i.e., Quantifying Hemispheric Differences in Particle Forcing Effects on Stratospheric Ozone (Leader: D. R. Marsh) and Scenarios of Future Solar Activity for Climate modeling (Leader: T. Dudok de Wit), which we gratefully acknowledge for hospitality. M. Kunze, T. Dudok de Wit, M. Haberreiter, K. Tourpali, and S. Misios acknowledge that the research leading to the results has received funding from the European Commission's Seventh Framework Programme (FP7 2012) under grant agreement no. 313188 (SOLID, http://projects.pmodwrc.ch/solid). P. T. Verronen, M. E. Anderson, A. Seppala, and M. van de Kamp were supported by the Academy of Finland projects no. 276926 (SECTIC: Sun-Earth Connection Through Ion Chemistry) and nos. 258165 and 265005 (CLASP: Climate and Solar Particle Forcing). K. Matthes, T. Kruschke, M. Kunze, U. Langematz, S. Versick, and M. Sinnhuber gratefully acknowledge funding by the German Ministry of Research (BMBF) within the nationally funded project ROMIC-SOLIC (grant number 01LG1219). K. Matthes also acknowledges support from the Helmholtz University Young Investigators Group NATHAN, funded by the Helmholtz-Association through the President's Initiative and Networking Fund and the GEOMAR Helmholtz Centre for Ocean Research Kiel. M. Shangguan gratefully acknowledges funding by the Helmholtz Association of German Research Centres (HGF), grant 608 VH-NG-624. B. Funke was supported by the Spanish MCINN under grant ESP2014-54362-P and EC FEDER funds. L. Barnard thanks the Science and Technology Facilities Council (STFC) for support under grant ST/M000885/1. A. Scaife was supported by the joint DECC-Defra Met Office Hadley Centre Climate Programme (GA01101) and the EU SPECS project (GA308378). NCAR is sponsored by the National Science Foundation. I. Usoskin's work was done in the framework of the ReSoLVE Centre of Excellence (Academy of Finland, project 272157). U. Langematz and M. Kunze thank the North German Supercomputing Alliance (HLRN) for support and computer time. K. Matthes and T. Kruschke thank the computing center at Kiel University for support and computer time.</t>
  </si>
  <si>
    <t>10.5194/gmd-10-2247-2017</t>
  </si>
  <si>
    <t>EY5WU</t>
  </si>
  <si>
    <t>WOS:000404052800001</t>
  </si>
  <si>
    <t>Kwok, R; Pang, SS; Kacimi, S</t>
  </si>
  <si>
    <t>Kwok, Ron; Pang, Shirley S.; Kacimi, Sahra</t>
  </si>
  <si>
    <t>Sea ice drift in the Southern Ocean: Regional patterns, variability, and trends</t>
  </si>
  <si>
    <t>MOTION; WIND; TEMPERATURE; CIRCULATION; CLIMATE; SYSTEM; SAR</t>
  </si>
  <si>
    <t>Understanding long-term changes in large-scale sea ice drift in the Southern Ocean is of considerable interest given its contribution to ice extent, to ice production in open waters, with associated dense water formation and heat flux to the atmosphere, and thus to the climate system. In this paper, we -examine the trends and variability of this ice drift in a 34-year record (1982-2015) derived from satellite -observations. Uncertainties in drift (similar to 3 to 4 km day-1) were assessed with higher resolution observations. In a linear model, drift speeds were similar to 1.4% of the geostrophic wind from reanalyzed sea-level pressure, nearly 50% higher than that of the Arctic. This result suggests an ice cover in the Southern Ocean that is thinner, weaker, and less compact. Geostrophic winds explained all but similar to 40% of the variance in ice drift. Three spatially distinct drift patterns were shown to be controlled by the location and depth of -atmospheric lows centered over the Amundsen, Riiser-Larsen, and Davis seas. Positively correlated changes in sea-level pressures at the three centers (up to 0.64) suggest correlated changes in the wind-driven drift patterns. Seasonal trends in ice edge are linked to trends in meridional winds and also to on-ice/ -off-ice trends in zonal winds, due to zonal asymmetry of the Antarctic ice cover. Sea ice area export at flux gates that parallel the 1000-m isobath were extended to cover the 34-year record. Interannual variability in ice export in the Ross and Weddell seas linked to the depth and location of the Amundsen Sea and Riiser-Larsen Sea lows to their east. Compared to shorter records, where there was a significant positive trend in Ross Sea ice area flux, the longer 34-year trends of outflow from both seas are now statistically insignificant.</t>
  </si>
  <si>
    <t>[Kwok, Ron; Pang, Shirley S.; Kacimi, Sahra] CALTECH, Jet Prop Lab, Pasadena, CA 91109 USA</t>
  </si>
  <si>
    <t>California Institute of Technology; National Aeronautics &amp; Space Administration (NASA); NASA Jet Propulsion Laboratory (JPL)</t>
  </si>
  <si>
    <t>Kwok, R (corresponding author), CALTECH, Jet Prop Lab, Pasadena, CA 91109 USA.</t>
  </si>
  <si>
    <t>ron.kwok@jpl.nasa.gov</t>
  </si>
  <si>
    <t>Kwok, Ronald/L-3968-2019; Kwok, Ron/A-9762-2008</t>
  </si>
  <si>
    <t>Kwok, Ronald/0000-0003-4051-5896; Kwok, Ron/0000-0003-4051-5896</t>
  </si>
  <si>
    <t>JUN 21</t>
  </si>
  <si>
    <t>10.1525/elementa.226</t>
  </si>
  <si>
    <t>EY7QB</t>
  </si>
  <si>
    <t>WOS:000404185200001</t>
  </si>
  <si>
    <t>Singh, H; Maksym, T; Wilkinson, J; Williams, G</t>
  </si>
  <si>
    <t>Singh, Hanumant; Maksym, Ted; Wilkinson, Jeremy; Williams, Guy</t>
  </si>
  <si>
    <t>Inexpensive, small AUVs for studying ice-covered polar environments</t>
  </si>
  <si>
    <t>SCIENCE ROBOTICS</t>
  </si>
  <si>
    <t>[Singh, Hanumant] Northeastern Univ, Boston, MA 02115 USA; [Maksym, Ted] Woods Hole Oceanog Inst, Falmouth, MA 02543 USA; [Wilkinson, Jeremy] British Antarctic Survey, Cambridge, England; [Williams, Guy] Univ Tasmania, Hobart, Tas, Australia; [Williams, Guy] Antarctic Climate &amp; Ecosyst Cooperat Res Ctr, Hobart, Tas, Australia</t>
  </si>
  <si>
    <t>Northeastern University; Woods Hole Oceanographic Institution; UK Research &amp; Innovation (UKRI); Natural Environment Research Council (NERC); NERC British Antarctic Survey; University of Tasmania; Antarctic Climate &amp; Ecosystems Cooperative Research Centre (ACE CRC)</t>
  </si>
  <si>
    <t>Singh, H (corresponding author), Northeastern Univ, Boston, MA 02115 USA.</t>
  </si>
  <si>
    <t>ha.singh@northeastern.edu</t>
  </si>
  <si>
    <t>wilkinson, jeremy/0000-0002-7166-3042</t>
  </si>
  <si>
    <t>NSF; British Antarctic Survey; Australian Research Council</t>
  </si>
  <si>
    <t>NSF(National Science Foundation (NSF)); British Antarctic Survey; Australian Research Council(Australian Research Council)</t>
  </si>
  <si>
    <t>This work was funded by multiple grants from the NSF, the British Antarctic Survey, and the Australian Research Council.</t>
  </si>
  <si>
    <t>2470-9476</t>
  </si>
  <si>
    <t>SCI ROBOT</t>
  </si>
  <si>
    <t>Sci. Robot.</t>
  </si>
  <si>
    <t>eaan4809</t>
  </si>
  <si>
    <t>10.1126/scirobotics.aan4809</t>
  </si>
  <si>
    <t>Robotics</t>
  </si>
  <si>
    <t>GQ2WC</t>
  </si>
  <si>
    <t>WOS:000441518900004</t>
  </si>
  <si>
    <t>Proctor, AH; King, CK; Holan, JR; Wotherspoon, SJ</t>
  </si>
  <si>
    <t>Proctor, Abigael H.; King, Catherine K.; Holan, Jessica R.; Wotherspoon, Simon J.</t>
  </si>
  <si>
    <t>Integrated Modeling of Survival Data from Multiple Stressor Ecotoxicology Experiments</t>
  </si>
  <si>
    <t>STATISTICAL-ANALYSIS; TEMPERATURE; TOXICITY; SENSITIVITY; CONTAMINANTS; COPEPOD; TIME</t>
  </si>
  <si>
    <t>Ecotoxicological assessments often focus on the response of an organism to an individual contaminant under standardized laboratory conditions. Under more ecologically realistic conditions, however, individuals are likely to be exposed to a range of environmental conditions that have the potential to act as additional stressors. Multiple-stressor experiments improve our understanding of an organism's response to a toxicant under ecologically relevant conditions and provide realistic risk, assessment data. To date, there is no standardized method for analyzing multiple-stressor data using dose-response regression. We present a reliable technique to assess for the effects of additional stressors on an LCx estimate in a consistent framework,,providing interpretable results that meaningfully deal with environmental changes and their possible impacts applicable to any data set where toxicity tests are conducted at varying levels of one or more additional stressors. We illustrate the method with data from an experiment that investigates the effects of salinity and temperature on the sensitivity of the subantarctic isopod Limnoria stephenseni to copper, where it is shown that the major.change in the LC50 can be primarily attributed to a specific temperature increase. This method has been incorporated into an R package available at github.com/ ahproctor/LCSO.</t>
  </si>
  <si>
    <t>[Proctor, Abigael H.; Wotherspoon, Simon J.] Univ Tasmania, Inst Marine &amp; Antarctic Studies, Private Bag 129, Hobart, Tas 7001, Australia; [Proctor, Abigael H.; King, Catherine K.; Holan, Jessica R.; Wotherspoon, Simon J.] Australian Antarctic Div, 203 Channel Hwy, Kingston, Tas 7050, Australia; [Holan, Jessica R.] Univ Wollongong, Ctr Sustainable Ecosyst Solut, Northfields Ave, Wollongong, NSW 2522, Australia; [Holan, Jessica R.] Univ Wollongong, Sch Biol Sci, Northfields Ave, Wollongong, NSW 2522, Australia</t>
  </si>
  <si>
    <t>University of Tasmania; Australian Antarctic Division; University of Wollongong; University of Wollongong</t>
  </si>
  <si>
    <t>Proctor, AH (corresponding author), Univ Tasmania, Inst Marine &amp; Antarctic Studies, Private Bag 129, Hobart, Tas 7001, Australia.;Proctor, AH (corresponding author), Australian Antarctic Div, 203 Channel Hwy, Kingston, Tas 7050, Australia.</t>
  </si>
  <si>
    <t>abigael.proctor@utas.edu.au</t>
  </si>
  <si>
    <t>Holan, Jessica/J-5399-2019; Wotherspoon, Simon J/B-2390-2013; King, Catherine K/G-7059-2017; Proctor, Abigael/H-5842-2015</t>
  </si>
  <si>
    <t>Holan, Jessica/0000-0003-0080-4909; Wotherspoon, Simon J/0000-0002-6947-4445; King, Catherine K/0000-0003-3356-0381; Proctor, Abigael/0000-0003-4435-4946</t>
  </si>
  <si>
    <t>Australian Government through an Australian Antarctic Science Grant (AAS) [4100]; Tasmanian Graduate Research Scholarship</t>
  </si>
  <si>
    <t>Australian Government through an Australian Antarctic Science Grant (AAS); Tasmanian Graduate Research Scholarship</t>
  </si>
  <si>
    <t>This research is supported by the Australian Government through an Australian Antarctic Science Grant (AAS project 4100 to C.K. King) and a Tasmanian Graduate Research Scholarship. The authors would like to thank the anonymous reviewers for their valuable comments and feedback.</t>
  </si>
  <si>
    <t>JUN 20</t>
  </si>
  <si>
    <t>10.1021/acs.est.7b02255</t>
  </si>
  <si>
    <t>EY6JA</t>
  </si>
  <si>
    <t>WOS:000404087400070</t>
  </si>
  <si>
    <t>Bakker, AMR; Wong, TE; Ruckert, KL; Keller, K</t>
  </si>
  <si>
    <t>Bakker, Alexander M. R.; Wong, Tony E.; Ruckert, Kelsey L.; Keller, Klaus</t>
  </si>
  <si>
    <t>Sea-level projections representing the deeply uncertain contribution of the West Antarctic ice sheet</t>
  </si>
  <si>
    <t>CLIMATE-CHANGE; EXPERT JUDGMENT; RISE; ROBUST; MODEL</t>
  </si>
  <si>
    <t>There is a growing awareness that uncertainties surrounding future sea-level projections may be much larger than typically perceived. Recently published projections appear widely divergent and highly sensitive to non-trivial model choices. Moreover, the West Antarctic ice sheet (WAIS) may be much less stable than previous believed, enabling a rapid disintegration. Here, we present a set of probabilistic sea-level projections that approximates the deeply uncertain WAIS contributions. The projections aim to inform robust decisions by clarifying the sensitivity to non-trivial or controversial assumptions. We show that the deeply uncertain WAIS contribution can dominate other uncertainties within decades. These deep uncertainties call for the development of robust adaptive strategies. These decision-making needs, in turn, require mission-oriented basic science, for example about potential signposts and the maximum rate of WAIS-induced sea-level changes.</t>
  </si>
  <si>
    <t>[Bakker, Alexander M. R.; Wong, Tony E.; Ruckert, Kelsey L.; Keller, Klaus] Penn State Univ, Earth &amp; Environm Syst Inst, University Pk, PA 16802 USA; [Bakker, Alexander M. R.] Minist Infrastruct &amp; Environm, Rijkswaterstaat, Utrecht, Netherlands; [Keller, Klaus] Penn State Univ, Dept Geosci, University Pk, PA 16802 USA; [Keller, Klaus] Carnegie Mellon Univ, Dept Engn &amp; Publ Policy, Pittsburgh, PA 15289 USA</t>
  </si>
  <si>
    <t>Bakker, AMR (corresponding author), Penn State Univ, Earth &amp; Environm Syst Inst, University Pk, PA 16802 USA.;Bakker, AMR (corresponding author), Minist Infrastruct &amp; Environm, Rijkswaterstaat, Utrecht, Netherlands.</t>
  </si>
  <si>
    <t>alexander.bakker@rws.nl</t>
  </si>
  <si>
    <t>Wong, Tony/0000-0002-7304-3883; Ruckert, Kelsey/0000-0001-9513-2636</t>
  </si>
  <si>
    <t>National Science Foundation through Network for Sustainable Climate Risk Management (SCRiM) under NSF [GEO-1240507]; Penn State Center for Climate Risk Management; Directorate For Geosciences [1240507] Funding Source: National Science Foundation</t>
  </si>
  <si>
    <t>National Science Foundation through Network for Sustainable Climate Risk Management (SCRiM) under NSF; Penn State Center for Climate Risk Management; Directorate For Geosciences(National Science Foundation (NSF)NSF - Directorate for Geosciences (GEO))</t>
  </si>
  <si>
    <t>We acknowledge Ingo Sasgen for providing Greenland ice sheet mass balance data. This work was partially supported by the National Science Foundation through the Network for Sustainable Climate Risk Management (SCRiM) under NSF cooperative agreement GEO-1240507 and the Penn State Center for Climate Risk Management. Any conclusions or recommendations expressed in this material are those of the authors and do not necessarily reflect the views of the funding agencies.</t>
  </si>
  <si>
    <t>10.1038/s41598-017-04134-5</t>
  </si>
  <si>
    <t>EY0JJ</t>
  </si>
  <si>
    <t>WOS:000403643900033</t>
  </si>
  <si>
    <t>Ramírez-Sarmiento, CA</t>
  </si>
  <si>
    <t>Ramirez-Sarmiento, Cesar A.</t>
  </si>
  <si>
    <t>Riddle Me This: Substrate Channeling Solves the Paradigms of cAMP-Dependent Activation of PKA</t>
  </si>
  <si>
    <t>BIOPHYSICAL JOURNAL</t>
  </si>
  <si>
    <t>PROTEIN-KINASE-A; ADAPTATION</t>
  </si>
  <si>
    <t>[Ramirez-Sarmiento, Cesar A.] Pontificia Univ Catolica Chile, Inst Biol &amp; Med Engn, Sch Engn, Santiago, Chile; [Ramirez-Sarmiento, Cesar A.] Pontificia Univ Catolica Chile, Inst Biol &amp; Med Engn, Sch Med, Santiago, Chile; [Ramirez-Sarmiento, Cesar A.] Pontificia Univ Catolica Chile, Inst Biol &amp; Med Engn, Sch Biol Sci, Santiago, Chile</t>
  </si>
  <si>
    <t>Pontificia Universidad Catolica de Chile; Pontificia Universidad Catolica de Chile; Pontificia Universidad Catolica de Chile</t>
  </si>
  <si>
    <t>Ramírez-Sarmiento, CA (corresponding author), Pontificia Univ Catolica Chile, Inst Biol &amp; Med Engn, Sch Engn, Santiago, Chile.;Ramírez-Sarmiento, CA (corresponding author), Pontificia Univ Catolica Chile, Inst Biol &amp; Med Engn, Sch Med, Santiago, Chile.;Ramírez-Sarmiento, CA (corresponding author), Pontificia Univ Catolica Chile, Inst Biol &amp; Med Engn, Sch Biol Sci, Santiago, Chile.</t>
  </si>
  <si>
    <t>cesar.ramirez@uc.cl</t>
  </si>
  <si>
    <t>Fondo Nacional de Desarrollo Cientifico y Tecnologico (Fondecyt) [11140601]; Chilean Antarctic Institute (INACH) [RG_47-16]</t>
  </si>
  <si>
    <t>Fondo Nacional de Desarrollo Cientifico y Tecnologico (Fondecyt)(Comision Nacional de Investigacion Cientifica y Tecnologica (CONICYT)CONICYT FONDECYT); Chilean Antarctic Institute (INACH)</t>
  </si>
  <si>
    <t>C.A.R.S. is supported by Fondo Nacional de Desarrollo Cientifico y Tecnologico (Fondecyt grant 11140601) and the Chilean Antarctic Institute (INACH grant RG_47-16).</t>
  </si>
  <si>
    <t>0006-3495</t>
  </si>
  <si>
    <t>1542-0086</t>
  </si>
  <si>
    <t>BIOPHYS J</t>
  </si>
  <si>
    <t>Biophys. J.</t>
  </si>
  <si>
    <t>10.1016/j.bpj.2017.05.021</t>
  </si>
  <si>
    <t>Biophysics</t>
  </si>
  <si>
    <t>EY6FU</t>
  </si>
  <si>
    <t>WOS:000404078700002</t>
  </si>
  <si>
    <t>Anderson, JG; Weisenstein, DK; Bowman, KP; Homeyer, CR; Smith, JB; Wilmouth, DM; Sayres, DS; Klobas, JE; Leroy, SS; Dykema, JA; Wofsy, SC</t>
  </si>
  <si>
    <t>Anderson, James G.; Weisenstein, Debra K.; Bowman, Kenneth P.; Homeyer, Cameron R.; Smith, Jessica B.; Wilmouth, David M.; Sayres, David S.; Klobas, J. Eric; Leroy, Stephen S.; Dykema, John A.; Wofsy, Steven C.</t>
  </si>
  <si>
    <t>Stratospheric ozone over the United States in summer linked to observations of convection and temperature via chlorine and bromine catalysis</t>
  </si>
  <si>
    <t>stratospheric ozone; climate change; UV radiation human health effects; convection; water vapor</t>
  </si>
  <si>
    <t>IN-SITU MEASUREMENTS; ULTRAVIOLET-RADIATION; WATER-VAPOR; ANTARCTIC OZONE; MODEL; DEPLETION; EMISSIONS; AIRCRAFT; CLIMATE; AEROSOL</t>
  </si>
  <si>
    <t>We present observations defining (i) the frequency and depth of convective penetration of water into the stratosphere over the United States in summer using the Next-Generation Radar system; (ii) the altitude-dependent distribution of inorganic chlorine established in the same coordinate system as the radar observations; (iii) the high resolution temperature structure in the stratosphere over the United States in summer that resolves spatial and structural variability, including the impact of gravity waves; and (iv) the resulting amplification in the catalytic loss rates of ozone for the dominant halogen, hydrogen, and nitrogen catalytic cycles. The weather radar observations of similar to 2,000 storms, on average, each summer that reach the altitude of rapidly increasing available inorganic chlorine, coupled with observed temperatures, portend a risk of initiating rapid heterogeneous catalytic conversion of inorganic chlorine to free radical form on ubiquitous sulfate-water aerosols; this, in turn, engages the element of risk associated with ozone loss in the stratosphere over the central United States in summer based upon the same reaction network that reduces stratospheric ozone over the Arctic. The summertime development of the upper-level anticyclonic flow over the United States, driven by the North American Monsoon, provides a means of retaining convectively injected water, thereby extending the time for catalytic ozone loss over the Great Plains. Trusted decadal forecasts of UV dosage over the United States in summer require understanding the response of this dynamical and photochemical system to increased forcing of the climate by increasing levels of CO2 and CH4.</t>
  </si>
  <si>
    <t>[Anderson, James G.; Wilmouth, David M.; Klobas, J. Eric] Harvard Univ, Dept Chem &amp; Chem Biol, Cambridge, MA 02138 USA; [Anderson, James G.; Wofsy, Steven C.] Harvard Univ, Dept Earth &amp; Planetary Sci, 20 Oxford St, Cambridge, MA 02138 USA; [Anderson, James G.; Weisenstein, Debra K.; Smith, Jessica B.; Wilmouth, David M.; Sayres, David S.; Leroy, Stephen S.; Dykema, John A.; Wofsy, Steven C.] Harvard Univ, Harvard John A Paulson Sch Engn &amp; Appl Sci, Cambridge, MA 02138 USA; [Bowman, Kenneth P.] Texas A&amp;M Univ, Dept Atmospher Sci, College Stn, TX 77843 USA; [Homeyer, Cameron R.] Univ Oklahoma, Sch Meteorol, Norman, OK 73019 USA</t>
  </si>
  <si>
    <t>Harvard University; Harvard University; Harvard University; Texas A&amp;M University System; Texas A&amp;M University College Station; University of Oklahoma System; University of Oklahoma - Norman</t>
  </si>
  <si>
    <t>Anderson, JG (corresponding author), Harvard Univ, Dept Chem &amp; Chem Biol, Cambridge, MA 02138 USA.;Anderson, JG (corresponding author), Harvard Univ, Dept Earth &amp; Planetary Sci, 20 Oxford St, Cambridge, MA 02138 USA.;Anderson, JG (corresponding author), Harvard Univ, Harvard John A Paulson Sch Engn &amp; Appl Sci, Cambridge, MA 02138 USA.</t>
  </si>
  <si>
    <t>anderson@huarp.harvard.edu</t>
  </si>
  <si>
    <t>Homeyer, Cameron/D-5034-2013; Bowman, Kenneth P/A-1345-2012</t>
  </si>
  <si>
    <t>Homeyer, Cameron/0000-0002-4883-6670; Klobas, J./0000-0002-7732-4287; Leroy, Stephen/0000-0003-4862-4755; Smith, Jessica/0000-0003-2070-1894</t>
  </si>
  <si>
    <t>Directorate For Geosciences; Div Atmospheric &amp; Geospace Sciences [1522910] Funding Source: National Science Foundation; Directorate For Geosciences; Div Atmospheric &amp; Geospace Sciences [1522906] Funding Source: National Science Foundation</t>
  </si>
  <si>
    <t>Directorate For Geosciences; Div Atmospheric &amp; Geospace Sciences(National Science Foundation (NSF)NSF - Directorate for Geosciences (GEO)); Directorate For Geosciences; Div Atmospheric &amp; Geospace Sciences(National Science Foundation (NSF)NSF - Directorate for Geosciences (GEO))</t>
  </si>
  <si>
    <t>E4905</t>
  </si>
  <si>
    <t>E4913</t>
  </si>
  <si>
    <t>10.1073/pnas.1619318114</t>
  </si>
  <si>
    <t>EY0YL</t>
  </si>
  <si>
    <t>WOS:000403687300005</t>
  </si>
  <si>
    <t>Köhler, P; Nehrbass-Ahles, C; Schmitt, J; Stocker, TF; Fischer, H</t>
  </si>
  <si>
    <t>Koehler, Peter; Nehrbass-Ahles, Christoph; Schmitt, Jochen; Stocker, Thomas F.; Fischer, Hubertus</t>
  </si>
  <si>
    <t>A 156 kyr smoothed history of the atmospheric greenhouse gases CO2, CH4, and N2O and their radiative forcing</t>
  </si>
  <si>
    <t>DEEP ICE CORE; SCALE CLIMATE-CHANGE; NITROUS-OXIDE; ANTARCTIC ICE; METHANE MEASUREMENTS; CHRONOLOGY AICC2012; WD2014 CHRONOLOGY; CONTINUOUS-FLOW; LAST; CONSTRAINTS</t>
  </si>
  <si>
    <t>Continuous records of the atmospheric greenhouse gases (GHGs) CO2, CH4, and N2O are necessary input data for transient climate simulations, and their associated radiative forcing represents important components in analyses of climate sensitivity and feedbacks. Since the available data from ice cores are discontinuous and partly ambiguous, a well-documented decision process during data compilation followed by some interpolating post-processing is necessary to obtain those desired time series. Here, we document our best possible data compilation of published ice core records and recent measurements on firn air and atmospheric samples spanning the interval from the penultimate glacial maximum (similar to 156 kyr BP) to the beginning of the year 2016 CE. We use the most recent age scales for the ice core data and apply a smoothing spline method to translate the discrete and irregularly spaced data points into continuous time series. These splines are then used to compute the radiative forcing for each GHG using well-established, simple formulations. We compile only a Southern Hemisphere record of CH4 and discuss how much larger a Northern Hemisphere or global CH4 record might have been due to its interpolar difference. The uncertainties of the individual data points are considered in the spline procedure. Based on the given data resolution, time-dependent cutoff periods of the spline, defining the degree of smoothing, are prescribed, ranging from 5000 years for the less resolved older parts of the records to 4 years for the densely sampled recent years. The computed splines seamlessly describe the GHG evolution on orbital and millennial timescales for glacial and glacial-interglacial variations and on centennial and decadal timescales for anthropogenic times. Data connected with this paper, including raw data and final splines, are available at https://doi.org/10.1594/PANGAEA. 871273.</t>
  </si>
  <si>
    <t>[Koehler, Peter] Helmholtz Zentrum Polar &amp; Meeresforsch AWI, Alfred Wegener Inst, POB 12 01 61, D-27515 Bremerhaven, Germany; [Nehrbass-Ahles, Christoph; Schmitt, Jochen; Stocker, Thomas F.; Fischer, Hubertus] Univ Bern, Phys Inst, Climate &amp; Environm Phys, Bern, Switzerland; [Nehrbass-Ahles, Christoph; Schmitt, Jochen; Stocker, Thomas F.; Fischer, Hubertus] Univ Bern, Oeschger Ctr Climate Change Res, Bern, Switzerland</t>
  </si>
  <si>
    <t>Helmholtz Association; Alfred Wegener Institute, Helmholtz Centre for Polar &amp; Marine Research; University of Bern; University of Bern</t>
  </si>
  <si>
    <t>Köhler, P (corresponding author), Helmholtz Zentrum Polar &amp; Meeresforsch AWI, Alfred Wegener Inst, POB 12 01 61, D-27515 Bremerhaven, Germany.</t>
  </si>
  <si>
    <t>peter.koehler@awi.de</t>
  </si>
  <si>
    <t>Schmitt, Jochen/B-7893-2009; Köhler, Peter/F-7293-2010; Fischer, Hubertus/A-1211-2014</t>
  </si>
  <si>
    <t>Schmitt, Jochen/0000-0003-4695-3029; Köhler, Peter/0000-0003-0904-8484; Fischer, Hubertus/0000-0002-2787-4221; Nehrbass-Ahles, Christoph/0000-0002-4009-4633</t>
  </si>
  <si>
    <t>University of Bern by Swiss National Science Foundation (SNF)</t>
  </si>
  <si>
    <t>We thank NOAA for the availability of the instrumental GHG data, specifically Ed Dlugokencky and Pieter Tans, NOAA/ESRL (www.esrl.noaa.gov/gmd/ccgg/trends/), and Ralph Keeling, Scripps Institution of Oceanography (scrippsco2.ucsd.edu/). Furthermore, we thank Fortunat Joos for some earlier thoughts on similar GHG data compilations and for providing the Fortran routines to calculate the spline fits; Jenny Roberts for improving the English; Thomas Bauska and two anonymous reviewers for their comments; and Rainer Sieger (PANGAEA) for comments on the uploaded data, which led to the preparation of Table 1. This is a contribution to the German BMBF project PALMOD. Long-term support of ice core research at the University of Bern by the Swiss National Science Foundation (SNF) is gratefully acknowledged.</t>
  </si>
  <si>
    <t>10.5194/essd-9-363-2017</t>
  </si>
  <si>
    <t>EX9RS</t>
  </si>
  <si>
    <t>Green Submitted, gold, Green Published, Green Accepted</t>
  </si>
  <si>
    <t>WOS:000403596200001</t>
  </si>
  <si>
    <t>See-Too, WS; Chua, KO; Lim, YL; Chen, JW; Convey, P; Mohidin, TBM; Yin, WF; Chan, KG</t>
  </si>
  <si>
    <t>See-Too, Wah-Seng; Chua, Kah-Ooi; Lim, Yan-Lue; Chen, Jian-Woon; Convey, Peter; Mohidin, Taznim Begam Mohd; Yin, Wai-Fong; Chan, Kok-Gan</t>
  </si>
  <si>
    <t>Complete genome sequence of Planococcus donghaensis JH1T, a pectin-degrading bacterium</t>
  </si>
  <si>
    <t>Psychrotolerant; Halotolerant; Pectinase enzymes; Butanol; Carotenoid</t>
  </si>
  <si>
    <t>GROWTH PROMOTING BACTERIUM; SUBSYSTEMS TECHNOLOGY; ANNOTATION; DATABASE; SYSTEM; JUICE; GENE; RAST</t>
  </si>
  <si>
    <t>The type strain Planococcus donghaensis JH1(T) is a psychrotolerant and halotolerant bacterium with starch degrading ability. Here, we determine the carbon utilization profile of P. donghaensis JH1(T) and report the first complete genome of the strain. This study revealed the strain's ability to utilize pectin and n-galacturonic acid, and identified genes responsible for degradation of the polysaccharides. The genomic information provided may serve as a fundamental resource for full exploration of the biotechnological potential of P. donghaensis JH1(T).</t>
  </si>
  <si>
    <t>[See-Too, Wah-Seng; Chua, Kah-Ooi; Lim, Yan-Lue; Chen, Jian-Woon; Yin, Wai-Fong; Chan, Kok-Gan] Univ Malaya, Fac Sci, Inst Biol Sci, Div Genet &amp; Mol Biol, Kuala Lumpur 50603, Malaysia; [See-Too, Wah-Seng; Convey, Peter] Univ Malaya, Inst Postgrad Studies, NARC, Kuala Lumpur 50603, Malaysia; [Convey, Peter] British Antarctic Survey, NERC, High Cross,Madingley Rd, Cambridge CB3 0ET, England; [Chen, Jian-Woon; Chan, Kok-Gan] Univ Malaya, UM Omics Ctr, Kuala Lumpur, Malaysia; [Mohidin, Taznim Begam Mohd] Univ Malaya, Inst Biol Sci, Div Microbiol, Fac Sci, Kuala Lumpur, Malaysia</t>
  </si>
  <si>
    <t>Universiti Malaya; Universiti Malaya; UK Research &amp; Innovation (UKRI); Natural Environment Research Council (NERC); NERC British Antarctic Survey; Universiti Malaya; Universiti Malaya</t>
  </si>
  <si>
    <t>Chan, KG (corresponding author), Univ Malaya, Fac Sci, Inst Biol Sci, Div Genet &amp; Mol Biol, Kuala Lumpur 50603, Malaysia.</t>
  </si>
  <si>
    <t>Mohidin, Taznim Begam Mohd/S-8567-2016; Chen, Jian Woon/M-5851-2014; Chan, Kok-Gan/B-8347-2010; See-Too, Wah-Seng/O-9330-2019; Chua, Kah-Ooi/GXM-4493-2022; Convey, Peter/AAV-5728-2020; Chua, Kah-Ooi/AAY-2707-2021</t>
  </si>
  <si>
    <t>Mohidin, Taznim Begam Mohd/0000-0002-5996-8409; Chan, Kok-Gan/0000-0002-1883-1115; See-Too, Wah-Seng/0000-0003-0843-1895; Convey, Peter/0000-0001-8497-9903;</t>
  </si>
  <si>
    <t>University of Malaya High Impact Research Grants (UM-MOHE HIR Grant) [UM.C/625/1/HIR/MOHE/CHAN/14/1, H-50001-A000027, UM.C/625/1/HIR/MOHE/CHAN/01, A-000001-50001]; Bright Sparks Program of the University of Malaya; NERC; University of Malaya Visiting Icon Professorship; PPP Grant [PG089-2015B]; NERC [bas0100036] Funding Source: UKRI; Natural Environment Research Council [bas0100036] Funding Source: researchfish</t>
  </si>
  <si>
    <t>University of Malaya High Impact Research Grants (UM-MOHE HIR Grant); Bright Sparks Program of the University of Malaya; NERC(UK Research &amp; Innovation (UKRI)Natural Environment Research Council (NERC)); University of Malaya Visiting Icon Professorship; PPP Grant; NERC(UK Research &amp; Innovation (UKRI)Natural Environment Research Council (NERC)); Natural Environment Research Council(UK Research &amp; Innovation (UKRI)Natural Environment Research Council (NERC))</t>
  </si>
  <si>
    <t>This work was supported by the University of Malaya High Impact Research Grants (UM-MOHE HIR Grant UM.C/625/1/HIR/MOHE/CHAN/14/1, Grant No. H-50001-A000027; UM-MOHE HIR Grant UM.C/625/1/HIR/MOHE/CHAN/01, Grant No. A-000001-50001) awarded to Kok-Gan Chan and PPP Grant (Grant No. PG089-2015B) awarded to Kah-Ooi Chua. Wah-Seng See-Too thanks the Bright Sparks Program of the University of Malaya for scholarship support. Peter Convey is supported by NERC core funding to the British Antarctic Survey's Tiodiversity, Evolution and Adaptation' Team, and by a University of Malaya Visiting Icon Professorship.</t>
  </si>
  <si>
    <t>10.1016/j.jbiotec.2017.05.005</t>
  </si>
  <si>
    <t>EY1MV</t>
  </si>
  <si>
    <t>WOS:000403730900002</t>
  </si>
  <si>
    <t>González-Rocha, G; Muñoz-Cartes, G; Canales-Aguirre, CB; Lima, CA; Domínguez-Yévenes, M; Bello-Toledo, H; Hernández, CE</t>
  </si>
  <si>
    <t>Gonzalez-Rocha, Gerardo; Munoz-Cartes, Gabriel; Canales-Aguirre, Cristian B.; Lima, Celia A.; Dominguez-Yevenes, Mariana; Bello-Toledo, Helia; Hernandez, Cristian E.</t>
  </si>
  <si>
    <t>Diversity structure of culturable bacteria isolated from the Fildes Peninsula (King George Island, Antarctica): A phylogenetic analysis perspective</t>
  </si>
  <si>
    <t>SP-NOV.; PROKARYOTIC DIVERSITY; HETEROTROPHIC BACTERIA; ENVIRONMENT-SELECTS; COMMUNITY STRUCTURE; NICHE CONSERVATISM; MICROBIAL MATS; ROSS SEA; TERRESTRIAL; GENE</t>
  </si>
  <si>
    <t>It has been proposed that Antarctic environments select microorganisms with unique biochemical adaptations, based on the tenet 'Everything is everywhere, but, the environment selects' by Baas-Becking. However, this is a hypothesis that has not been extensively evaluated. This study evaluated the fundamental prediction contained in this hypothesis-in the sense that species are structured in the landscape according to their local habitats-, using as study model the phylogenetic diversity of the culturable bacteria of Fildes Peninsula (King George Island, Antarctica). Eighty bacterial strains isolated from 10 different locations in the area, were recovered. Based on phylogenetic analysis of 16S rRNA gene sequences, the isolates were grouped into twenty-six phylotypes distributed in three main clades, of which only six are exclusive to Antarctica. Results showed that phylotypes do not group significantly by habitat type; however, local habitat types had phylogenetic signal, which support the phylogenetic niche conservatism hypothesis and not a selective role of the environment like the Baas-Becking hypothesis suggests. We propose that, more than habitat selection resulting in new local adaptations and diversity, local historical colonization and species sorting (i.e. differences in speciation and extinction rates that arise by interaction of species level traits with the environment) play a fundamental role on the culturable bacterial diversity in Antarctica.</t>
  </si>
  <si>
    <t>[Gonzalez-Rocha, Gerardo; Munoz-Cartes, Gabriel; Lima, Celia A.; Dominguez-Yevenes, Mariana; Bello-Toledo, Helia] Univ Concepcion, Fac Ciencias Biol, Dept Microbiol, Lab Invest &amp; Agentes Antibacteriano, Concepcion, Chile; [Canales-Aguirre, Cristian B.; Hernandez, Cristian E.] Univ Concepcion, Fac Ciencias Nat Oceanog, Dept Zool, Lab Ecol Evolutiva Filoinformat, Concepcion, Chile; [Canales-Aguirre, Cristian B.] Univ Los Lagos, Ctr Imar, Camino Chinquihue 6 km, Puerto Montt, Chile</t>
  </si>
  <si>
    <t>Universidad de Concepcion; Universidad de Concepcion; Universidad de Los Lagos</t>
  </si>
  <si>
    <t>Hernández, CE (corresponding author), Univ Concepcion, Fac Ciencias Nat Oceanog, Dept Zool, Lab Ecol Evolutiva Filoinformat, Concepcion, Chile.</t>
  </si>
  <si>
    <t>cristianhernand@udec.cl</t>
  </si>
  <si>
    <t>Hernández, Cristián E./GLS-1111-2022; Hernández, Cristián E./AAS-1286-2020; Bello-Toledo, H/AAA-2387-2022; Canales-Aguirre, Cristian B./K-4034-2019; Gonzalez-Rocha, Gerardo/AAP-1793-2021; Lima, Celia A/F-9206-2017; Gonzalez, Gerardo/KHE-5265-2024</t>
  </si>
  <si>
    <t>Hernández, Cristián E./0000-0002-9811-2881; Hernández, Cristián E./0000-0002-9811-2881; Bello-Toledo, H/0000-0002-9277-4681; Canales-Aguirre, Cristian B./0000-0002-8468-6139; Gonzalez-Rocha, Gerardo/0000-0003-2351-1236; Lima, Celia/0000-0002-4697-034X</t>
  </si>
  <si>
    <t>Institute Antartico Chileno INACH [G-03-07, T-17-08]; Fondo Nacional de Desarrollo Cientifico y Tecnologico FONDECYT [1140692, 1170815]; Fondo Nacional de Desarrollo Cientifico y Tecnologico FONDECYT POSDOCTORADO [3150456]; INACH [G-03-07, RT-17-08]; FONDECYT [1140692, 1170815, 3150456]</t>
  </si>
  <si>
    <t>Institute Antartico Chileno INACH; Fondo Nacional de Desarrollo Cientifico y Tecnologico FONDECYT(Comision Nacional de Investigacion Cientifica y Tecnologica (CONICYT)CONICYT FONDECYT); Fondo Nacional de Desarrollo Cientifico y Tecnologico FONDECYT POSDOCTORADO; INACH; FONDECYT(Comision Nacional de Investigacion Cientifica y Tecnologica (CONICYT)CONICYT FONDECYT)</t>
  </si>
  <si>
    <t>This study was financed by Institute Antartico Chileno INACH No G-03-07 (http//www. inach.cl/inachi) to MD-Y; Institute Antartico Chileno INACH No T-17-08 (http://www.inach.cl/inach/) to GG-R; Fondo Nacional de Desarrollo Cientifico y Tecnologico FONDECYT No 1140692 and 1170815 (http://www.conicyt.cl/fondecyt/) to CEHU and Fondo Nacional de Desarrollo Cientifico y Tecnologico FONDECYT POSDOCTORADO No 3150456 (http://www.conicyt.cl/fondecyt/) to CBC-A. The funders had no role in study design, data collection and analysis, decision to publish, or preparation of the manuscript.; To the Chilean Antarctic Institute (INACH) for the logistic support provided during our stay in the Research Base Profesor Julio Escudero. This research was founded by INACH RT-17-08 and G-03-07. Authors are very grateful to Dra. Patricia Virano for assistance by the previous version of the map. CEHU is grateful to funding from FONDECYT grant 1140692 and 1170815, CCA was funded by FONDECYT grant 3150456.</t>
  </si>
  <si>
    <t>e0179390</t>
  </si>
  <si>
    <t>10.1371/journal.pone.0179390</t>
  </si>
  <si>
    <t>EY5UN</t>
  </si>
  <si>
    <t>WOS:000404046100026</t>
  </si>
  <si>
    <t>Vega, GC; Pertierra, LR; Olalla-Tárraga, MA</t>
  </si>
  <si>
    <t>Vega, Greta C.; Pertierra, Luis R.; Angel Olalla-Tarraga, Miguel</t>
  </si>
  <si>
    <t>Data Descriptor: MERRAclim, a high-resolution global dataset of remotely sensed bioclimatic variables for ecological modelling</t>
  </si>
  <si>
    <t>PLANT-SPECIES RICHNESS; TEMPERATURE; ENERGY; HUMIDITY; PRECIPITATION; SPLINES; ESTABLISHMENT; PERFORMANCE; PREDICTION; DYNAMICS</t>
  </si>
  <si>
    <t>Species Distribution Models (SDMs) combine information on the geographic occurrence of species with environmental layers to estimate distributional ranges and have been extensively implemented to answer a wide array of applied ecological questions. Unfortunately, most global datasets available to parameterize SDMs consist of spatially interpolated climate surfaces obtained from ground weather station data and have omitted the Antarctic continent, a landmass covering c. 20% of the Southern Hemisphere and increasingly showing biological effects of global change. Here we introduce MERRAclim, a global set of satellite-based bioclimatic variables including Antarctica for the first time. MERRAclim consists of three datasets of 19 bioclimatic variables that have been built for each of the last three decades (1980s, 1990s and 2000s) using hourly data of 2m temperature and specific humidity. We provide MERRAclim at three spatial resolutions (10 arc-minutes, 5 arc-minutes and 2.5 arc-minutes). These reanalysed data are comparable to widely used datasets based on ground station interpolations, but allow extending their geographical reach and SDM building in previously uncovered regions of the globe.</t>
  </si>
  <si>
    <t>[Vega, Greta C.; Pertierra, Luis R.; Angel Olalla-Tarraga, Miguel] Rey Juan Carlos Univ, Dept Biol &amp; Geol, Phys &amp; Inorgan Chem, Calle Tulipan S-N, Mostoles 28933, Madrid, Spain</t>
  </si>
  <si>
    <t>Universidad Rey Juan Carlos</t>
  </si>
  <si>
    <t>Vega, GC (corresponding author), Rey Juan Carlos Univ, Dept Biol &amp; Geol, Phys &amp; Inorgan Chem, Calle Tulipan S-N, Mostoles 28933, Madrid, Spain.</t>
  </si>
  <si>
    <t>greta.vega@urjc.es</t>
  </si>
  <si>
    <t>Pertierra, Luis R./K-3727-2017; Olalla-Tárraga, Miguel Ángel/ABE-7880-2020</t>
  </si>
  <si>
    <t>Pertierra, Luis R./0000-0002-2232-428X; Olalla-Tárraga, Miguel Ángel/0000-0001-5346-4528</t>
  </si>
  <si>
    <t>Spanish MINECO grant [CTM2013-47381-P]; SCAR-COMNAP fellowship; NSF [ANT-1543305]</t>
  </si>
  <si>
    <t>Spanish MINECO grant(Spanish Government); SCAR-COMNAP fellowship; NSF(National Science Foundation (NSF))</t>
  </si>
  <si>
    <t>Research was funded by Spanish MINECO grant (CTM2013-47381-P) to MAO-T. LRP was awarded a SCAR-COMNAP fellowship 2013-14. We acknowledge the Global Modeling and Assimilation Office (GMAO) and the GES DISC for the dissemination of MERRA. We appreciate the support of the University of Wisconsin-Madison Automatic Weather Station Program for the data set, data display, and information, NSF grant number ANT-1543305. We are grateful to Joaquin Hortal for his constructive comments.</t>
  </si>
  <si>
    <t>10.1038/sdata.2017.78</t>
  </si>
  <si>
    <t>EY1CH</t>
  </si>
  <si>
    <t>WOS:000403699400001</t>
  </si>
  <si>
    <t>Blasina, G; Cazorla, AL; Antoni, MD; Bruno, D; Delpiani, M; de Astarloa, JMD</t>
  </si>
  <si>
    <t>Blasina, Gabriela; Lopez Cazorla, Andrea; Deli Antoni, Mariana; Bruno, Daniel; Delpiani, Matias; Diaz de Astarloa, Juan Martin</t>
  </si>
  <si>
    <t>Ontogenetic changes in the feeding strategy of Lepidonotothen nudifrons (Pisces, Nototheniidae) off the South Shetland Islands and the Antarctic Peninsula</t>
  </si>
  <si>
    <t>Antarctic fish diet; zone-related changes; dominant prey; feeding strategy; trophic level; food web</t>
  </si>
  <si>
    <t>STANDARDIZED DIET COMPOSITIONS; POTTER COVE; ROSS SEA; GRAPHICAL ANALYSIS; FOOD COMPETITION; TROPHIC LEVELS; DEMERSAL FISH; ECOLOGY; WATERS; OCEAN</t>
  </si>
  <si>
    <t>The diet and feeding strategy of Lepidonotothen nudifrons off the South Shetland Islands and the Antarctic Peninsula, as well as their variation in relation to ontogenetic stage (juvenile-adult) and sampling area, were determined by stomach contents analysis. Additionally, the trophic level of this species was estimated to determine its position within the Antarctic food web. Out of 247 specimens with prey in their stomachs, 144 were caught near the South Shetland Islands and 103 off the Antarctic Peninsula. Ontogenetic changes in the trophic ecology of L. nudifrons were observed in both areas and were mainly related to a decrease of copepods and an increase of euphausiids in the diet. The diet of juveniles from the South Shetland Islands was characterized by the dominance of calanoid copepods, followed by isopods and amphipods, whereas diet off the Antarctic Peninsula was dominated by amphipods and cyclopoid copepods. The diet in adults was dominated by amphipods and euphausiids in both areas. The specialization of individual predators on different prey types was observed when considering the whole population of L. nudifrons, but when ontogenetic stages were considered separately it showed a more mixed feeding strategy, with different dominant prey for each class. Although the trophic level increased with fish size, L. nudifrons can be classified as secondary consumer throughout its lifespan.</t>
  </si>
  <si>
    <t>[Blasina, Gabriela; Lopez Cazorla, Andrea] UNS, Dept Biol Bioquim &amp; Farm, Lab Vertebrados, San Juan 670, RA-8000 Bahia Blanca, Buenos Aires, Argentina; [Blasina, Gabriela; Lopez Cazorla, Andrea] UNS, CONICET, Inst Argentino Oceanog, Bahia Blanca, Buenos Aires, Argentina; [Deli Antoni, Mariana; Delpiani, Matias; Diaz de Astarloa, Juan Martin] Univ Nacl Mar del Plata UNMdP, CONICET, Inst Invest Marinas &amp; Costeras, Mar Del Plata, Buenos Aires, Argentina; [Deli Antoni, Mariana; Delpiani, Matias; Diaz de Astarloa, Juan Martin] Univ Nacl Mar del Plata UNMdP, Grp Biotaxon Morfol &amp; Mol Peces, Mar Del Plata, Buenos Aires, Argentina; [Bruno, Daniel] Consejo Nacl Invest Cient &amp; Tecn, Lab Ecol Fisiol &amp; Educ Organismos Acuat, Ushuaia, Argentina</t>
  </si>
  <si>
    <t>National University of the South; National University of the South; Consejo Nacional de Investigaciones Cientificas y Tecnicas (CONICET); Consejo Nacional de Investigaciones Cientificas y Tecnicas (CONICET); National University of Mar del Plata; National University of Mar del Plata; Consejo Nacional de Investigaciones Cientificas y Tecnicas (CONICET)</t>
  </si>
  <si>
    <t>Blasina, G (corresponding author), UNS, Dept Biol Bioquim &amp; Farm, Lab Vertebrados, San Juan 670, RA-8000 Bahia Blanca, Buenos Aires, Argentina.</t>
  </si>
  <si>
    <t>gabriela_blasina@hotmail.com</t>
  </si>
  <si>
    <t>de Astarloa, Juan Diaz/F-5395-2012</t>
  </si>
  <si>
    <t>de Astarloa, Juan Diaz/0000-0002-9250-1771; Bruno, Daniel/0000-0002-1356-9752; Blasina, Gabriela/0000-0001-8000-9846</t>
  </si>
  <si>
    <t>Consejo Nacional de Investigaciones Cientificas y Tecnicas (project FONDO IBOL); Direccion Nacional del Antartico; Instituto Antartico Argentino; Consejo Nacional de Investigaciones Cientificas y Tecnicas</t>
  </si>
  <si>
    <t>Consejo Nacional de Investigaciones Cientificas y Tecnicas (project FONDO IBOL); Direccion Nacional del Antartico; Instituto Antartico Argentino; Consejo Nacional de Investigaciones Cientificas y Tecnicas(Consejo Nacional de Investigaciones Cientificas y Tecnicas (CONICET))</t>
  </si>
  <si>
    <t>This work was supported by the Consejo Nacional de Investigaciones Cientificas y Tecnicas (project FONDO IBOL); Direccion Nacional del Antartico and Instituto Antartico Argentino. GEB was supported by a fellowship from the Consejo Nacional de Investigaciones Cientificas y Tecnicas.</t>
  </si>
  <si>
    <t>JUN 19</t>
  </si>
  <si>
    <t>10.1080/17518369.2017.1331558</t>
  </si>
  <si>
    <t>EZ5QJ</t>
  </si>
  <si>
    <t>WOS:000404772200001</t>
  </si>
  <si>
    <t>Pardo, D; Jenouvrier, S; Weimerskirch, H; Barbraud, C</t>
  </si>
  <si>
    <t>Pardo, Deborah; Jenouvrier, Stephanie; Weimerskirch, Henri; Barbraud, Christophe</t>
  </si>
  <si>
    <t>Effect of extreme sea surface temperature events on the demography of an age-structured albatross population</t>
  </si>
  <si>
    <t>PHILOSOPHICAL TRANSACTIONS OF THE ROYAL SOCIETY B-BIOLOGICAL SCIENCES</t>
  </si>
  <si>
    <t>climate safety margin; matrix population model; seabird; population persistence</t>
  </si>
  <si>
    <t>CLIMATE-CHANGE; LIFE-HISTORY; DYNAMICS; VARIABILITY; IMPACT; MORTALITY; FISHERIES; CONSEQUENCES; ECOLOGY; SEABIRD</t>
  </si>
  <si>
    <t>Climate changes include concurrent changes in environmental mean, variance and extremes, and it is challenging to understand their respective impact on wild populations, especially when contrasted age-dependent responses to climate occur. We assessed how changes in mean and standard deviation of sea surface temperature (SST), frequency and magnitude of warm SST extreme climatic events (ECE) influenced the stochastic population growth rate log(lambda(s)) and age structure of a black-browed albatross population. For changes in SST around historical levels observed since 1982, changes in standard deviation had a larger (threefold) and negative impact on log(lambda s) compared to changes in mean. By contrast, the mean had a positive impact on log(lambda s). The historical SST mean was lower than the optimal SST value for which log(lambda s) was maximized. Thus, a larger environmental mean increased the occurrence of SST close to this optimum that buffered the negative effect of ECE. This 'climate safety margin' (i.e. difference between optimal and historical climatic conditions) and the specific shape of the population growth rate response to climate for a species determine how ECE affect the population. For a wider range in SST, both the mean and standard deviation had negative impact on log(lambda s), with changes in the mean having a greater effect than the standard deviation. Furthermore, around SST historical levels increases in either mean or standard deviation of the SST distribution led to a younger population, with potentially important conservation implications for black-browed albatrosses. This article is part of the themed issue 'Behavioural, ecological and evolutionary responses to extreme climatic events'.</t>
  </si>
  <si>
    <t>[Pardo, Deborah; Jenouvrier, Stephanie; Weimerskirch, Henri; Barbraud, Christophe] UMR7372 CNRS, Ctr Etud Biol Chize, F-79360 Villiers En Bois, France; [Pardo, Deborah] British Antarctic Survey, Madingley Rd High Cross, Cambridge CB3 0ET, England; [Jenouvrier, Stephanie] Woods Hole Oceanog Inst, Mailstop 50, Woods Hole, MA 02543 USA</t>
  </si>
  <si>
    <t>UK Research &amp; Innovation (UKRI); Natural Environment Research Council (NERC); NERC British Antarctic Survey; Woods Hole Oceanographic Institution</t>
  </si>
  <si>
    <t>Pardo, D (corresponding author), UMR7372 CNRS, Ctr Etud Biol Chize, F-79360 Villiers En Bois, France.;Pardo, D (corresponding author), British Antarctic Survey, Madingley Rd High Cross, Cambridge CB3 0ET, England.</t>
  </si>
  <si>
    <t>deborah.pardo@gmail.com</t>
  </si>
  <si>
    <t>Barbraud, Christophe/A-5870-2012; Weimerskirch, Henri/F-5562-2013; Weimerskirch, Henri/K-7306-2019; Pardo, Deborah/D-6996-2013</t>
  </si>
  <si>
    <t>Barbraud, Christophe/0000-0003-0146-212X; Weimerskirch, Henri/0000-0002-0457-586X; Pardo, Deborah/0000-0001-9593-1155</t>
  </si>
  <si>
    <t>Institut Paul Emile Victor [109]; Terres Australes et Antarctiques Francaises; NSF-Antarctic Sciences Division [1246407]; Grayce B. Kerr Fund; Penzance Endowed Fund; French Research Minister CNRS-INEE; NERC [bas0100035] Funding Source: UKRI; Natural Environment Research Council [bas0100035] Funding Source: researchfish</t>
  </si>
  <si>
    <t>Institut Paul Emile Victor; Terres Australes et Antarctiques Francaises; NSF-Antarctic Sciences Division; Grayce B. Kerr Fund; Penzance Endowed Fund; French Research Minister CNRS-INEE; NERC(UK Research &amp; Innovation (UKRI)Natural Environment Research Council (NERC)); Natural Environment Research Council(UK Research &amp; Innovation (UKRI)Natural Environment Research Council (NERC))</t>
  </si>
  <si>
    <t>Work carried out at Canyon des Sourcils Noirs was supported by Institut Paul Emile Victor (IPEV program no. 109) and Terres Australes et Antarctiques Francaises. S.J. thanks support from NSF-Antarctic Sciences Division (project no. 1246407), the Grayce B. Kerr Fund and the Penzance Endowed Fund in Support of Assistant Scientists. D.P. PhD was supported by a grant from the French Research Minister CNRS-INEE.</t>
  </si>
  <si>
    <t>0962-8436</t>
  </si>
  <si>
    <t>1471-2970</t>
  </si>
  <si>
    <t>PHILOS T R SOC B</t>
  </si>
  <si>
    <t>Philos. Trans. R. Soc. B-Biol. Sci.</t>
  </si>
  <si>
    <t>10.1098/rstb.2016.0143</t>
  </si>
  <si>
    <t>EU3IB</t>
  </si>
  <si>
    <t>WOS:000400921300009</t>
  </si>
  <si>
    <t>Hatvani, IG; Kern, Z</t>
  </si>
  <si>
    <t>Hatvani, Istvan Gabor; Kern, Zoltan</t>
  </si>
  <si>
    <t>Weighting alternatives for water stable isotopes: Statistical comparison between station-and firn/ice-records</t>
  </si>
  <si>
    <t>Antarctica; amount-weighted annual average; delta O-18 and delta H-2 records; polar precipitation; snow accumulation; temperature proxy; vapor exchange</t>
  </si>
  <si>
    <t>DRONNING MAUD LAND; ANTARCTIC PENINSULA; RECENT ACCUMULATION; NEUMAYER STATION; OXYGEN ISOTOPES; ICE CORES; CLIMATE; PRECIPITATION; TEMPERATURE; VARIABILITY</t>
  </si>
  <si>
    <t>It is generally accepted that ice cores archive amount-weighted water stable isotope signals. In order to achieve an improved understanding of the nature of water stable isotope signals stored in ice cores annual delta O-18 and WIT averages (i.e. amount-weighted) were calculated for two Antarctic meteorological stations, Vernadsky and Halley Bay, using monthly precipitation amount and monthly net accumulation as weights, respectively. These were then compared with the annual mean delta O-18 and delta H-2 records of the nearest available ice cores. In addition, at the stations, both arithmetic means (i.e. time-weighted) and amount-weighted (precipitation amount and net accumulation used as weights) annual air temperature averages were calculated and then compared to amount weighted annual mean delta O-18 and delta H-2. using correlation- and regression analyses. The main hypothesis was that amount weighted annual mean water isotope and temperature records from the stations would he able to replicate the annual water isotope signal stored in ice cores to a higher degree. Results showed that (i) amount weighting is incapable of ameliorating the signal replication between the stations and the ice cores, while arithmetic means gave the stronger linear relationships; (ii) post depositional processes may have a more determining effect on the isotopic composition of the firn than expected; and (iii) mean annual air temperature provided the closest match to ice core derived annual water isotope records. This latter conveys a similar message to that of recent findings, in as much as ambient temperature, via equilibrium isotope fractionation, is imprinted into the uppermost snow layer by vapor exchange even between precipitation events. Thgether, these observations imply that ice core stable water isotope records can he a more continuous archive of near-surface temperature changes than hitherto believed.</t>
  </si>
  <si>
    <t>[Hatvani, Istvan Gabor; Kern, Zoltan] Hungarian Acad Sci, Res Ctr Astron &amp; Earth Sci, Inst Geol &amp; Geochem Res, Budaorsi Ut 45, H-1112 Budapest, Hungary</t>
  </si>
  <si>
    <t>Hungarian Research Network; Hungarian Academy of Sciences; HUN-REN Research Centre for Astronomy &amp; Earth Sciences; Institute for Geological &amp; Geochemical Research - HAS</t>
  </si>
  <si>
    <t>Kern, Z (corresponding author), Hungarian Acad Sci, Res Ctr Astron &amp; Earth Sci, Inst Geol &amp; Geochem Res, Budaorsi Ut 45, H-1112 Budapest, Hungary.</t>
  </si>
  <si>
    <t>hatvaniig@gmail.com; kern@geochem.hu</t>
  </si>
  <si>
    <t>Kern, Zoltan/C-8449-2013</t>
  </si>
  <si>
    <t>Kern, Zoltan/0000-0003-4900-2587</t>
  </si>
  <si>
    <t>Lendillet program of the Hungarian Academy of Sciences [L22012-27/2012]; Ministry of Human Capacities [NTP-EFO-P-15-0550]; Janos Bolyai Research Scholarship of the Hungarian Academy of Sciences</t>
  </si>
  <si>
    <t>Lendillet program of the Hungarian Academy of Sciences; Ministry of Human Capacities; Janos Bolyai Research Scholarship of the Hungarian Academy of Sciences(Hungarian Academy of Sciences)</t>
  </si>
  <si>
    <t>WC would like to thank to John King and Steve Colwell (British Antarctic Survey), and Denis Pishniak (National Antarctic Scientific Center of Ukraine) for providing access to their data and the researchers who archived their Antarctic ice core derived stable isotope data in PANG-AEA. Also, we thank Kazimierz Rozanski and an anonymous reviewer for their helpful and constructive comments that helped improving this paper. Authors acknowledge the support of the Lendillet program of the Hungarian Academy of Sciences (L22012-27/2012), the Ministry of Human Capacities (NTP-EFO-P-15-0550) and the Janos Bolyai Research Scholarship of the Hungarian Academy of Sciences. This is contribution No. 33 of 2ka Paiwoclimatology Research Group.</t>
  </si>
  <si>
    <t>JUN 17</t>
  </si>
  <si>
    <t>10.1515/popore-2017-0006</t>
  </si>
  <si>
    <t>EZ2SN</t>
  </si>
  <si>
    <t>WOS:000404560600001</t>
  </si>
  <si>
    <t>Lopienska-Biernat, E; Pastorczyk, M; Gielwanowska, I; Zoltowska, K; Stryinski, R; Zaobidna, E</t>
  </si>
  <si>
    <t>Lopienska-Biernat, Elzbieta; Pastorczyk, Marta; Gielwanowska, Irena; Zoltowska, Krystyna; Stryinski, Robert; Zaobidna, Ewa</t>
  </si>
  <si>
    <t>The influence of short-term cold stress on the metabolism of non-structural carbohydrates in polar grasses</t>
  </si>
  <si>
    <t>Arctic; Antarctic; cold stress; carbohydrates; enzymes; Poaceae; polar plants</t>
  </si>
  <si>
    <t>SUCROSE-PHOSPHATE SYNTHASE; QUITENSIS KUNTH BARTL.; COLOBANTHUS-QUITENSIS; INVERTASE ACTIVITY; SENSITIVE METHOD; GLASS-FORMATION; PLANTS; ACCUMULATION; EXPRESSION; GENE</t>
  </si>
  <si>
    <t>Plants adapt to extremely low temperatures in polar regions by maximizing their photosynthetic efficiency and accumulating cryoprotective and osmoprotective compounds. Flowering plants of the family Poaceae growing in the Arctic and in the Antarctic were investigated. Their responses to cold stress were analyzed under laboratory conditions. Samples were collected after 24 h and 48 h of cold treatment. Quantitative and qualitative changes of sugars are found among different species, but they can differ within a genus of the family Poaceae. The values of the investigated parameters in Poa annua differed considerably depending to the biogeographic origin of plants. At the beginning of the experiment, Antarctic plants were acclimatized in greenhouse characterized by significantly higher content of sugars, including storage reserves, sucrose and starch, but lower total protein content. After 24 h of exposure to cold stress, much smaller changes in the examined parameters were noted in Antarctic plants than in locally grown specimens. Total sugar content and sucrose, starch and glucose levels were nearly constant in P. annua, but they varied significantly. Those changes are responsible for the high adaptability of P. annua to survive and develop in highly unsupportive environments and colonize new regions.</t>
  </si>
  <si>
    <t>[Lopienska-Biernat, Elzbieta; Zoltowska, Krystyna; Stryinski, Robert; Zaobidna, Ewa] Univ Warmia &amp; Mazury, Fac Biol &amp; Biotechnol, Dept Biochem, Oczapowskiego 1A, PL-10719 Olsztyn, Poland; [Pastorczyk, Marta; Gielwanowska, Irena] Univ Warmia &amp; Mazury, Fac Biol &amp; Biotechnol, Dept Plant Physiol Genet &amp; Biotechnol, Oczapowskiego 1A, PL-10719 Olsztyn, Poland</t>
  </si>
  <si>
    <t>University of Warmia &amp; Mazury; University of Warmia &amp; Mazury</t>
  </si>
  <si>
    <t>Lopienska-Biernat, E (corresponding author), Univ Warmia &amp; Mazury, Fac Biol &amp; Biotechnol, Dept Biochem, Oczapowskiego 1A, PL-10719 Olsztyn, Poland.</t>
  </si>
  <si>
    <t>ela.lopienska@uwm.edu.pl</t>
  </si>
  <si>
    <t>Łopieńska-Biernat, Elzbieta/AAN-6140-2020; Pastorczyk-Szlenkier, Marta/AAK-2859-2021; Stryiński, Robert/O-2312-2018</t>
  </si>
  <si>
    <t>Łopieńska-Biernat, Elzbieta/0000-0003-3265-5207; Pastorczyk-Szlenkier, Marta/0000-0002-9747-8283; Stryiński, Robert/0000-0001-5518-8854; Gielwanowska, Irena/0000-0002-9001-1285; Zaobidna, Ewa/0000-0003-2038-004X</t>
  </si>
  <si>
    <t>10.1515/popore-2017-0012</t>
  </si>
  <si>
    <t>WOS:000404560600005</t>
  </si>
  <si>
    <t>Sierakowski, K; Korczak-Abshire, M; Jadwiszczak, P</t>
  </si>
  <si>
    <t>Sierakowski, Kazimierz; Korczak-Abshire, Malgorzata; Jadwiszczak, Piotr</t>
  </si>
  <si>
    <t>Changes in bird communities of Admiralty Bay, King George Island (West Antarctic): insights from monitoring data (1977-1996)</t>
  </si>
  <si>
    <t>Antarctic; Admiralty Bay; ASPA 128; volant birds; penguins; census</t>
  </si>
  <si>
    <t>PENGUIN POPULATION-CHANGES; SOUTH SHETLAND ISLANDS; CLIMATE-CHANGE; CHINSTRAP PENGUINS; 1ST RECORD; ADELIE; PHENOLOGY; SKUAS; KRILL; ECOSYSTEMS</t>
  </si>
  <si>
    <t>The paper summarizes results of twenty years of seabird observations carried out between 1977 and 1996 on the western shore of Admiralty Bay (King George Island, South Shetlands, Antarctic). Changes in population size, distribution and phenology of the breeding species as well as the appearance of non-breeding species are reported. A total of 34 species of birds were observed, including 13 breeding species. Among the non-breeding species, four were observed to visit the site regularly, six rarely, and the remaining LI were observed only occasionally. Among breeding populations, three Pygoscelis penguin species, the main krill consumers, were most numerous. The Adelie Penguin (P. adeliae) dominated among the penguins nesting in the investigated areas, reaching 23,661 breeding pairs in 1978. Two other penguin species were less abundant with population sizes of approximately 7,200 breeding pairs for the Chinstrap Penguin (P. antarcticus) and 3,100 breeding pairs for the Gentoo Penguin (P. papua) in the same year. During the following two decades, breeding populations of pygoscelid species experienced a declining trend and their numbers were reduced by 68.0% for Chinstrap, 67.1% for Gentoo, and 33.9% for Adelie Penguins. The data reported here represent a unique reference basis and provide valuable information about indicator species, suitable for comparison with contemporary observations of bird populations in the Antarctic Peninsula region, a place of rapidly occurring climate changes and intensive harvesting of marine living resources.</t>
  </si>
  <si>
    <t>[Sierakowski, Kazimierz; Korczak-Abshire, Malgorzata] Polish Acad Sci, Inst Biochem &amp; Biophys, Pawinskiego 5a, PL-02106 Warsaw, Poland; [Jadwiszczak, Piotr] Univ Bialystok, Inst Biol, Dept Genet &amp; Evolut, K Ciolkowskiego 1J, PL-15245 Bialystok, Poland</t>
  </si>
  <si>
    <t>Polish Academy of Sciences; Institute of Biochemistry &amp; Biophysics - Polish Academy of Sciences; University of Bialystok</t>
  </si>
  <si>
    <t>Korczak-Abshire, M (corresponding author), Polish Acad Sci, Inst Biochem &amp; Biophys, Pawinskiego 5a, PL-02106 Warsaw, Poland.</t>
  </si>
  <si>
    <t>mka@ibb.waw.pl</t>
  </si>
  <si>
    <t>Jadwiszczak, Piotr/P-4336-2019; Korczak-Abshire, Malgorzata/AAA-1563-2020</t>
  </si>
  <si>
    <t>Jadwiszczak, Piotr/0000-0002-5263-1125; Korczak-Abshire, Malgorzata/0000-0001-7695-0588</t>
  </si>
  <si>
    <t>Kaziemierz Sierakowski would like to thank Professor Stanislaw Rakusa-Suszczewski, for making his participation in the 12th, 14th, 16th and 19th Polish Antarctic Expeditions to the Arctowski Station possible, and Professor Aleksander Wasilewski, for the scientific supervision. He would also like to thank the leaders of expeditions: Dr Piotr Presler, Pawel Madejski, Professor Maria Olech and Krzysztof Makowski for priceless help. He is particularly grateful to Professor Andrzej Tatur for his support in manuscript preparation.;Authors would like to thank all reviewers, especially Dr Susan G. Trivelpiece for valuable and precious suggestions to our manuscript. The development of archive data has been partly supported by funding from the Polish-Norwegian Research Programme operated by the National Centre for Research and Development under the Norwegian Financial Mechanism 2009-2014 in the frame of Project Contract No 197810. The data used in the paper were collected based on Henryk Arctowski Polish Antarctic Station and are available in the Department of Antarctic Biology, Institute of Biochemistry and Biophysics, PAS.</t>
  </si>
  <si>
    <t>10.1515/popore-2017-0010</t>
  </si>
  <si>
    <t>WOS:000404560600007</t>
  </si>
  <si>
    <t>Burton-Johnson, A; Halpin, JA; Whittaker, JM; Graham, FS; Watson, SJ</t>
  </si>
  <si>
    <t>Burton-Johnson, A.; Halpin, J. A.; Whittaker, J. M.; Graham, F. S.; Watson, S. J.</t>
  </si>
  <si>
    <t>A new heat flux model for the Antarctic Peninsula incorporating spatially variable upper crustal radiogenic heat production</t>
  </si>
  <si>
    <t>heat flux; heat flow; Antarctica; glaciology; heat production; glaciological modeling</t>
  </si>
  <si>
    <t>EAST ANTARCTICA; ICE-SHEET; GEOTHERMAL FLUX; BREAK-UP; FLOW; TEMPERATURE; BASIN; LAND; GEOCHRONOLOGY; SEDIMENTOLOGY</t>
  </si>
  <si>
    <t>A new method for modeling heat flux shows that the upper crust contributes up to 70% of the Antarctic Peninsula's subglacial heat flux and that heat flux values are more variable at smaller spatial resolutions than geophysical methods can resolve. Results indicate a higher heat flux on the east and south of the Peninsula (mean 81mWm(-2)) where silicic rocks predominate, than on the west and north (mean 67mWm(-2)) where volcanic arc and quartzose sediments are dominant. While the data supports the contribution of heat-producing element-enriched granitic rocks to high heat flux values, sedimentary rocks can be of comparative importance dependent on their provenance and petrography. Models of subglacial heat flux must utilize a heterogeneous upper crust with variable radioactive heat production if they are to accurately predict basal conditions of the ice sheet. Our new methodology and data set facilitate improved numerical model simulations of ice sheet dynamics. Plain Language Summary As the climate changes, the Antarctic ice sheet represents the single largest potential source of sea level rise. However, one key parameter controlling how the ice sheet flows remains poorly constrained: the effect of heat derived from the Earth's geology on the base of the ice sheet (known as subglacial heat flux). Although this may not seem like a lot of heat, under slow-flowing ice, this heat flux can control how well the ice sheet can flow over the rocks and even lead to melting of the ice at its base. Current models for Antarctica's heat flux use geophysics to determine how thin the crust is and consequently how easily heat from the Earth's mantle can warm the surface. We show here that heat produced by radioactive decay within the Earth's crust can have an even greater and much more variable contribution to the subglacial heat flux than estimated by these previous models. We present a new methodology allowing this crustal heat production to be calculated and combined with the geophysical models, producing a new map of heat flux on the Antarctic Peninsula highlighting the variations in heat flux caused by different rock types.</t>
  </si>
  <si>
    <t>[Burton-Johnson, A.] British Antarctic Survey, Cambridge, England; [Halpin, J. A.; Whittaker, J. M.; Graham, F. S.; Watson, S. J.] Univ Tasmania, Inst Marine &amp; Antarctic Studies, Hobart, Tas, Australia</t>
  </si>
  <si>
    <t>UK Research &amp; Innovation (UKRI); Natural Environment Research Council (NERC); NERC British Antarctic Survey; University of Tasmania</t>
  </si>
  <si>
    <t>Burton-Johnson, A (corresponding author), British Antarctic Survey, Cambridge, England.</t>
  </si>
  <si>
    <t>alerto@b-j.org.uk</t>
  </si>
  <si>
    <t>Halpin, Jacqueline A/A-3776-2014; Whittaker, Joanne/B-3695-2010; McCormack, Felicity/B-9218-2015</t>
  </si>
  <si>
    <t>Halpin, Jacqueline A/0000-0002-4992-8681; Whittaker, Joanne/0000-0002-3170-3935; Watson, Sally/0000-0002-3666-5034; Burton-Johnson, Alex/0000-0003-2208-0075; McCormack, Felicity/0000-0002-2324-2120</t>
  </si>
  <si>
    <t>University of Tasmania Visiting Scholarship; Australian Research Council Special Research Initiative for Antarctic Gateway Partnership [SR140300001]; Australian Research Council [DE140100376, DP150102887]; Australian Government Research Training Program (RTP) scholarship; Natural Environment Research Council [bas0100029] Funding Source: researchfish; NERC [bas0100029] Funding Source: UKRI; Australian Research Council [DE140100376] Funding Source: Australian Research Council</t>
  </si>
  <si>
    <t>University of Tasmania Visiting Scholarship; Australian Research Council Special Research Initiative for Antarctic Gateway Partnership(Australian Research Council); Australian Research Council(Australian Research Council); Australian Government Research Training Program (RTP) scholarship(Australian GovernmentDepartment of Industry, Innovation and Science); Natural Environment Research Council(UK Research &amp; Innovation (UKRI)Natural Environment Research Council (NERC)); NERC(UK Research &amp; Innovation (UKRI)Natural Environment Research Council (NERC)); Australian Research Council(Australian Research Council)</t>
  </si>
  <si>
    <t>We wish to thank our two reviewers for improving this manuscript through their positive, thorough, and helpful reviews. Research supported under a 2016 University of Tasmania Visiting Scholarship awarded to A. Burton-Johnson and the Australian Research Council Special Research Initiative for Antarctic Gateway Partnership (Project ID SR140300001). J. Whittaker is supported by Australian Research Council grants DE140100376 and DP150102887. S.J. Watson is supported by an Australian Government Research Training Program (RTP) scholarship.</t>
  </si>
  <si>
    <t>JUN 16</t>
  </si>
  <si>
    <t>10.1002/2017GL073596</t>
  </si>
  <si>
    <t>EZ0HK</t>
  </si>
  <si>
    <t>WOS:000404382600023</t>
  </si>
  <si>
    <t>Holschuh, N; Parizek, BR; Alley, RB; Anandakrishnan, S</t>
  </si>
  <si>
    <t>Holschuh, Nicholas; Parizek, Byron R.; Alley, Richard B.; Anandakrishnan, Sridhar</t>
  </si>
  <si>
    <t>Decoding ice sheet behavior using englacial layer slopes</t>
  </si>
  <si>
    <t>glaciers; Antarctica; radar; modeling; Greenland</t>
  </si>
  <si>
    <t>WEST ANTARCTICA; STREAM; MODEL; FLOW; DOME; STRATIGRAPHY; ACCUMULATION; REFLECTORS; CORE</t>
  </si>
  <si>
    <t>The complex flow fields of the Antarctic and Greenland ice sheets deform layers deposited as snow at the ice sheet surface, leaving a record of the regional flow history and/or local transitions in basal boundary conditions within the geometry of ice sheet layers. Ice-penetrating radar reveals these layers, but radar data interpretations are limited by the challenges of quantitatively and reproducibly comparing observations with model output. We present a conceptual framework that relates along-track reflector slope to gradients in the steady state velocity field of ice sheets. This method makes effective use of englacial reflectors in regions where it is challenging to image continuous layers and avoids the error propagation inherent to tracer-transport methods, developing the potential for formal radar data assimilation in future modeling studies. We apply our method to radar data collected at the grounding line of Whillans Ice Stream, where enhanced bed friction produces characteristic reflector slopes reproducible using a higher-order ice flow model. Plain Language Summary Radar imagery collected to measure ice thickness in Antarctica and Greenland provides a vast amount of information about the internal structure of the ice sheets. Most notably, these data show that the ice sheets are not simply flat layers of ice deposited as snow at the surface. They are complex, folded masses that record the history of ice flow in the geometry of their internal layers. This study establishes a new interpretation framework that allows us to identify unique characteristics of the ice structures and relate them to their formation mechanism, a task that has been historically difficult to perform. Developing methods like this one, which help to describe and interpret the internal structure of the ice sheets in an automated and quantitative way, improves our understanding of the processes that controlled historic ice sheet behavior, allowing us to make better predictions of future ice sheet behavior.</t>
  </si>
  <si>
    <t>[Holschuh, Nicholas] Univ Washington, Dept Earth &amp; Space Sci, Seattle, WA 98195 USA; [Parizek, Byron R.] Penn State Univ, Math &amp; Geosci, Du Bois, PA USA; [Parizek, Byron R.; Alley, Richard B.; Anandakrishnan, Sridhar] Penn State Univ, Dept Geosci, University Pk, PA 16802 USA; [Alley, Richard B.; Anandakrishnan, Sridhar] Penn State Univ, Earth &amp; Environm Syst Inst, University Pk, PA 16802 USA</t>
  </si>
  <si>
    <t>University of Washington; University of Washington Seattle; Pennsylvania Commonwealth System of Higher Education (PCSHE); Pennsylvania State University;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</si>
  <si>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Holschuh, N (corresponding author), Univ Washington, Dept Earth &amp; Space Sci, Seattle, WA 98195 USA.</t>
  </si>
  <si>
    <t>holschuh@uw.edu</t>
  </si>
  <si>
    <t>Alley, Richard/0000-0003-1833-0115; Holschuh, Nicholas/0000-0003-1703-5085</t>
  </si>
  <si>
    <t>National Science Foundation; Center for Remote Sensing of Ice Sheets [ANT-0424589, DGHZ55832, PLR-1443190, AGS-1338832]; National Aeronautics and Space Administration [NNX15AH84G]; Div Atmospheric &amp; Geospace Sciences; Directorate For Geosciences [1338832] Funding Source: National Science Foundation; Office of Polar Programs (OPP); Directorate For Geosciences [1443190] Funding Source: National Science Foundation</t>
  </si>
  <si>
    <t>National Science Foundation(National Science Foundation (NSF)); Center for Remote Sensing of Ice Sheets; National Aeronautics and Space Administration(National Aeronautics &amp; Space Administration (NASA)); Div Atmospheric &amp; Geospace Sciences; Directorate For Geosciences(National Science Foundation (NSF)NSF - Directorate for Geosciences (GEO)); Office of Polar Programs (OPP); Directorate For Geosciences(National Science Foundation (NSF)NSF - Directorate for Geosciences (GEO))</t>
  </si>
  <si>
    <t>We would like to thank the National Science Foundation and the Center for Remote Sensing of Ice Sheets for funding the PhD research of N. Holschuh through grants ANT-0424589 (R.B.A, S.A., and B.R.P.), DGHZ55832 (N.H.), PLR-1443190 (B.R.P.), AGS-1338832 (B.R.P., R.B.A., and S.A.) and the support of the National Aeronautics and Space Administration through grant NNX15AH84G (B.R.P.). We would like to thank Knut Christianson, as well as the rest of the WISSARD team for providing radar data from the Whillans Grounding Zone. We would also like to thank M. Wolovick and one anonymous reviewer, whose contributions during review lead to a substantial improvement of the work. Data from the Whillans Grounding Zone are accessible through the University of Washington's ResearchWorks Archive (http://hdl.handle.net/1773/38508). Airborne campaign data can be found through the Operation IceBridge portal. Matlab formulations of the slope extraction algorithm can be provided by the corresponding author by request.</t>
  </si>
  <si>
    <t>10.1002/2017GL073417</t>
  </si>
  <si>
    <t>WOS:000404382600036</t>
  </si>
  <si>
    <t>Holte, J; Talley, LD; Gilson, J; Roemmich, D</t>
  </si>
  <si>
    <t>Holte, James; Talley, Lynne D.; Gilson, John; Roemmich, Dean</t>
  </si>
  <si>
    <t>An Argo mixed layer climatology and database</t>
  </si>
  <si>
    <t>Argo; mixed layer; climatology; global</t>
  </si>
  <si>
    <t>NORTH-ATLANTIC; LABRADOR SEA; MODE WATER; ANTARCTIC MODE; OCEAN; INTERMEDIATE; CIRCULATION; CONVECTION; TRANSPORT; ALGORITHM</t>
  </si>
  <si>
    <t>A global climatology and database of mixed layer properties are computed from nearly 1,250,000 Argo profiles. The climatology is calculated with both a hybrid algorithm for detecting the mixed layer depth (MLD) and a standard threshold method. The climatology provides accurate information about the depth, properties, extent, and seasonal patterns of global mixed layers. The individual profile results in the database can be used to construct time series of mixed layer properties in specific regions of interest. The climatology and database are available online at . The MLDs calculated by the hybrid algorithm are shallower and generally more accurate than those of the threshold method, particularly in regions of deep winter mixed layers; the new climatology differs the most from existing mixed layer climatologies in these regions. Examples are presented from the Labrador and Irminger Seas, the Southern Ocean, and the North Atlantic Ocean near the Gulf Stream. In these regions the threshold method tends to overestimate winter MLDs by approximately 10% compared to the algorithm.</t>
  </si>
  <si>
    <t>[Holte, James] Woods Hole Oceanog Inst, Woods Hole, MA 02543 USA; [Talley, Lynne D.; Gilson, John; Roemmich, Dean] Scripps Inst Oceanog, La Jolla, CA USA</t>
  </si>
  <si>
    <t>Woods Hole Oceanographic Institution; University of California System; University of California San Diego; Scripps Institution of Oceanography</t>
  </si>
  <si>
    <t>Holte, J (corresponding author), Woods Hole Oceanog Inst, Woods Hole, MA 02543 USA.</t>
  </si>
  <si>
    <t>jholte@whoi.edu</t>
  </si>
  <si>
    <t>Talley, Lynne/0000-0003-1574-729X</t>
  </si>
  <si>
    <t>U.S. Argo through NOAA grant [NA10OAR4310139]; [NSFOCE-0327544]; [NSFOCE-0960928]; [NSFOCE-1459474]; Division Of Ocean Sciences; Directorate For Geosciences [1459474] Funding Source: National Science Foundation</t>
  </si>
  <si>
    <t>U.S. Argo through NOAA grant; ; ; ; Division Of Ocean Sciences; Directorate For Geosciences(National Science Foundation (NSF)NSF - Directorate for Geosciences (GEO))</t>
  </si>
  <si>
    <t>This work was supported by NSFOCE-0327544 (J.H. and L.D.T.), NSFOCE-0960928 (L.D.T.), and NSFOCE-1459474 (J.H.). D.R. and J.G., and their part in the Argo program, were supported by U.S. Argo through NOAA grant NA10OAR4310139 (CIMEC/SIO Argo). The Argo data used here were collected and made freely available by the International Argo Program and by the national programs that contribute to it: http://doi.org/10.17882/42182. Argo data are available online at http://www.usgodae.org/argo/argo.html. We thank the three reviewers for their comments that greatly improved the manuscript.</t>
  </si>
  <si>
    <t>10.1002/2017GL073426</t>
  </si>
  <si>
    <t>WOS:000404382600042</t>
  </si>
  <si>
    <t>Thorat, L; Oulkar, D; Banerjee, K; Gaikwad, SM; Nath, BB</t>
  </si>
  <si>
    <t>Thorat, Leena; Oulkar, Dasharath; Banerjee, Kaushik; Gaikwad, Sushama M.; Nath, Bimalendu B.</t>
  </si>
  <si>
    <t>High-throughput mass spectrometry analysis revealed a role for glucosamine in potentiating recovery following desiccation stress in Chironomus</t>
  </si>
  <si>
    <t>DROSOPHILA-MELANOGASTER LARVAE; ANTARCTIC MIDGE; LEA PROTEINS; SACCHAROMYCES-CEREVISIAE; TOLERANCE; DEHYDRATION; ANHYDROBIOSIS; TREHALOSE; SURVIVAL; INSECT</t>
  </si>
  <si>
    <t>Desiccation tolerance is an essential survival trait, especially in tropical aquatic organisms that are vulnerable to severe challenges posed by hydroperiodicity patterns in their habitats, characterized by dehydration-rehydration cycles. Here, we report a novel role for glucosamine as a desiccation stress-responsive metabolite in the underexplored tropical aquatic midge, Chironomus ramosus. Using high-throughput liquid chromatography quadrupole time-of-flight mass spectrometry (LC-QToF-MS) analysis, biochemical assays and gene expression studies, we confirmed that glucosamine was essential during the recovery phase in C. ramosus larvae. Additionally, we demonstrated that trehalose, a known stress-protectant was crucial during desiccation but did not offer any advantage to the larvae during recovery. Based on our findings, we emphasise on the collaborative interplay of glucosamine and trehalose in conferring overall resilience to desiccation stress and propose the involvement of the trehalose-chitin metabolic interface in insects as one of the stress-management strategies to potentiate recovery post desiccation through recruitment of glucosamine.</t>
  </si>
  <si>
    <t>[Thorat, Leena; Nath, Bimalendu B.] Savitribai Phule Pune Univ, Dept Zool, Stress Biol Res Lab, Pune 411007, Maharashtra, India; [Oulkar, Dasharath; Banerjee, Kaushik] Natl Res Ctr Grapes, Natl Referral Lab, Pune 412307, Maharashtra, India; [Gaikwad, Sushama M.] Natl Chem Lab, Div Biochem Sci, Pune 411008, Maharashtra, India; [Thorat, Leena] Savitribai Phule Pune Univ, Dept Biotechnol, Pune 411007, Maharashtra, India</t>
  </si>
  <si>
    <t>Savitribai Phule Pune University; Indian Council of Agricultural Research (ICAR); ICAR - National Research Centre for Grapes; Council of Scientific &amp; Industrial Research (CSIR) - India; CSIR - National Chemical Laboratory (NCL); Savitribai Phule Pune University</t>
  </si>
  <si>
    <t>Nath, BB (corresponding author), Savitribai Phule Pune Univ, Dept Zool, Stress Biol Res Lab, Pune 411007, Maharashtra, India.</t>
  </si>
  <si>
    <t>bbnath@gmail.com</t>
  </si>
  <si>
    <t>Nath, Bimalendu B./AAP-8450-2020; Banerjee, Kaushik/N-5418-2014</t>
  </si>
  <si>
    <t>Banerjee, Kaushik/0000-0002-5026-2370</t>
  </si>
  <si>
    <t>ICAR National Fellow project; DRDP; UGC-CAS (Phase-III); DST-PURSE</t>
  </si>
  <si>
    <t>We are grateful to Dr. Takashi Okuda, NIAS, Japan for his expertise, advice and critical comments on chironomid desiccation biology that has improved the scientific content of the manuscript. We thank Dr. Suemoto (Oita University) and Dr. Kawai (Hiroshima University), Japan for providing insights on chironomid desiccation tolerance. We gratefully acknowledge and appreciate comments and suggestions of the anonymous reviewers which contributed in the improvement of the overall quality of this manuscript. We are thankful to Anuraj Nath for his expertise and logistic support during video recordings and time-lapse video processing. We also thank Anthony Harrison and Anurita Nath for technical advice. K.B. is grateful to the funding by the ICAR National Fellow project. This work is supported by the partial funding from DRDP, UGC-CAS (Phase-III) and DST-PURSE grants to B.B.N.</t>
  </si>
  <si>
    <t>10.1038/s41598-017-03572-5</t>
  </si>
  <si>
    <t>EX7FN</t>
  </si>
  <si>
    <t>WOS:000403413700021</t>
  </si>
  <si>
    <t>Oliveira, FNM; Ambrizzi, T</t>
  </si>
  <si>
    <t>Oliveira, Flavio N. M.; Ambrizzi, Tercio</t>
  </si>
  <si>
    <t>The effects of ENSO-types and SAM on the large-scale southern blockings</t>
  </si>
  <si>
    <t>ENSO-types; Southern Annular Modes; Southern Hemisphere blockings</t>
  </si>
  <si>
    <t>ROSSBY-WAVE PROPAGATION; ANTARCTIC OSCILLATION; EL-NINO; HEMISPHERE BLOCKING; CLIMATOLOGY; PACIFIC; VARIABILITY; NORTHERN; PATTERNS; ANTICYCLONES</t>
  </si>
  <si>
    <t>In this observational study, the effects of the two types (Canonical and Modoki) of El Nino - Southern Oscillation (ENSO) and Southern Annular Mode (SAM) on the large-scale southern blockings are investigated using the NCEP Climate Forecast System Reanalysis (CFSR) dataset. The automated 2D blocking index used here removes those structures that do not represent a typical blocking pattern. The daily SAM and monthly ENSO indices are defined when their time coefficient of the empirical orthogonal function is above or below 0.5 and 1.0 standard deviation, respectively. This study indicates that the El Nino Modoki is the most favourable ENSO mechanism for blocking events during the southern cool season. In particular, when El Nino Modoki occurs with positive SAM and/or weak SAM it acts to increase the number of days of blocking over the Southwest Pacific, or when it occurs with the negative SAM acts to maintain the observed number of days of blocking over the Southeast Pacific. Also, increases in the number of days of blocking are found in the warm season over the Southeast Pacific when the canonical El Nino occurs with negative SAM. On the other hand, the long-term change in the annual number of days of blocking shows a strong (moderate) downward linear trend over the Southwest (Southeast) Pacific, as well as the two types of La Nina, their temporal distribution with a positive SAM appears as the major cause.</t>
  </si>
  <si>
    <t>[Oliveira, Flavio N. M.; Ambrizzi, Tercio] Univ Sao Paulo, Dept Atmospher Sci, Rua Matao,1226 Cid Univ, BR-05508090 Sao Paulo, SP, Brazil; [Oliveira, Flavio N. M.] Natl Inst Meteorol, Dist Meteorol 1, Manaus, Amazonas, Brazil</t>
  </si>
  <si>
    <t>Universidade de Sao Paulo</t>
  </si>
  <si>
    <t>Ambrizzi, T (corresponding author), Univ Sao Paulo, Dept Atmospher Sci, Rua Matao,1226 Cid Univ, BR-05508090 Sao Paulo, SP, Brazil.;Oliveira, FNM (corresponding author), Natl Inst Meteorol, Ave Mario Ypiranga 1041, BR-60057001 Manaus, AM, Brazil.</t>
  </si>
  <si>
    <t>flavio.natal@inmet.gov.br; ambrizzi@model.iag.usp.br</t>
  </si>
  <si>
    <t>Ambrizzi, Tercio/A-4636-2008</t>
  </si>
  <si>
    <t>Conselho Nacional de Desenvolvimento Cientifico e Tecnologico [CNPq pDJ 150977/2014-0]; FAPESP (Fundacao de Amparo a Pesquisa do Estado de Sao Paulo) [2008/58101-9]; Fundacao de Amparo a Pesquisa do Estado de Sao Paulo (FAPESP) [08/58101-9] Funding Source: FAPESP</t>
  </si>
  <si>
    <t>Conselho Nacional de Desenvolvimento Cientifico e Tecnologico(Conselho Nacional de Desenvolvimento Cientifico e Tecnologico (CNPQ)); FAPESP (Fundacao de Amparo a Pesquisa do Estado de Sao Paulo)(Fundacao de Amparo a Pesquisa do Estado de Sao Paulo (FAPESP)); Fundacao de Amparo a Pesquisa do Estado de Sao Paulo (FAPESP)(Fundacao de Amparo a Pesquisa do Estado de Sao Paulo (FAPESP))</t>
  </si>
  <si>
    <t>CFSR (Climate Forecast System) Reanalysis data was provided by the National Centers for Environmental Prediction (NCEP), from the website at http://rda.ucar.edu. F.O thanks funding from Conselho Nacional de Desenvolvimento Cientifico e Tecnologico (CNPq pDJ 150977/2014-0). T. A. was also supported by FAPESP (Fundacao de Amparo a Pesquisa do Estado de Sao Paulo - grant 2008/58101-9); for the CNPq and Vale Institute of Technology (ITV).</t>
  </si>
  <si>
    <t>JUN 15</t>
  </si>
  <si>
    <t>10.1002/joc.4899</t>
  </si>
  <si>
    <t>EZ6TP</t>
  </si>
  <si>
    <t>WOS:000404851400002</t>
  </si>
  <si>
    <t>Mernild, SH; Liston, GE; Hiemstra, C; Wilson, R</t>
  </si>
  <si>
    <t>Mernild, Sebastian H.; Liston, Glen E.; Hiemstra, Christopher; Wilson, Ryan</t>
  </si>
  <si>
    <t>The Andes Cordillera. Part III: glacier surface mass balance and contribution to sea level rise (1979-2014)</t>
  </si>
  <si>
    <t>Andes Cordillera; glacier; modelling; NASA MERRA; SnowModel; South America</t>
  </si>
  <si>
    <t>COMPLEX SNOW DISTRIBUTIONS; RIVER DRAINAGE-BASIN; SEMIARID ANDES; UPPER TREELINE; CENTRAL CHILE; CLIMATE; SYSTEM; ENERGY; WATER; MELT</t>
  </si>
  <si>
    <t>Glacier surface mass balance (SMB) observations for the Andes Cordillera are limited and therefore estimates of the SMB contribution to sea-level rise are highly uncertain. Here (in Part 3), we simulate glacier surface meteorological and hydrological conditions and trends for the Andes Cordillera (1979/80-2013/14; 35 years), covering the tropical latitudes in the north down to the sub-polar latitudes in the far south, including the Northern Patagonia Icefield (NPI) and Southern Patagonia Icefield (SPI). Surface meteorological conditions and heat-and mass-transfer processes were simulated for all glaciers having an area equal to or greater than 0.5 km(2). SnowModel - a fully integrated energy balance, blowing-snow distribution, multi-layer snowpack, and runoff routing model - was used to simulate glacier SMBs for the Andes Cordillera. The Randolph Glacier Inventory (RGI; v. 4.0) and NASA Modern-Era Retrospective Analysis for Research and Applications (MERRA) products, downscaled in SnowModel, allowed us to conduct relatively high-resolution (1-km horizontal grid; 3-h time step) simulations of glacier air temperature, precipitation, sublimation, evaporation, runoff, and SMB. These simulated glacier SMBs were verified against both independent direct observed annual glacier SMB and satellite gravimetry and altimetry derived SMB, indicating a good agreement. For Andes glaciers, the 35-year mean annual SMB was found to be -1.13 m water equivalent (w.e.), while the cumulative SMB was -39.6 m w.e., which is equal to a cumulative SMB contribution of 3.4 mm sea-level equivalent (SLE) (similar to 0.1 mm SLE per year). However, for both NPI and SPI, the mean SMB was positive (where likely calving explains why geodetic estimates are negative). For the Andes Cordillera, the simulated mean glacier-specific runoff was 41 L s(-1) km(-2), while for NPI and SPI it was 213 and 198 L s(-1) km(-2), respectively, indicating available water resources from NPI and SPI.</t>
  </si>
  <si>
    <t>[Mernild, Sebastian H.] Univ Magallanes, Antarctic &amp; Subantarctic Program, Punta Arenas, Chile; [Mernild, Sebastian H.] Sogn Og Fjordane Univ Coll, Fac Engn &amp; Sci, Royrgata 6, N-6856 Sogndal, Norway; [Liston, Glen E.] Colorado State Univ, Cooperat Inst Res Atmosphere, Ft Collins, CO 80523 USA; [Hiemstra, Christopher] US Army Cold Reg Res &amp; Engn Lab, Ft Wainwright, AK USA; [Wilson, Ryan] Aberystwyth Univ, Dept Geog &amp; Earth Sci, Aberystwyth, Dyfed, Wales</t>
  </si>
  <si>
    <t>Universidad de Magallanes; Western Norway University of Applied Sciences; Colorado State University; United States Department of Defense; United States Army; U.S. Army Corps of Engineers; U.S. Army Engineer Research &amp; Development Center (ERDC); Cold Regions Research &amp; Engineering Laboratory (CRREL); Aberystwyth University</t>
  </si>
  <si>
    <t>Mernild, SH (corresponding author), Sogn Og Fjordane Univ Coll, Fac Engn &amp; Sci, Royrgata 6, N-6856 Sogndal, Norway.</t>
  </si>
  <si>
    <t>sebastian.mernild@hisf.no</t>
  </si>
  <si>
    <t>; Mernild, Sebastian H./M-5516-2013</t>
  </si>
  <si>
    <t>Wilson, Ryan/0000-0001-9063-8021; Mernild, Sebastian H./0000-0003-0797-3975</t>
  </si>
  <si>
    <t>National Science Foundation of Chile Fondecyt under the Fondecyt Regular Grant [1140172]; Division Of Undergraduate Education; Direct For Education and Human Resources [1140172] Funding Source: National Science Foundation</t>
  </si>
  <si>
    <t>National Science Foundation of Chile Fondecyt under the Fondecyt Regular Grant; Division Of Undergraduate Education; Direct For Education and Human Resources(National Science Foundation (NSF)NSF - Directorate for STEM Education (EDU))</t>
  </si>
  <si>
    <t>We extend a very special thanks to the anonymous reviewers and to A. Pope for their insightful critique of this article. This work was supported entirely by the National Science Foundation of Chile Fondecyt under the Fondecyt Regular Grant Agreement #1140172. Thanks to M. Schaefer for providing data for the SMB model comparison. All data requests should be addressed to the first author. The authors have no conflict of interest.</t>
  </si>
  <si>
    <t>10.1002/joc.4907</t>
  </si>
  <si>
    <t>WOS:000404851400009</t>
  </si>
  <si>
    <t>Mernild, SH; Liston, GE; Hiemstra, C; Beckerman, AP; Yde, JC; McPhee, J</t>
  </si>
  <si>
    <t>Mernild, Sebastian H.; Liston, Glen E.; Hiemstra, Christopher; Beckerman, Andrew P.; Yde, Jacob C.; McPhee, James</t>
  </si>
  <si>
    <t>The Andes Cordillera. Part IV: spatio-temporal freshwater run-off distribution to adjacent seas (1979-2014)</t>
  </si>
  <si>
    <t>Andes Cordillera; freshwater run-off; HydroFlow; modelling; NASA MERRA; river; South America</t>
  </si>
  <si>
    <t>SURFACE MASS-BALANCE; SMALL CATCHMENTS; CENTRAL CHILE; EL-NINO; GLACIER; SNOW; PRECIPITATION; VARIABILITY; SYSTEM; ENERGY</t>
  </si>
  <si>
    <t>The spatio-temporal freshwater river run-off pattern from individual basins, including their run-off magnitude and change (1979/1980-2013/2014), was simulated for the Andes Cordillera west of the Continental Divide in an effort to understand run-off variations and freshwater fluxes to adjacent fjords, Pacific Ocean, and Drake Passage. The modelling tool SnowModel/HydroFlow was applied to simulate river run-off at 3-h intervals to resolve the diurnal cycle and at 4-km horizontal grid increments using atmospheric forcing from NASA Modern-Era Retrospective Analysis for Research and Applications (MERRA) data sets. Simulated river run-off hydrographs were verified against independent observed hydrographs. For the domain, 86% of the simulated run-off originated from rain, 12% from snowmelt, and 2% from ice melt, whereas for Chile, the water-source distribution was 69, 24, and 7%, respectively. Along the Andes Cordillera, the 35-year mean basin outlet-specific run-off (L s(-1) km(-2)) showed a characteristic regional hourglass shape pattern with highest run-off in both Colombia and Ecuador and in Patagonia, and lowest run-off in the Atacama Desert area. An Empirical Orthogonal Function analysis identified correlations between the spatio-temporal pattern of run-off and flux to the El Nino Southern Oscillation Index and to the Pacific Decadal Oscillation.</t>
  </si>
  <si>
    <t>[Mernild, Sebastian H.] Univ Magallanes, Antarctic &amp; Subantarctic Program, Punta Arenas, Chile; [Mernild, Sebastian H.; Yde, Jacob C.] Sogn Og Fjordane Univ Coll, Fac Engn &amp; Sci, Postboks 133, N-6851 Sogndal, Norway; [Liston, Glen E.] Colorado State Univ, Cooperat Inst Res Atmosphere, Ft Collins, CO 80523 USA; [Hiemstra, Christopher] US Army Cold Reg Res &amp; Engn Lab, Ft Wainwright, AK USA; [Beckerman, Andrew P.] Univ Sheffield, Dept Anim &amp; Plant Sci, Sheffield, S Yorkshire, England; [McPhee, James] Univ Chile, Dept Civil Engn, Santiago, Chile; [McPhee, James] Univ Chile, Fac Ciencias Fis &amp; Matemat, Adv Min Technol Ctr, Santiago, Chile</t>
  </si>
  <si>
    <t>Universidad de Magallanes; Western Norway University of Applied Sciences; Colorado State University; United States Department of Defense; United States Army; U.S. Army Corps of Engineers; U.S. Army Engineer Research &amp; Development Center (ERDC); Cold Regions Research &amp; Engineering Laboratory (CRREL); University of Sheffield; Universidad de Chile; Universidad de Chile</t>
  </si>
  <si>
    <t>Mernild, SH (corresponding author), Sogn Og Fjordane Univ Coll, Fac Engn &amp; Sci, Postboks 133, N-6851 Sogndal, Norway.</t>
  </si>
  <si>
    <t>Beckerman, Andrew P/D-3020-2011; Yde, Jacob/M-8839-2017; McPhee, James/F-3402-2011; McPhee, James/ABC-6218-2020; Mernild, Sebastian H./M-5516-2013</t>
  </si>
  <si>
    <t>Beckerman, Andrew P/0000-0002-4797-9143; McPhee, James/0000-0002-7547-0926; Mernild, Sebastian H./0000-0003-0797-3975; Yde, Jacob Clement/0000-0002-6211-2601</t>
  </si>
  <si>
    <t>National Science Foundation of Chile Fondecyt [1140172]; Division Of Undergraduate Education; Direct For Education and Human Resources [1140172] Funding Source: National Science Foundation</t>
  </si>
  <si>
    <t>National Science Foundation of Chile Fondecyt; Division Of Undergraduate Education; Direct For Education and Human Resources(National Science Foundation (NSF)NSF - Directorate for STEM Education (EDU))</t>
  </si>
  <si>
    <t>We thank the anonymous reviewers for their valuable reviews and their insightful critique of this article. This work was supported by the National Science Foundation of Chile Fondecyt under Grant Agreement #1140172. All model data requests should be addressed to the first author. We thank Direction General de Aguas for providing observed river run-off time series from Chile. The authors have no conflict of interest.</t>
  </si>
  <si>
    <t>10.1002/joc.4922</t>
  </si>
  <si>
    <t>WOS:000404851400010</t>
  </si>
  <si>
    <t>Fu, D; Bridle, A; Leef, M; Gagnon, MM; Hassell, KL; Nowak, BF</t>
  </si>
  <si>
    <t>Fu, Dingkun; Bridle, Andrew; Leef, Melanie; Gagnon, Marthe Monique; Hassell, Kathryn L.; Nowak, Barbara F.</t>
  </si>
  <si>
    <t>Using a multi-biomarker approach to assess the effects of pollution on sand flathead (Platycephalus bassensis) from Port Phillip Bay, Victoria, Australia</t>
  </si>
  <si>
    <t>Biomarkers; Histology; Gene expression; Sand flathead; Port Phillip Bay</t>
  </si>
  <si>
    <t>THYROID ENDOCRINE DISRUPTION; FLOUNDER PLATICHTHYS-FLESUS; GENE-EXPRESSION; TRACE-METALS; FISH; LIVER; HISTOPATHOLOGY; EXPOSURE; HYDROCARBONS; WATERS</t>
  </si>
  <si>
    <t>Hepatic gene expression and liver histology were examined in sand flathead (Platycephalus bassensis) from six locations in Port Phillip Bay, Victoria, Australia. Four sets of genes including thyroid-related genes (D1, D2, TTR, TR alpha and TR beta), metal metabolism-related genes (MT, MTF1, TF, Ferritin and FPN1), apoptosis-related genes (Diablo/SMAC1, Diablo/SMAC2 and CYP1A) and an endoplasmic reticulum stress biomarker gene (GRP78) were examined in female flathead using qRT-PCR. TR beta and Diablo/SMAC1 gene expression was significantly up regulated in fish from all polluted sites compared to those from a reference site. The transcripts of TR alpha and FPN1 were significantly higher in flathead from Corio Bay, while the hepatic mRNA of TTR and GRP78 were significantly lower in those fish. Positive correlations were observed between Diablo/SMAC1 and CYP1A, D2 and TR beta, TR alpha and TR beta. This study demonstrates that application of pathway-based biomarker genes and histopathology can provide comprehensive information on the impact of environmental pollutants on fish.</t>
  </si>
  <si>
    <t>[Fu, Dingkun; Bridle, Andrew; Leef, Melanie; Nowak, Barbara F.] Univ Tasmania, Inst Marine &amp; Antarctic Studies, Locked Bag 1370, Launceston, Tas 7250, Australia; [Gagnon, Marthe Monique] Curtin Univ, Dept Environm &amp; Agr, Bentley, WA 6102, Australia; [Hassell, Kathryn L.] Univ Melbourne, CAPIM, Parkville, Vic 3010, Australia</t>
  </si>
  <si>
    <t>University of Tasmania; Curtin University; University of Melbourne</t>
  </si>
  <si>
    <t>Nowak, BF (corresponding author), Univ Tasmania, Inst Marine &amp; Antarctic Studies, Locked Bag 1370, Launceston, Tas 7250, Australia.</t>
  </si>
  <si>
    <t>B.Nowak@utas.edu.au</t>
  </si>
  <si>
    <t>Leef, Melanie J/C-6655-2013; Hassell, Kathryn/AAB-4980-2021; Bridle, Andrew R/B-4117-2013; Nowak, Barbara/J-7261-2014; GAGNON, Marthe Monique/P-6078-2014; Hassell, Kathryn/F-3590-2016</t>
  </si>
  <si>
    <t>Nowak, Barbara/0000-0002-0347-643X; GAGNON, Marthe Monique/0000-0002-3190-5094; Bridle, Andrew/0000-0002-5788-1297; Hassell, Kathryn/0000-0001-6077-775X</t>
  </si>
  <si>
    <t>Curtin University; Centre for Aquatic Pollution Identification and Management (CAPIM); Victorian Marine Science Consortium</t>
  </si>
  <si>
    <t>The authors wish to thank Jarrad Baker, Sara Long, Jessica French, Sherrie Chambers and Rod Watson for fieldwork assistance, and Liz McGrath, Rhianna Boyle and Vin Pettigrove for technical and other assistance. The project was supported by Curtin University, the Centre for Aquatic Pollution Identification and Management (CAPIM) and the Victorian Marine Science Consortium. All fish were collected by hook and line as per general research permit (RP1216) granted by the Department of Environment and Primary Industries (Victoria State Government) and Curtin University Animal Ethics approval number AEC_2015_05.</t>
  </si>
  <si>
    <t>10.1016/j.marpolbul.2017.03.067</t>
  </si>
  <si>
    <t>EX8OV</t>
  </si>
  <si>
    <t>WOS:000403511000035</t>
  </si>
  <si>
    <t>Spiller, L; Grierson, PF; Davies, PM; Hemmi, J; Collin, SP; Kelley, JL</t>
  </si>
  <si>
    <t>Spiller, Lindsey; Grierson, Pauline F.; Davies, Peter M.; Hemmi, Jan; Collin, Shaun P.; Kelley, Jennifer L.</t>
  </si>
  <si>
    <t>Functional diversity of the lateral line system among populations of a native Australian freshwater fish</t>
  </si>
  <si>
    <t>Population variation; Altered flow regimes; Sensory evolution; Adaptation</t>
  </si>
  <si>
    <t>THREESPINE STICKLEBACK; NORTHWEST AUSTRALIA; ASTYANAX-FASCIATUS; ANTARCTIC FISH; RUNNING-WATER; SENSORY BASIS; CAVE FISH; MORPHOLOGY; RHEOTAXIS; STREAM</t>
  </si>
  <si>
    <t>Fishes use their mechanoreceptive lateral line system to sense nearby objects by detecting slight fluctuations in hydrodynamic motion within their immediate environment. Species of fish from different habitats often display specialisations of the lateral line system, in particular the distribution and abundance of neuromasts, but the lateral line can also exhibit considerable diversity within a species. Here, we provide the first investigation of the lateral line system of the Australian western rainbowfish (Melanotaenia australis), a species that occupies a diversity of freshwater habitats across semi-arid northwest Australia. We collected 155 individuals from eight populations and surveyed each habitat for environmental factors that may contribute to lateral line specialisation, including water flow, predation risk, habitat structure and prey availability. Scanning electron microscopy and fluorescent dye labelling were used to describe the lateral line system in M. australis, and to examine whether the abundance and arrangement of superficial neuromasts (SNs) varied within and among populations. We found that the SNs of M. australis were present in distinct body regions rather than lines. The abundance of SNs within each body region was highly variable, and also differed among populations and individuals. Variation in SN abundance among populations was best explained by habitat structure and the availability of invertebrate prey. Our finding that specific environmental factors explain among-population variation in a key sensory system suggests that the ability to acquire sensory information is specialised for the particular behavioural needs of the animal.</t>
  </si>
  <si>
    <t>[Spiller, Lindsey; Grierson, Pauline F.; Hemmi, Jan; Collin, Shaun P.; Kelley, Jennifer L.] Univ Western Australia, Sch Biol Sci, 35 Stirling Highway, Crawley, WA 6009, Australia; [Davies, Peter M.] Univ Western Australia, Ctr Excellence Nat Resource Management, Albany, WA 6332, Australia; [Hemmi, Jan; Collin, Shaun P.] Univ Western Australia, UWA Oceans Inst, 35 Stirling Highway, Crawley, WA 6009, Australia</t>
  </si>
  <si>
    <t>University of Western Australia; University of Western Australia; University of Western Australia</t>
  </si>
  <si>
    <t>Kelley, JL (corresponding author), Univ Western Australia, Sch Biol Sci, 35 Stirling Highway, Crawley, WA 6009, Australia.</t>
  </si>
  <si>
    <t>Jennifer.kelley@uwa.edu.au</t>
  </si>
  <si>
    <t>Hemmi, Jan M/B-6458-2008; Kelley, Jennifer L./H-5177-2014; Collin, Shaun/K-8827-2012; Grierson, Pauline/A-9240-2008</t>
  </si>
  <si>
    <t>Hemmi, Jan M/0000-0003-4629-9362; Kelley, Jennifer L./0000-0002-8223-7241; Collin, Shaun/0000-0001-6236-0771; Grierson, Pauline/0000-0003-2135-0272</t>
  </si>
  <si>
    <t>Australian Research Council Linkage [LP120200002]; Rio Tinto; BHP Billiton; Australian Research Council [LP120200002] Funding Source: Australian Research Council</t>
  </si>
  <si>
    <t>Australian Research Council Linkage(Australian Research Council); Rio Tinto; BHP Billiton; Australian Research Council(Australian Research Council)</t>
  </si>
  <si>
    <t>This project was funded by an Australian Research Council Linkage Grant (LP120200002) with industry partners Rio Tinto and BHP Billiton.</t>
  </si>
  <si>
    <t>COMPANY OF BIOLOGISTS LTD</t>
  </si>
  <si>
    <t>BIDDER BUILDING CAMBRIDGE COMMERCIAL PARK COWLEY RD, CAMBRIDGE CB4 4DL, CAMBS, ENGLAND</t>
  </si>
  <si>
    <t>10.1242/jeb.151530</t>
  </si>
  <si>
    <t>EX6FH</t>
  </si>
  <si>
    <t>WOS:000403337600023</t>
  </si>
  <si>
    <t>Nicolas, JP; Vogelmann, AM; Scott, RC; Wilson, AB; Cadeddu, MP; Bromwich, DH; Verlinde, J; Lubin, D; Russell, LM; Jenkinson, C; Powers, HH; Ryczek, M; Stone, G; Wille, JD</t>
  </si>
  <si>
    <t>Nicolas, Julien P.; Vogelmann, Andrew M.; Scott, Ryan C.; Wilson, Aaron B.; Cadeddu, Maria P.; Bromwich, David H.; Verlinde, Johannes; Lubin, Dan; Russell, Lynn M.; Jenkinson, Colin; Powers, Heath H.; Ryczek, Maciej; Stone, Gregory; Wille, Jonathan D.</t>
  </si>
  <si>
    <t>January 2016 extensive summer melt in West Antarctica favoured by strong El Nino</t>
  </si>
  <si>
    <t>SOUTHERN ANNULAR MODE; GREENLAND ICE-SHEET; SEA-ICE; ATMOSPHERIC CIRCULATION; MICROWAVE RADIOMETERS; CLIMATE; ENSO; CLOUDS; IMPACT; OSCILLATION</t>
  </si>
  <si>
    <t>Over the past two decades the primary driver of mass loss from the West Antarctic Ice Sheet (WAIS) has been warm ocean water underneath coastal ice shelves, not a warmer atmosphere. Yet, surface melt occurs sporadically over low-lying areas of the WAIS and is not fully understood. Here we report on an episode of extensive and prolonged surface melting observed in the Ross Sea sector of the WAIS in January 2016. A comprehensive cloud and radiation experiment at the WAIS ice divide, downwind of the melt region, provided detailed insight into the physical processes at play during the event. The unusual extent and duration of the melting are linked to strong and sustained advection of warm marine air toward the area, likely favoured by the concurrent strong El Nino event. The increase in the number of extreme El Nino events projected for the twenty-first century could expose the WAIS to more frequent major melt events.</t>
  </si>
  <si>
    <t>[Nicolas, Julien P.; Wilson, Aaron B.; Bromwich, David H.; Wille, Jonathan D.] Ohio State Univ, Byrd Polar &amp; Climate Res Ctr, 1090 Carmack Rd, Columbus, OH 43210 USA; [Vogelmann, Andrew M.] Brookhaven Natl Lab, Bldg 490D,POB 5000, Upton, NY 11973 USA; [Scott, Ryan C.; Lubin, Dan; Russell, Lynn M.] Univ Calif San Diego, Scripps Inst Oceanog, 9500 Gilman Dr, La Jolla, CA 92093 USA; [Cadeddu, Maria P.] Argonne Natl Lab, 9700 South Cass Ave,EVS Bldg 240, Argonne, IL 60439 USA; [Bromwich, David H.] Ohio State Univ, Dept Geog, 1036 Derby Hall,154 North Oval Mall, Columbus, OH 43210 USA; [Verlinde, Johannes] Penn State Univ, Dept Meteorol &amp; Atmospher Sci, 605AWalker Bldg, University Pk, PA 16802 USA; [Jenkinson, Colin; Stone, Gregory] Australian Bur Meteorol, GPO Box 1289, Melbourne, Vic 3001, Australia; [Powers, Heath H.; Ryczek, Maciej] Los Alamos Natl Lab, POB 1663, Los Alamos, NM 87545 USA</t>
  </si>
  <si>
    <t>University System of Ohio; Ohio State University; United States Department of Energy (DOE); Brookhaven National Laboratory; University of California System; University of California San Diego; Scripps Institution of Oceanography; United States Department of Energy (DOE); Argonne National Laboratory; University System of Ohio; Ohio State University; Pennsylvania Commonwealth System of Higher Education (PCSHE); Pennsylvania State University; Pennsylvania State University - University Park; Melbourne Genomics Health Alliance; Bureau of Meteorology - Australia; United States Department of Energy (DOE); Los Alamos National Laboratory</t>
  </si>
  <si>
    <t>Nicolas, JP (corresponding author), Ohio State Univ, Byrd Polar &amp; Climate Res Ctr, 1090 Carmack Rd, Columbus, OH 43210 USA.</t>
  </si>
  <si>
    <t>nicolas.7@osu.edu</t>
  </si>
  <si>
    <t>Wille, Jonathan/KFQ-5871-2024; /H-8351-2017; Vogelmann, Andrew/M-8779-2014</t>
  </si>
  <si>
    <t>Scott, Ryan/0000-0002-9182-0834; Russell, Lynn/0000-0002-6108-2375; /0000-0002-9121-3110; Vogelmann, Andrew/0000-0003-1918-5423</t>
  </si>
  <si>
    <t>National Science Foundation (NSF) [PLR-1443443, PLR-1341695]; U.S. Department of Energy (DOE) [DE-SC0012704]; NASA [NNX15AN45H]; DOE [DE-AC02-06CH11357]; NSF [PLR-1443495, ANT-1245663]; DOE ARM Climate Research Facility Program; NSF Division of Polar Program; WAIS Divide Station; Office of Polar Programs (OPP); Directorate For Geosciences [1443549] Funding Source: National Science Foundation; Office of Polar Programs (OPP); Directorate For Geosciences [1443495, 1443443] Funding Source: National Science Foundation; NASA [798512, NNX15AN45H] Funding Source: Federal RePORTER</t>
  </si>
  <si>
    <t>National Science Foundation (NSF)(National Science Foundation (NSF)); U.S. Department of Energy (DOE)(United States Department of Energy (DOE)); NASA(National Aeronautics &amp; Space Administration (NASA)); DOE(United States Department of Energy (DOE)); NSF(National Science Foundation (NSF)); DOE ARM Climate Research Facility Program; NSF Division of Polar Program; WAIS Divide Station; Office of Polar Programs (OPP); Directorate For Geosciences(National Science Foundation (NSF)NSF - Directorate for Geosciences (GEO)); Office of Polar Programs (OPP); Directorate For Geosciences(National Science Foundation (NSF)NSF - Directorate for Geosciences (GEO)); NASA(National Aeronautics &amp; Space Administration (NASA))</t>
  </si>
  <si>
    <t>J.P.N., A.B.W., and D.H.B. were supported by National Science Foundation (NSF) grants PLR-1443443 and PLR-1341695. A.M.V. is supported by the U.S. Department of Energy (DOE) under Contract DE-SC0012704. R.C.S. was supported by NASA grant NNX15AN45H. M.P.C. is supported by the DOE under Contract DE-AC02-06CH11357. J.V. was supported by NSF grant PLR-1443495. AWARE is supported by the DOE ARM Climate Research Facility and NSF Division of Polar Programs. We thank WAIS Divide Station Manager E. Beazley and her crew for their field support. We thank the ARM data management and data quality personnel (particularly N. Keck, C. Stuart, J. King and A. Theisen) for timely review and delivery of the WAIS data, and instrument mentors (particularly D. Cook and J. Kyrouac) for assistance with the data. CAM model simulations were conducted at the Ohio Supercomputer Center. The University of Wisconsin-Madison Automatic Weather Station Program, provider of the AWS data, is supported by NSF Grant ANT-1245663. This paper is contribution 1567 of the Byrd Polar and Climate Research Center.</t>
  </si>
  <si>
    <t>10.1038/ncomms15799</t>
  </si>
  <si>
    <t>EX5XQ</t>
  </si>
  <si>
    <t>WOS:000403316800001</t>
  </si>
  <si>
    <t>Kidd, IM; Davis, J; Seward, M; Fischer, A</t>
  </si>
  <si>
    <t>Kidd, Ian M.; Davis, Jenny; Seward, Mike; Fischer, Andrew</t>
  </si>
  <si>
    <t>Bathymetric rejuvenation strategies for morphologically degraded estuaries</t>
  </si>
  <si>
    <t>Silt accretion; Remediation; Stressor; Hydrodynamics; Total exclusion barrage</t>
  </si>
  <si>
    <t>ECOSYSTEM RESTORATION; VALUE CREATION; VALUE CAPTURE; PROJECTS; MANAGEMENT; DYNAMICS; COASTAL; MODEL</t>
  </si>
  <si>
    <t>Bathymetric adjustment of estuaries created by anthropogenic stressors is a common global issue. Typical stressors are tidal levees, jetties, infilling, barrages and flow redirection. Removal or alleviatioh of stressors should in part, reinstate previous conditions. Generic and site specific rehabilitation strategies were assessed using a simple regime model (FORM) for the excessively silted Tamar River estuary in Tasmania, Australia. The model calculated the net sediment adjustment resulting from each strategy and was applied to evaluate projects designed to mitigate previously identified stressors and two separate barrages. Results show that a combination of projects involving removal or mitigation of stressors potentially eroded &gt;7 x 106 m(3) of silt over the study area whereas both barrages caused silt accretion, one potentially doubling the volume of silt accumulated since the early 1800s. It was concluded that a substantial rejuvenation of the estuary was possible utilising various strategies, including creating a tidal lake, removing tidal levees, reconstituting an old meander system, and creating an additional waterway, whilst mainly negative trade-offs would result from installation of a barrage. In a general sense, the recommended strategies would apply to similarly degraded estuaries elsewhere. (C) 2017 Elsevier Ltd. All rights reserved.</t>
  </si>
  <si>
    <t>[Kidd, Ian M.; Fischer, Andrew] Univ Tasmania, Inst Marine &amp; Antarctic Studies, Launceston, Tas, Australia; [Davis, Jenny] Charles Darwin Univ, Inst Appl Ecol, Darwin, NT, Australia; [Seward, Mike] Seward Maritime, POB 3038, Launceston, Tas 7250, Australia</t>
  </si>
  <si>
    <t>University of Tasmania; Charles Darwin University; University of Tasmania; Australian Maritime College</t>
  </si>
  <si>
    <t>Kidd, IM (corresponding author), Univ Tasmania, Australian Maritime Coll, Locked Bag 1395, Launceston, Tas 7250, Australia.</t>
  </si>
  <si>
    <t>We gratefully acknowledge the assistance given by the following; Launceston Flood Authority, particularly the Chairman Mr Alan Birchmore for kindly offering the bathymetric data; the General Manager Mr Andrew Fullard and Mr Leigh Cornwell for the data processing; and the support provided by Charles Darwin University and the University of Tasmania.</t>
  </si>
  <si>
    <t>10.1016/j.ocecoaman.2017.03.025</t>
  </si>
  <si>
    <t>EU9WO</t>
  </si>
  <si>
    <t>WOS:000401390600009</t>
  </si>
  <si>
    <t>Haid, V; Iovino, D; Masina, S</t>
  </si>
  <si>
    <t>Haid, Verena; Iovino, Doroteaciro; Masina, Simona</t>
  </si>
  <si>
    <t>Impacts of freshwater changes on Antarctic sea ice in an eddy-permitting sea-ice-ocean model</t>
  </si>
  <si>
    <t>SOUTHERN-OCEAN; TRENDS; CIRCULATION; DISCHARGE; SHEET; MELT</t>
  </si>
  <si>
    <t>In a warming climate, satellite data indicate that the sea ice extent around Antarctica has increased over the last decades. One of the suggested explanations is the stabilizing effect of increased mass loss of the Antarctic ice sheet. Here, we investigate the sea ice response to changes in both the amount and the spatial distribution of freshwater input to the ocean by comparing a set of numerical sensitivity simulations with additional supply of water at the Antarctic ocean surface. We analyze the short-term response of the sea ice cover and the on-shelf water column to variations in the amount and distribution of the prescribed surface freshwater flux. Our results confirm that enhancing the freshwater input can increase the sea ice extent. Our experiments show a negative development of the sea ice extent only for extreme freshwater additions. We find that the spatial distribution of freshwater is of great influence on sea ice concentration and thickness as it affects sea ice dynamics and thermodynamics. For strong regional contrasts in the freshwater addition the dynamic response dominates the local change in sea ice, which generally opposes the thermodynamic response. Furthermore, we find that additional coastal runoff generally leads to fresher and warmer dense shelf waters.</t>
  </si>
  <si>
    <t>[Haid, Verena; Iovino, Doroteaciro; Masina, Simona] Fdn Ctr Euromediterraneo Cambiamenti Climat CMCC, Bologna, Italy; [Masina, Simona] INGV, Bologna, Italy; [Haid, Verena] CNRS, LOPS, Plouzane, France</t>
  </si>
  <si>
    <t>Centro Euro-Mediterraneo sui Cambiamenti Climatici (CMCC); Istituto Nazionale Geofisica e Vulcanologia (INGV); Centre National de la Recherche Scientifique (CNRS); Universite de Bretagne Occidentale; Ifremer</t>
  </si>
  <si>
    <t>Haid, V (corresponding author), Fdn Ctr Euromediterraneo Cambiamenti Climat CMCC, Bologna, Italy.;Haid, V (corresponding author), CNRS, LOPS, Plouzane, France.</t>
  </si>
  <si>
    <t>v.haid@web.de</t>
  </si>
  <si>
    <t>Iovino, Doroteaciro/E-9759-2015; Masina, Simona/B-4974-2012</t>
  </si>
  <si>
    <t>Iovino, Doroteaciro/0000-0001-5132-7255; MASINA, Simona/0000-0001-6273-7065; Haid, Verena/0000-0002-9899-1740</t>
  </si>
  <si>
    <t>JUN 14</t>
  </si>
  <si>
    <t>10.5194/tc-11-1387-2017</t>
  </si>
  <si>
    <t>EX4WJ</t>
  </si>
  <si>
    <t>WOS:000403235400001</t>
  </si>
  <si>
    <t>Bates, AE; Stuart-Smith, RD; Barrett, NS; Edgar, GJ</t>
  </si>
  <si>
    <t>Bates, Amanda E.; Stuart-Smith, Rick D.; Barrett, Neville S.; Edgar, Graham J.</t>
  </si>
  <si>
    <t>Biological interactions both facilitate and resist climate-related functional change in temperate reef communities</t>
  </si>
  <si>
    <t>climate change; community temperature index; functional traits; marine protected area; tropicalization</t>
  </si>
  <si>
    <t>RANGE SHIFTS; PROTECTED AREAS; MARINE; TRENDS; SCALE</t>
  </si>
  <si>
    <t>Shifts in the abundance and location of species are restructuring life on the Earth, presenting the need to build resilience into our natural systems. Here, we tested if protection from fishing promotes community resilience in temperate reef communities undergoing rapid warming in Tasmania. Regardless of protection status, we detected a signature of warming in the brown macroalgae, invertebrates and fishes, through increases in the local richness and abundance of warm-affinity species. Even so, responses in protected communities diverged from exploited communities. At the local scale, the number of cool-affinity fishes and canopy-forming algal species increased following protection, even though the observation window fell within a period of warming. At the same time, exploited communities gained turf algal and sessile invertebrate species. We further found that the recovery of predator populations following protection leads to marked declines in mobile invertebrates this trend could be incorrectly attributed to warming without contextual data quantifying community change across trophic levels. By comparing long-term change in exploited and protected reefs, we empirically demonstrate the role of biological interactions in both facilitating and resisting climate-related biodiversity change. We further highlight the potential for trophic interactions to alter the progression of both range expansions and contractions.</t>
  </si>
  <si>
    <t>[Bates, Amanda E.] Univ Southampton, Natl Oceanog Ctr, Waterfront Campus, Southampton SO14 3ZH, Hants, England; [Stuart-Smith, Rick D.; Barrett, Neville S.; Edgar, Graham J.] Univ Tasmania, Inst Marine &amp; Antarctic Studies, Hobart, Tas 7001, Australia</t>
  </si>
  <si>
    <t>NERC National Oceanography Centre; University of Southampton; University of Tasmania</t>
  </si>
  <si>
    <t>Bates, AE (corresponding author), Univ Southampton, Natl Oceanog Ctr, Waterfront Campus, Southampton SO14 3ZH, Hants, England.</t>
  </si>
  <si>
    <t>bates.amanda@gmail.com</t>
  </si>
  <si>
    <t>Stuart-Smith, Rick/I-5214-2019; Edgar, Graham/AAY-3797-2020; Bates, Amanda E./ABD-6874-2021; Stuart-Smith, Rick D/M-1829-2013; Barrett, Neville/J-7593-2014</t>
  </si>
  <si>
    <t>Stuart-Smith, Rick/0000-0002-8874-0083; Edgar, Graham/0000-0003-0833-9001; Bates, Amanda E./0000-0002-0198-4537; Stuart-Smith, Rick D/0000-0002-8874-0083; Barrett, Neville/0000-0002-6167-1356</t>
  </si>
  <si>
    <t>ARC Linkage grant; Marine Biodiversity Hub through the Australian Government's National Environmental Science Programme</t>
  </si>
  <si>
    <t>ARC Linkage grant(Australian Research Council); Marine Biodiversity Hub through the Australian Government's National Environmental Science Programme</t>
  </si>
  <si>
    <t>Salary support for R.D.S.-S. was provided by an ARC Linkage grant and through the Marine Biodiversity Hub, a collaborative partnership supported through the Australian Government's National Environmental Science Programme.</t>
  </si>
  <si>
    <t>10.1098/rspb.2017.0484</t>
  </si>
  <si>
    <t>FB2DX</t>
  </si>
  <si>
    <t>WOS:000405955300012</t>
  </si>
  <si>
    <t>Bieser, J; Slemr, F; Ambrose, J; Brenninkmeijer, C; Brooks, S; Dastoor, A; DeSimone, F; Ebinghaus, R; Gencarelli, CN; Geyer, B; Gratz, LE; Hedgecock, IM; Jaffe, D; Kelley, P; Lin, CJ; Jaegle, L; Matthias, V; Ryjkov, A; Selin, NE; Song, SJ; Travnikov, O; Weigelt, A; Luke, W; Ren, XR; Zahn, A; Yang, X; Zhu, Y; Pirrone, N</t>
  </si>
  <si>
    <t>Bieser, Johannes; Slemr, Franz; Ambrose, Jesse; Brenninkmeijer, Carl; Brooks, Steve; Dastoor, Ashu; DeSimone, Francesco; Ebinghaus, Ralf; Gencarelli, Christian N.; Geyer, Beate; Gratz, Lynne E.; Hedgecock, Ian M.; Jaffe, Daniel; Kelley, Paul; Lin, Che-Jen; Jaegle, Lyatt; Matthias, Volker; Ryjkov, Andrei; Selin, Noelle E.; Song, Shaojie; Travnikov, Oleg; Weigelt, Andreas; Luke, Winston; Ren, Xinrong; Zahn, Andreas; Yang, Xin; Zhu, Yun; Pirrone, Nicola</t>
  </si>
  <si>
    <t>Multi-model study of mercury dispersion in the atmosphere: vertical and interhemispheric distribution of mercury species</t>
  </si>
  <si>
    <t>TROPOSPHERIC BROMINE CHEMISTRY; CROSS-TROPOPAUSE EXCHANGE; GASEOUS DRY DEPOSITION; MARINE BOUNDARY-LAYER; KCL-COATED DENUDERS; OXIDIZED MERCURY; ELEMENTAL MERCURY; WET DEPOSITION; GLOBAL-MODEL; TRANSPORT</t>
  </si>
  <si>
    <t>Atmospheric chemistry and transport of mercury play a key role in the global mercury cycle. However, there are still considerable knowledge gaps concerning the fate of mercury in the atmosphere. This is the second part of a model intercomparison study investigating the impact of atmospheric chemistry and emissions on mercury in the atmosphere. While the first study focused on ground-based observations of mercury concentration and deposition, here we investigate the vertical and interhemispheric distribution and speciation of mercury from the planetary boundary layer to the lower stratosphere. So far, there have been few model studies investigating the vertical distribution of mercury, mostly focusing on single aircraft campaigns. Here, we present a first comprehensive analysis based on various aircraft observations in Europe, North America, and on intercontinental flights. The investigated models proved to be able to reproduce the distribution of total and elemental mercury concentrations in the troposphere including interhemispheric trends. One key aspect of the study is the investigation of mercury oxidation in the troposphere. We found that different chemistry schemes were better at reproducing observed oxidized mercury patterns depending on altitude. High concentrations of oxidized mercury in the upper troposphere could be reproduced with oxidation by bromine while elevated concentrations in the lower troposphere were better reproduced by OH and ozone chemistry. However, the results were not always conclusive as the physical and chemical parameterizations in the chemistry transport models also proved to have a substantial impact on model results.</t>
  </si>
  <si>
    <t>[Bieser, Johannes; Ebinghaus, Ralf; Geyer, Beate; Matthias, Volker] Helmholtz Zentrum Geesthacht, D-21052 Geesthacht, Germany; [Bieser, Johannes] DLR, Munchener Str 20, D-82234 Wessling, Germany; [Slemr, Franz; Brenninkmeijer, Carl] Max Planck Inst Chem MPI, Hahn Meitner Weg 1, D-55128 Mainz, Germany; [Ambrose, Jesse; Jaffe, Daniel] Univ Washington, Sch Sci Technol Engn &amp; Math, Bothell, WA USA; [Brooks, Steve; Kelley, Paul; Luke, Winston; Ren, Xinrong] NOAA, Air Resources Lab, 5830 Univ Res Court, College Pk, MD 20740 USA; [Brooks, Steve] Univ Tennessee, Space Inst, Dept Mech Aerosp &amp; Biomed Engn, 411 BH Goethert Pkwy, Tullahoma, TN 37388 USA; [Dastoor, Ashu; Ryjkov, Andrei] ECCC, Air Qual Res Div, Dorval, PQ, Canada; [DeSimone, Francesco; Gencarelli, Christian N.; Hedgecock, Ian M.] CNR, Inst Atmospher Pollut Res, Div Rende, Arcavacata Di Rende, Italy; [Gratz, Lynne E.] Colorado Coll, Environm Program, Colorado Springs, CO 80903 USA; [Kelley, Paul; Ren, Xinrong] Univ Maryland, Cooperat Inst Climate &amp; Satellites, 5825 Univ Res Court, College Pk, MD 20740 USA; [Lin, Che-Jen] Lamar Univ, Ctr Adv Water &amp; Air Qual, Beaumont, TX 77710 USA; [Selin, Noelle E.; Song, Shaojie] MIT, Dept Earth Atmospher &amp; Planetary Sci, Cambridge, MA USA; [Selin, Noelle E.] MIT, Inst Data Syst &amp; Soc, 77 Massachusetts Ave, Cambridge, MA 02139 USA; [Travnikov, Oleg] Meteorol Synthesizing Ctr East EMEP, Moscow, Russia; [Weigelt, Andreas] Fed Maritime &amp; Hydrog Agcy BSH, Hamburg, Germany; [Ren, Xinrong] Florida State Univ, Dept Earth Ocean &amp; Atmospher Sci, 117 North Woodward Ave, Tallahassee, FL 32306 USA; [Zahn, Andreas] Karlsruhe Inst Technol, IMK, ASF, Hermann von Helmholtz Pl 1, D-76344 Leopoldshafen, Germany; [Yang, Xin] British Antarctic Survey, Cambridge, England; [Zhu, Yun] South China Univ Technol, Sch Environm &amp; Energy, Guangzhou, Guangdong, Peoples R China; [Jaegle, Lyatt] Univ Washington, Dept Atmospher Sci, Seattle, WA 98195 USA; [Pirrone, Nicola] CNR, Inst Atmospher Pollut Res, Rome, Italy</t>
  </si>
  <si>
    <t>Helmholtz Association; Helmholtz-Zentrum Hereon; Max Planck Society; University of Washington; University of Washington Bothell; National Oceanic Atmospheric Admin (NOAA) - USA; University of Tennessee System; University of Tennessee Knoxville; University of Tennessee Space Institute; Consiglio Nazionale delle Ricerche (CNR); Istituto Sull'inquinamento Atmosferico (IIA-CNR); Colorado College; University System of Maryland; University of Maryland College Park; Texas State University System; Lamar University; Massachusetts Institute of Technology (MIT); Massachusetts Institute of Technology (MIT); State University System of Florida; Florida State University; Helmholtz Association; Karlsruhe Institute of Technology; UK Research &amp; Innovation (UKRI); Natural Environment Research Council (NERC); NERC British Antarctic Survey; South China University of Technology; University of Washington; University of Washington Seattle; Consiglio Nazionale delle Ricerche (CNR); Istituto Sull'inquinamento Atmosferico (IIA-CNR)</t>
  </si>
  <si>
    <t>Bieser, J (corresponding author), Helmholtz Zentrum Geesthacht, D-21052 Geesthacht, Germany.;Bieser, J (corresponding author), DLR, Munchener Str 20, D-82234 Wessling, Germany.</t>
  </si>
  <si>
    <t>johannes.bieser@hzg.de</t>
  </si>
  <si>
    <t>Lin, Che-Jen/K-1808-2013; Lin, Che-Jen/HLW-7199-2023; De Simone, Francesco/IZP-8333-2023; Yang, Xin/AGB-3514-2022; Pirrone, Nicola/IXD-5019-2023; Bieser, Johannes/R-2583-2017; De Simone, Francesco/HDN-9081-2022; Zahn, Andreas/K-2567-2012; Song, Shaojie/A-1948-2012; Luke, Winston T/D-1594-2016; Selin, Noelle E/A-4158-2008; Travnikov, Oleg/ACL-2820-2022; Zhu, Yun/JUU-8666-2023; Hedgecock, Ian Michael/ITV-3348-2023; Ren, Xinrong/E-7838-2015; Jaegle, Lyatt/M-6536-2015</t>
  </si>
  <si>
    <t>Yang, Xin/0000-0002-3838-9758; Bieser, Johannes/0000-0003-2938-3124; Zahn, Andreas/0000-0003-3153-3451; Song, Shaojie/0000-0001-6395-7422; Selin, Noelle E/0000-0002-6396-5622; Travnikov, Oleg/0000-0002-4413-0777; Zhu, Yun/0000-0002-8387-2300; Hedgecock, Ian Michael/0000-0002-3743-1870; Gencarelli, Christian Natale/0000-0002-2366-661X; Dastoor, Ashu/0000-0002-3312-7484; Ren, Xinrong/0000-0001-9974-1666; De Simone, Francesco/0000-0003-0252-2382; Jaegle, Lyatt/0000-0003-1866-801X; Geyer, Beate/0000-0001-8017-3136; Matthias, Volker/0000-0003-0519-8805</t>
  </si>
  <si>
    <t>EU (GMOS) [265113]; US National Science Foundation [1053648, 1217010]; National Oceanic and Atmospheric Administration (NOAA) [NA09OAR4600198, NA10OAR4600209]; Natural Environment Research Council [bas0100032] Funding Source: researchfish; Directorate For Geosciences; Div Atmospheric &amp; Geospace Sciences [1217010] Funding Source: National Science Foundation; NERC [bas0100032] Funding Source: UKRI</t>
  </si>
  <si>
    <t>EU (GMOS); US National Science Foundation(National Science Foundation (NSF)); National Oceanic and Atmospheric Administration (NOAA)(National Oceanic Atmospheric Admin (NOAA) - USA); Natural Environment Research Council(UK Research &amp; Innovation (UKRI)Natural Environment Research Council (NERC)); Directorate For Geosciences; Div Atmospheric &amp; Geospace Sciences(National Science Foundation (NSF)NSF - Directorate for Geosciences (GEO)); NERC(UK Research &amp; Innovation (UKRI)Natural Environment Research Council (NERC))</t>
  </si>
  <si>
    <t>This study was financially supported in part by the EU FP7-ENV-2010 project, Global Mercury Observation System (GMOS, grant agreement no. 265113). Noelle E. Selin and Shaojie Song also acknowledge the US National Science Foundation Atmospheric Chemistry Program (grant no. 1053648) for their financial support. Steve Brooks, Xinrong Ren, Winston T. Luke, and Paul Kelley acknowledge the National Oceanic and Atmospheric Administration (NOAA), which funded the Tullahoma aircraft campaign (project no. NA09OAR4600198 and NA10OAR4600209). Finally we want to acknowledge the US National Science Foundation, which provided funding for the NOMADSS project (award no. 1217010).</t>
  </si>
  <si>
    <t>JUN 13</t>
  </si>
  <si>
    <t>10.5194/acp-17-6925-2017</t>
  </si>
  <si>
    <t>EX4QC</t>
  </si>
  <si>
    <t>WOS:000403218700004</t>
  </si>
  <si>
    <t>García-Garrido, VJ; Curbelo, J; Mechoso, CR; Mancho, AM; Wiggins, S</t>
  </si>
  <si>
    <t>Jose Garcia-Garrido, Vctor; Curbelo, Jezabel; Mechoso, Carlos Roberto; Mancho, Ana Maria; Wiggins, Stephen</t>
  </si>
  <si>
    <t>A simple kinematic model for the Lagrangian description of relevant nonlinear processes in the stratospheric polar vortex</t>
  </si>
  <si>
    <t>ROSSBY-WAVE BREAKING; SOUTHERN-HEMISPHERE STRATOSPHERE; DEPENDENT VECTOR-FIELDS; ANTARCTIC OZONE HOLE; HYPERBOLIC TRAJECTORIES; COHERENT STRUCTURES; DYNAMICAL-SYSTEMS; DATA SETS; UNSTABLE MANIFOLDS; VELOCITY-FIELDS</t>
  </si>
  <si>
    <t>In this work, we study the Lagrangian footprint of the planetary waves present in the Southern Hemisphere stratosphere during the exceptional sudden Stratospheric warming event that took place during September 2002. Our focus is on constructing a simple kinematic model that retains the fundamental mechanisms responsible for complex fluid parcel evolution, during the polar vortex breakdown and its previous stages. The construction of the kinematic model is guided by the Fourier decomposition of the geopotential field. The study of Lagrangian transport phenomena in the ERA-Interim reanalysis data highlights hyperbolic trajectories, and these trajectories are Lagrangian objects that are the kinematic mechanism for the observed filamentation phenomena. Our analysis shows that the breaking and splitting of the polar vortex is justified in our model by the sudden growth of a planetary wave and the decay of the axisymmetric flow.</t>
  </si>
  <si>
    <t>[Jose Garcia-Garrido, Vctor; Curbelo, Jezabel; Mancho, Ana Maria] UAM, CSIC, UC3M, Inst Ciencias Matemat,UCM, C Nicolas Cabrera 15,Campus Cantoblanco UAM, Madrid 28049, Spain; [Curbelo, Jezabel] Univ Autonoma Madrid, Fac Ciencias, Dept Matemat, Madrid, Spain; [Mechoso, Carlos Roberto] Univ Calif Los Angeles, Dept Atmospher &amp; Ocean Sci, Los Angeles, CA USA; [Wiggins, Stephen] Univ Bristol, Sch Math, Bristol, Avon, England</t>
  </si>
  <si>
    <t>Consejo Superior de Investigaciones Cientificas (CSIC); CSIC - Instituto de Ciencia de Materiales de Madrid (ICMM); Autonomous University of Madrid; CSIC - Instituto de Ciencias Matematicas (ICMAT); Complutense University of Madrid; Universidad Carlos III de Madrid; Autonomous University of Madrid; University of California System; University of California Los Angeles; University of Bristol</t>
  </si>
  <si>
    <t>Mancho, AM (corresponding author), UAM, CSIC, UC3M, Inst Ciencias Matemat,UCM, C Nicolas Cabrera 15,Campus Cantoblanco UAM, Madrid 28049, Spain.</t>
  </si>
  <si>
    <t>Garrido, Víctor José García/K-9045-2014; Curbelo, Jezabel/F-8394-2019; Mancho, Ana Maria/K-5194-2014; Curbelo, Jezabel/AAA-8806-2021; Garrido, Víctor José García/S-1396-2019</t>
  </si>
  <si>
    <t>Garrido, Víctor José García/0000-0003-0557-3193; Mancho, Ana Maria/0000-0002-8385-7098; Curbelo, Jezabel/0000-0002-7276-0127; Garrido, Víctor José García/0000-0003-0557-3193; Wiggins, Stephen/0000-0002-0780-0911</t>
  </si>
  <si>
    <t>MINECO grant [MTM2014-56392-R]; U.S. NSF grant [AGS-1245069]; ONR grant [N00014-01-1-0769, N00014-16-1-2492]; Div Atmospheric &amp; Geospace Sciences; Directorate For Geosciences [1245069] Funding Source: National Science Foundation</t>
  </si>
  <si>
    <t>MINECO grant(Spanish Government); U.S. NSF grant(National Science Foundation (NSF)); ONR grant; Div Atmospheric &amp; Geospace Sciences; Directorate For Geosciences(National Science Foundation (NSF)NSF - Directorate for Geosciences (GEO))</t>
  </si>
  <si>
    <t>V. J. Garcia-Garrido, J. Curbelo and A. M. Mancho are supported by MINECO grant MTM2014-56392-R. The research of C. R. Mechoso is supported by the U.S. NSF grant AGS-1245069. The research of S. Wiggins is supported by ONR grant no. N00014-01-1-0769. We also acknowledge support from ONR grant no. N00014-16-1-2492.</t>
  </si>
  <si>
    <t>JUN 9</t>
  </si>
  <si>
    <t>10.5194/npg-24-265-2017</t>
  </si>
  <si>
    <t>EX4WD</t>
  </si>
  <si>
    <t>WOS:000403234800001</t>
  </si>
  <si>
    <t>Frisia, S; Weyrich, LS; Hellstrom, J; Borsato, A; Golledge, NR; Anesio, AM; Bajo, P; Drysdale, RN; Augustinus, PC; Rivard, C; Cooper, A</t>
  </si>
  <si>
    <t>Frisia, Silvia; Weyrich, Laura S.; Hellstrom, John; Borsato, Andrea; Golledge, Nicholas R.; Anesio, Alexandre M.; Bajo, Petra; Drysdale, Russell N.; Augustinus, Paul C.; Rivard, Camille; Cooper, Alan</t>
  </si>
  <si>
    <t>The influence of Antarctic subglacial volcanism on the global iron cycle during the Last Glacial Maximum</t>
  </si>
  <si>
    <t>ICE-SHEET; EAST ANTARCTICA; SOUTHERN-OCEAN; BIOAVAILABLE IRON; GEN. NOV.; SEA-ICE; DOME-C; MELTWATER; CARBON; LAKE</t>
  </si>
  <si>
    <t>Marine sediment records suggest that episodes of major atmospheric CO2 drawdown during the last glacial period were linked to iron (Fe) fertilization of subantarctic surface waters. The principal source of this Fe is thought to be dust transported from southern mid-latitude deserts. However, uncertainty exists over contributions to CO2 sequestration from complementary Fe sources, such as the Antarctic ice sheet, due to the difficulty of locating and interrogating suitable archives that have the potential to preserve such information. Here we present petrographic, geochemical and microbial DNA evidence preserved in precisely dated subglacial calcites from close to the East Antarctic Ice-Sheet margin, which together suggest that volcanically-induced drainage of Fe-rich waters during the Last Glacial Maximum could have reached the Southern Ocean. Our results support a significant contribution of Antarctic volcanism to subglacial transport and delivery of nutrients with implications on ocean productivity at peak glacial conditions.</t>
  </si>
  <si>
    <t>[Frisia, Silvia; Borsato, Andrea] Univ Newcastle, Sch Environm &amp; Life Sci, Callaghan, NSW 2308, Australia; [Weyrich, Laura S.; Cooper, Alan] Univ Adelaide, Australian Ctr Ancient DNA ACAD, Adelaide, SA 5005, Australia; [Hellstrom, John] Univ Melbourne, Sch Earth Sci, Parkville, Vic 3010, Australia; [Golledge, Nicholas R.] Victoria Univ Wellington, Antarctic Res Ctr, Wellington 6140, New Zealand; [Golledge, Nicholas R.] GNS Sci, Lower Hutt 5011, New Zealand; [Anesio, Alexandre M.] Univ Bristol, Bristol Glaciol Ctr, Sch Geog Sci, Bristol BS8 1SS, Avon, England; [Bajo, Petra; Drysdale, Russell N.] Univ Melbourne, Sch Geog, Parkville, Vic 3010, Australia; [Drysdale, Russell N.] Univ Savoie Mt Blanc, UMR CNRS, Environm Dynam &amp; Terr Montagne, F-73376 Le Bourget Du Lac, France; [Augustinus, Paul C.] Univ Auckland, Sch Environm, Auckland 92019, New Zealand; [Rivard, Camille] European Synchrotron Radiat Fac, F-38000 Grenoble, France</t>
  </si>
  <si>
    <t>University of Newcastle; University of Adelaide; University of Melbourne; Victoria University Wellington; GNS Science - New Zealand; University of Bristol; University of Melbourne; Centre National de la Recherche Scientifique (CNRS); Universite Savoie Mont Blanc; University of Auckland; European Synchrotron Radiation Facility (ESRF)</t>
  </si>
  <si>
    <t>Frisia, S (corresponding author), Univ Newcastle, Sch Environm &amp; Life Sci, Callaghan, NSW 2308, Australia.</t>
  </si>
  <si>
    <t>silvia.frisia@newcastle.edu.au</t>
  </si>
  <si>
    <t>Cooper, Alan/E-8171-2012; Drysdale, Russell/AAH-9376-2019; Hellstrom, John C/B-1770-2008; Anesio, Alexandre/A-7597-2008; frisia, silvia/B-2672-2010; Augustinus, Paul/B-5125-2011; Borsato, Andrea/H-1412-2012</t>
  </si>
  <si>
    <t>Anesio, Alexandre/0000-0003-2990-4014; RIVARD, Camille/0000-0001-5601-1989; Hellstrom, John/0000-0001-9427-3525; Drysdale, Russell/0000-0001-7867-031X; Frisia, Silvia/0000-0001-6568-2696; Borsato, Andrea/0000-0003-3858-4462; Weyrich, Laura/0000-0001-5243-4634; Golledge, Nicholas/0000-0001-7676-8970; Cooper, Alan/0000-0002-7738-7851</t>
  </si>
  <si>
    <t>Australian Synchrotron [AS-IA104-ESRF-EC794]; University of Auckland Research Committee</t>
  </si>
  <si>
    <t>Australian Synchrotron; University of Auckland Research Committee</t>
  </si>
  <si>
    <t>Access to the European Synchrotron Radiation Facility (ESRF) was supported by the Australian Synchrotron AS-IA104-ESRF-EC794 grant. Murielle Salome, Giulia Veronesi and Vanessa Johnston provided valuable assistance at beamline ID21 of ESRF. Alfredo Martin-Garcia provided the ODP 1090 Fe fluxes, Barbara Stenni provided the EDC and EDML synchronized temperature records and Roberto Udisti shared knowledge on F records and measurements in EDC. Olivier Rey-Lescure is acknowledged for cartography. The Boggs Valley calcites were collected by P.A. during Antarctica New Zealand Event K015, with logistical support from Antarctica New Zealand and the Italian Antarctic Program (PNRA). University of Auckland Research Committee grants provided funding to assist the fieldwork.</t>
  </si>
  <si>
    <t>10.1038/ncomms15425</t>
  </si>
  <si>
    <t>EX1DH</t>
  </si>
  <si>
    <t>WOS:000402960000001</t>
  </si>
  <si>
    <t>Tian, WS; Li, YP; Xie, F; Zhang, JK; Chipperfield, MP; Feng, WH; Hu, YY; Zhao, S; Zhou, X; Yang, Y; Ma, X</t>
  </si>
  <si>
    <t>Tian, Wenshou; Li, Yuanpu; Xie, Fei; Zhang, Jiankai; Chipperfield, Martyn P.; Feng, Wuhu; Hu, Yongyun; Zhao, Sen; Zhou, Xin; Yang, Yun; Ma, Xuan</t>
  </si>
  <si>
    <t>The relationship between lower-stratospheric ozone at southern high latitudes and sea surface temperature in the East Asian marginal seas in austral spring</t>
  </si>
  <si>
    <t>QUASI-BIENNIAL OSCILLATION; CHEMISTRY-CLIMATE MODEL; ANTARCTIC OZONE; EL-NINO; INTERANNUAL VARIABILITY; NORTHERN-HEMISPHERE; ENSEMBLE SIMULATIONS; ATMOSPHERIC DYNAMICS; TROPOSPHERIC OZONE; ARCTIC OSCILLATION</t>
  </si>
  <si>
    <t>Using satellite observations, reanalysis data, and model simulations, this study investigates the effect of sea surface temperature (SST) on interannual variations of lower-stratospheric ozone at southern high latitudes in austral spring. It is found that the SST variations across the East Asian marginal seas (5 degrees S-35 degrees N, 100-140 degrees E) rather than the tropical eastern Pacific Ocean, where ENSO occurs, have the most significant correlation with the southern high-latitude lower-stratospheric ozone changes in austral spring. Further analysis reveals that planetary waves originating over the marginal seas in austral spring can propagate towards southern middle to high latitudes via teleconnection pathway. The anomalous propagation and dissipation of ultra-long Rossby waves in the stratosphere strengthen/cool (weaken/warm) the southern polar vortex, which produces more (less) active chlorine and enhances (suppresses) ozone depletion in the southern high-latitude stratosphere on one the hand and impedes (favors) the transport of ozone from the southern middle-latitude stratosphere to high latitudes on the other. The model simulations also reveal that approximately 17% of the decreasing trend in the southern high-latitude lower-stratospheric ozone observed over the past 5 decades may be associated with the increasing trend in SST over the East Asian marginal seas.</t>
  </si>
  <si>
    <t>[Tian, Wenshou; Li, Yuanpu; Zhang, Jiankai] Lanzhou Univ, Coll Atmospher Sci, Lanzhou, Peoples R China; [Xie, Fei; Yang, Yun; Ma, Xuan] Beijing Normal Univ, Coll Global Change &amp; Earth Syst Sci, Beijing, Peoples R China; [Chipperfield, Martyn P.] Univ Leeds, Sch Earth &amp; Environm, ICAS, Leeds, W Yorkshire, England; [Feng, Wuhu] Univ Leeds, Sch Earth &amp; Environm, NCAS, Leeds, W Yorkshire, England; [Hu, Yongyun] Peking Univ, Sch Phys, Dept Atmospher &amp; Ocean Sci, Beijing, Peoples R China; [Zhao, Sen] Nanjing Univ Informat Sci &amp; Technol, Key Lab Meteorol Disaster, Minist Educ, Nanjing, Jiangsu, Peoples R China; [Zhao, Sen] Nanjing Univ Informat Sci &amp; Technol, Coll Atmospher Sci, Nanjing, Jiangsu, Peoples R China; [Zhao, Sen] Univ Hawaii Manoa, Sch Ocean &amp; Earth Sci &amp; Technol, Honolulu, HI USA; [Zhou, Xin] Chengdu Univ Informat Technol, Coll Atmospher Sci, Plateau Atmosphere &amp; Environm Key Lab Sichuan Pro, Chengdu, Peoples R China</t>
  </si>
  <si>
    <t>Lanzhou University; Beijing Normal University; University of Leeds; UK Research &amp; Innovation (UKRI); Natural Environment Research Council (NERC); NERC National Centre for Atmospheric Science; University of Leeds; Peking University; Nanjing University of Information Science &amp; Technology; Nanjing University of Information Science &amp; Technology; University of Hawaii System; University of Hawaii Manoa; Chengdu University of Information Technology</t>
  </si>
  <si>
    <t>Xie, F (corresponding author), Beijing Normal Univ, Coll Global Change &amp; Earth Syst Sci, Beijing, Peoples R China.</t>
  </si>
  <si>
    <t>xiefei@bnu.edu.cn</t>
  </si>
  <si>
    <t>Xie, Fei/I-9766-2016; FENG, WUHU/B-8327-2008; Hu, Yongyun/B-6786-2016; Zhang, Jiankai/N-8781-2019; Ma, Xuan/HPG-8311-2023; Zhang, Jiankai/AAR-3510-2020; Zhao, Sen/S-3113-2016; Chipperfield, Martyn/H-6359-2013</t>
  </si>
  <si>
    <t>Xie, Fei/0000-0003-2891-3883; FENG, WUHU/0000-0002-9907-9120; Hu, Yongyun/0000-0002-4003-4630; Zhang, Jiankai/0000-0002-8491-0225; Zhao, Sen/0000-0002-5597-1109; Chipperfield, Martyn/0000-0002-6803-4149; Zhou, Xin/0000-0001-5311-0092; Li, Yuanpu/0000-0003-3047-5675</t>
  </si>
  <si>
    <t>National Natural Science Foundations of China [41575038, 41375072, 41530423, 41575039]; UK National Centre for Atmospheric Science (NCAS); NERC [ncas10008, ncas10005] Funding Source: UKRI; Natural Environment Research Council [ncas10009, ncas10008, ncas10005] Funding Source: researchfish</t>
  </si>
  <si>
    <t>National Natural Science Foundations of China(National Natural Science Foundation of China (NSFC)); UK National Centre for Atmospheric Science (NCAS); NERC(UK Research &amp; Innovation (UKRI)Natural Environment Research Council (NERC)); Natural Environment Research Council(UK Research &amp; Innovation (UKRI)Natural Environment Research Council (NERC))</t>
  </si>
  <si>
    <t>Funding for this project was provided by the National Natural Science Foundations of China (41575038, 41375072, 41530423, and 41575039). The SLIMCAT modeling work was supported by the UK National Centre for Atmospheric Science (NCAS), and the CESM model was provided by NCAR. We acknowledge the datasets from ERA-Interim, MERRA2, SWOOSH, and GOZCARDS.</t>
  </si>
  <si>
    <t>JUN 8</t>
  </si>
  <si>
    <t>10.5194/acp-17-6705-2017</t>
  </si>
  <si>
    <t>EX4OD</t>
  </si>
  <si>
    <t>WOS:000403213500002</t>
  </si>
  <si>
    <t>Hastings, KK; Jemison, LA; Pendleton, GW; Raum-Suryan, KL; Pitcher, KW</t>
  </si>
  <si>
    <t>Hastings, Kelly K.; Jemison, Lauri A.; Pendleton, Grey W.; Raum-Suryan, Kimberly L.; Pitcher, Kenneth W.</t>
  </si>
  <si>
    <t>Natal and breeding philopatry of female Steller sea lions in southeastern Alaska</t>
  </si>
  <si>
    <t>CONTROL-REGION SEQUENCES; PUPPING-SITE FIDELITY; ANTARCTIC FUR SEALS; EUMETOPIAS-JUBATUS; POPULATION-STRUCTURE; DISPERSAL; CONSERVATION; SURVIVAL; CONSEQUENCES; VARIABILITY</t>
  </si>
  <si>
    <t>Information on drivers of dispersal is critical for wildlife conservation but is rare for long-lived marine mammal species with large geographic ranges. We fit multi-state mark-recapture models to resighting data of 369 known-aged Steller sea lion (Eumetopias jubatus) females marked as pups on their natal rookeries in southeastern Alaska from 1994-2005 and monitored from 2001-15. We estimated probabilities of females being first observed parous at their natal site (natal philopatry), and of not moving breeding sites among years (breeding philopatry) at large (&gt; 400 km, all five rookeries in southeastern Alaska) and small (&lt; 4 km, all islands within the largest rookery, Forrester Island Complex, F) spatial scales. At the rookery scale, natal philopatry was moderately high (0.776-0.859) for most rookeries and breeding philopatry was nearly 1, with &lt; 3% of females switching breeding rookeries between years. At more populous islands at F, natal philopatry was 0.500-0.684 versus 0.295-0.437 at less populous islands, and breeding philopatry was 0.919-0.926 versus 0.604-0.858. At both spatial scales, the probability of pupping at a non-natal site increased with population size of, and declined with distance from, the destination site. Natal philopatry of &lt; 1 would increase gene flow, improve population resilience, and promote population recovery after decline in a heterogeneous environment. Very high breeding philopatry suggests that familiarity with neighboring females and knowledge of the breeding site (the topography of pupping sites and nearby foraging locations) may be a critical component to reproductive strategies of sea lions.</t>
  </si>
  <si>
    <t>[Hastings, Kelly K.; Jemison, Lauri A.; Pendleton, Grey W.; Pitcher, Kenneth W.] Alaska Dept Fish &amp; Game, Div Wildlife Conservat, Anchorage, AK 99518 USA; [Raum-Suryan, Kimberly L.] Natl Marine Fisheries Serv, Protected Resources Div, Juneau, AK USA</t>
  </si>
  <si>
    <t>Alaska Department of Fish &amp; Game; National Oceanic Atmospheric Admin (NOAA) - USA; National Aeronautics &amp; Space Administration (NASA)</t>
  </si>
  <si>
    <t>Hastings, KK (corresponding author), Alaska Dept Fish &amp; Game, Div Wildlife Conservat, Anchorage, AK 99518 USA.</t>
  </si>
  <si>
    <t>kelly.hastings@alaska.gov</t>
  </si>
  <si>
    <t>Alaska Department of Fish and Game by the State of Alaska; National Oceanic and Atmospheric Administration Fisheries Alaska Region [NA17FX1079, NA04NMF4390170, NA08NMF4390544, NA11NMF4390200, NA15NMF4390170]</t>
  </si>
  <si>
    <t>Alaska Department of Fish and Game by the State of Alaska; National Oceanic and Atmospheric Administration Fisheries Alaska Region(National Oceanic Atmospheric Admin (NOAA) - USA)</t>
  </si>
  <si>
    <t>Funding for this research was provided to the Alaska Department of Fish and Game by the State of Alaska and by the National Oceanic and Atmospheric Administration Fisheries Alaska Region, through awards NA17FX1079, NA04NMF4390170, NA08NMF4390544, NA11NMF4390200, and NA15NMF4390170. The funders had no role in the study design, data collection and analysis, decision to publish, or preparation of the manuscript.</t>
  </si>
  <si>
    <t>JUN 7</t>
  </si>
  <si>
    <t>e0176840</t>
  </si>
  <si>
    <t>10.1371/journal.pone.0176840</t>
  </si>
  <si>
    <t>EX0AO</t>
  </si>
  <si>
    <t>WOS:000402880700004</t>
  </si>
  <si>
    <t>Weltz, K; Lyle, JM; Ovenden, J; Morgan, JAT; Moreno, DA; Semmens, JM</t>
  </si>
  <si>
    <t>Weltz, Kay; Lyle, Jeremy M.; Ovenden, Jennifer; Morgan, Jessica A. T.; Moreno, David A.; Semmens, Jayson M.</t>
  </si>
  <si>
    <t>Application of environmental DNA to detect an endangered marine skate species in the wild</t>
  </si>
  <si>
    <t>DIVERSITY; CONSERVATION; COMMUNITY; SHARKS</t>
  </si>
  <si>
    <t>Environmental DNA (eDNA) techniques have only recently been applied in the marine environment to detect the presence of marine species. Species-specific primers and probes were designed to detect the eDNA of the endangered Maugean skate (Zearaja maugeana) from as little as 1 L of water collected at depth (10-15 m) in Macquarie Harbour (MH), Tasmania. The identity of the eDNA was confirmed as Z. maugeana by sequencing the qPCR products and aligning these with the target sequence for a 100% match. This result has validated the use of this eDNA technique for detecting a rare species, Z. maugeana, in the wild. Being able to investigate the presence, and possibly the abundance, of Z. maugeana in MH and Bathurst harbour (BH), would be addressing a conservation imperative for the endangered Z. maugeana. For future application of this technique in the field, the rate of decay was determined for Z. maugeana eDNA under ambient dissolved oxygen (DO) levels (55% saturation) and lower DO (20% saturation) levels, revealing that the eDNA can be detected for 4 and 16 hours respectively, after which eDNA concentration drops below the detection threshold of the assay. With the rate of decay being influenced by starting eDNA concentrations, it is recommended that samples be filtered as soon as possible after collection to minimize further loss of eDNA prior to and during sample processing.</t>
  </si>
  <si>
    <t>[Weltz, Kay; Lyle, Jeremy M.; Moreno, David A.; Semmens, Jayson M.] Univ Tasmania, Inst Marine &amp; Antarctic Studies, Fisheries &amp; Aquaculture Ctr, Hobart, Tas, Australia; [Ovenden, Jennifer] Univ Queensland, Sch Biomed Sci, Mol Fisheries Lab, Brisbane, Qld, Australia; [Morgan, Jessica A. T.] Univ Queensland, Queensland Alliance Agr &amp; Food Innovat, Brisbane, Qld, Australia</t>
  </si>
  <si>
    <t>University of Tasmania; University of Queensland; University of Queensland</t>
  </si>
  <si>
    <t>Weltz, K (corresponding author), Univ Tasmania, Inst Marine &amp; Antarctic Studies, Fisheries &amp; Aquaculture Ctr, Hobart, Tas, Australia.</t>
  </si>
  <si>
    <t>Kay.Weltz@utas.edu.au</t>
  </si>
  <si>
    <t>Morgan, Jess/E-7188-2012; Ovenden, Jennifer/A-3717-2010; Lyle, Jeremy/J-7170-2014; Weltz, Kay/J-4645-2013</t>
  </si>
  <si>
    <t>Morgan, Jess/0000-0002-3590-4806; Ovenden, Jennifer/0000-0001-7538-1504; Lyle, Jeremy/0000-0001-9670-5854; Semmens, Jayson/0000-0003-1742-6692; Weltz, Kay/0000-0003-3866-8148</t>
  </si>
  <si>
    <t>Fisheries Research and the Development Corporation (FRDC) [2013/008]; Winifred Violet Scott Charitable Trust [S0021766]; Holsworth Wildlife Research Endowment Trust [S0022263]; Tasmania Graduate Research Scholarship</t>
  </si>
  <si>
    <t>Fisheries Research and the Development Corporation (FRDC); Winifred Violet Scott Charitable Trust; Holsworth Wildlife Research Endowment Trust; Tasmania Graduate Research Scholarship</t>
  </si>
  <si>
    <t>This study was funded by the Fisheries Research and the Development Corporation (FRDC) (grant number 2013/008, http://frdc.com.au/Pages/home.aspx); the Winifred Violet Scott Charitable Trust (grant number S0021766, https://vivo.utas.edu.au/vivo/display/n14784); and the Holsworth Wildlife Research Endowment Trust, grant number S0022263, http://www.eqt.com.au/ charities-and-not-for-profits/grants/animals-and-environment -grants). No individuals employed or contracted by the funders (other than the named authors) played any role in the study design, data collection and analysis, decision to publish, or preparation of the manuscript.r This eDNA work forms part of a doctoral thesis (KW), supported by a Tasmania Graduate Research Scholarship. The authors would like to thank IMAS Senior Technical Officers Graeme Ewing and Edward Forbes for field assistance and data collection; Laboratory managers Adam Smolenski and Sharee McCammon of the Central Science Laboratories (UTAS) for laboratory assistance and guidance; and all staff of Life Science Technology and the Australian Genome Research Facility involved in primer and probe designs. Ethics project number A0013468 and A0014280. Finally, authors would like to acknowledge editor Dr. Ulrich Melcher and reviewer Professor Eske Willerslev of PLOS ONE for improving the manuscript with their comments.</t>
  </si>
  <si>
    <t>e0178124</t>
  </si>
  <si>
    <t>10.1371/journal.pone.0178124</t>
  </si>
  <si>
    <t>WOS:000402880700020</t>
  </si>
  <si>
    <t>Arthur, B; Hindell, M; Bester, M; Trathan, P; Jonsen, I; Staniland, I; Oosthuizen, WC; Wege, M; Lea, MA</t>
  </si>
  <si>
    <t>Arthur, Benjamin; Hindell, Mark; Bester, Marthan; Trathan, Phil; Jonsen, Ian; Staniland, Iain; Oosthuizen, W. Chris; Wege, Mia; Lea, Mary-Anne</t>
  </si>
  <si>
    <t>Return Customers: Foraging Site Fidelity and the Effect of Environmental Variability in Wide-Ranging Antarctic Fur Seals (vol 10, e0120888, 2015)</t>
  </si>
  <si>
    <t>Oosthuizen, W. Chris/I-2947-2016; Wege, Mia/B-1103-2016; Hindell, Mark A/K-1131-2013; Staniland, Iain/I-4725-2012; Lea, Mary-Anne/E-9054-2013</t>
  </si>
  <si>
    <t>Oosthuizen, W. Chris/0000-0003-2905-6297; Wege, Mia/0000-0002-9022-3069; Staniland, Iain/0000-0003-2736-9134; Hindell, Mark/0000-0002-7823-7185; Jonsen, Ian/0000-0001-5423-6076; Lea, Mary-Anne/0000-0001-8318-9299</t>
  </si>
  <si>
    <t>JUN 6</t>
  </si>
  <si>
    <t>e0179322</t>
  </si>
  <si>
    <t>10.1371/journal.pone.0179322</t>
  </si>
  <si>
    <t>EW9YQ</t>
  </si>
  <si>
    <t>WOS:000402875700054</t>
  </si>
  <si>
    <t>Buscot, MJ; Wotherspoon, SS; Magnussen, CG; Juonala, M; Sabin, MA; Burgner, DP; Lehtimäki, T; Viikari, JSA; Hutri-Kähönen, N; Raitakari, OT; Thomson, RJ</t>
  </si>
  <si>
    <t>Buscot, Marie-jeanne; Wotherspoon, Simon S.; Magnussen, Costan G.; Juonala, Markus; Sabin, Matthew A.; Burgner, David P.; Lehtimaki, Terho; Viikari, Jorma S. A.; Hutri-Kahonen, Nina; Raitakari, Olli T.; Thomson, Russell J.</t>
  </si>
  <si>
    <t>Bayesian hierarchical piecewise regression models: a tool to detect trajectory divergence between groups in long-term observational studies</t>
  </si>
  <si>
    <t>BMC MEDICAL RESEARCH METHODOLOGY</t>
  </si>
  <si>
    <t>Piecewise model; Hierarchical regression; Non-linear trajectory model; Accelerated longitudinal design; Cohort effect; Group divergence</t>
  </si>
  <si>
    <t>BODY-MASS INDEX; LONGITUDINAL DATA-ANALYSIS; GROWTH CURVE MODELS; CHANGE-POINT MODEL; FRACTIONAL POLYNOMIALS; CARDIOVASCULAR RISK; DEVELOPMENTAL ORIGINS; STATISTICAL-MODELS; CHILDHOOD OBESITY; COGNITIVE DECLINE</t>
  </si>
  <si>
    <t>Background: Bayesian hierarchical piecewise regression (BHPR) modeling has not been previously formulated to detect and characterise the mechanism of trajectory divergence between groups of participants that have longitudinal responses with distinct developmental phases. These models are useful when participants in a prospective cohort study are grouped according to a distal dichotomous health outcome. Indeed, a refined understanding of how deleterious risk factor profiles develop across the life-course may help inform early-life interventions. Previous techniques to determine between-group differences in risk factors at each age may result in biased estimate of the age at divergence. Methods: We demonstrate the use of Bayesian hierarchical piecewise regression (BHPR) to generate a point estimate and credible interval for the age at which trajectories diverge between groups for continuous outcome measures that exhibit non-linear within-person response profiles over time. We illustrate our approach by modeling the divergence in childhood-to-adulthood body mass index (BMI) trajectories between two groups of adults with/without type 2 diabetes mellitus (T2DM) in the Cardiovascular Risk in Young Finns Study (YFS). Results: Using the proposed BHPR approach, we estimated the BMI profiles of participants with T2DM diverged from healthy participants at age 16 years for males (95% credible interval (CI): 13.5-18 years) and 21 years for females (95% CI: 19.5-23 years). These data suggest that a critical window for weight management intervention in preventing T2DM might exist before the age when BMI growth rate is naturally expected to decrease. Simulation showed that when using pairwise comparison of least-square means from categorical mixed models, smaller sample sizes tended to conclude a later age of divergence. In contrast, the point estimate of the divergence time is not biased by sample size when using the proposed BHPR method. Conclusions: BHPR is a powerful analytic tool to model long-term non-linear longitudinal outcomes, enabling the identification of the age at which risk factor trajectories diverge between groups of participants. The method is suitable for the analysis of unbalanced longitudinal data, with only a limited number of repeated measures per participants and where the time-related outcome is typically marked by transitional changes or by distinct phases of change over time.</t>
  </si>
  <si>
    <t>[Buscot, Marie-jeanne; Magnussen, Costan G.] Univ Tasmania, Menzies Inst Med Res, Hobart, Tas, Australia; [Wotherspoon, Simon S.] Univ Tasmania, Inst Marine &amp; Antarctic Studies, Hobart, Tas, Australia; [Magnussen, Costan G.; Juonala, Markus; Viikari, Jorma S. A.; Raitakari, Olli T.] Univ Turku, Res Ctr Appl &amp; Prevent Cardiovasc Med, Turku, Finland; [Juonala, Markus; Viikari, Jorma S. A.; Raitakari, Olli T.] Univ Turku, Dept Med, Turku, Finland; [Juonala, Markus; Viikari, Jorma S. A.; Raitakari, Olli T.] Turku Univ Hosp, Div Med, Turku, Finland; [Sabin, Matthew A.; Burgner, David P.] Royal Childrens Hosp, Murdoch Childrens Res Inst, Melbourne, Vic, Australia; [Sabin, Matthew A.; Burgner, David P.] Univ Melbourne, Dept Paediat, Melbourne, Vic, Australia; [Burgner, David P.] Monash Med Ctr, Dept Paediat, Melbourne, Vic, Australia; [Lehtimaki, Terho] Fimlab Ltd, Dept Clin Chem, Tampere, Finland; [Lehtimaki, Terho] Univ Tampere, Sch Med, Tampere, Finland; [Hutri-Kahonen, Nina] Univ Tampere, Sch Med, Dept Pediat, Tampere, Finland; [Hutri-Kahonen, Nina] Tampere Univ Hosp, Tampere, Finland; [Thomson, Russell J.] Western Sydney Univ, Sch Comp Engn &amp; Math, Ctr Res Math, Sydney, NSW, Australia</t>
  </si>
  <si>
    <t>University of Tasmania; Menzies Institute for Medical Research; University of Tasmania; University of Turku; University of Turku; University of Turku; Royal Children's Hospital Melbourne; Murdoch Children's Research Institute; University of Melbourne; Melbourne Bioinformatics; Monash University; Tampere University; Tampere University; Tampere University; Tampere University Hospital; Western Sydney University</t>
  </si>
  <si>
    <t>Thomson, RJ (corresponding author), Western Sydney Univ, Sch Comp Engn &amp; Math, Ctr Res Math, Sydney, NSW, Australia.</t>
  </si>
  <si>
    <t>russell.thomson@westernsydney.edu.au</t>
  </si>
  <si>
    <t>Wotherspoon, Simon J/B-2390-2013; Lehtimäki, Terho/AAD-1094-2022; Raitakari, Olli/AAQ-7389-2021; Magnussen, Costan/AAA-8260-2020; Sabin, Matthew/B-3539-2012; Magnussen, Costan/J-7177-2014; Thomson, Russell/H-5653-2012</t>
  </si>
  <si>
    <t>Wotherspoon, Simon J/0000-0002-6947-4445; Lehtimäki, Terho/0000-0002-2555-4427; BUSCOT, Marie-jeanne/0000-0002-9055-5928; Juonala, Markus/0000-0001-9498-364X; Burgner, David/0000-0002-8304-4302; Magnussen, Costan/0000-0002-6238-5730; Thomson, Russell/0000-0003-4949-4120</t>
  </si>
  <si>
    <t>Academy of Finland [126925, 121584, 124282, 129378, 117797, 265877, 41071]; Social Insurance Institution of Finland; Turku University Foundation; Paavo Nurmi Foundation; Juho Vainio Foundation; Sigrid Juselius Foundation; Maud Kuistila Foundation; Kuopio University Hospital; Tampere University Hospital; Finnish Foundation of Cardiovascular Research; Finnish Medical Foundation; Orion-Farmos Research Foundation; Finnish Cultural Foundation; National Heart Foundation of Australia [100849]; Turku University Hospital; National Health and Medical Research Council [APP1098369]</t>
  </si>
  <si>
    <t>Academy of Finland(Research Council of Finland); Social Insurance Institution of Finland; Turku University Foundation; Paavo Nurmi Foundation; Juho Vainio Foundation; Sigrid Juselius Foundation(Sigrid Juselius Foundation); Maud Kuistila Foundation; Kuopio University Hospital; Tampere University Hospital; Finnish Foundation of Cardiovascular Research; Finnish Medical Foundation; Orion-Farmos Research Foundation; Finnish Cultural Foundation(Finnish Cultural FoundationFinnish IT center for science); National Heart Foundation of Australia(National Heart Foundation of Australia); Turku University Hospital; National Health and Medical Research Council(National Health &amp; Medical Research Council (NHMRC) of Australia)</t>
  </si>
  <si>
    <t>The Young Finn study was financially supported by the Academy of Finland (grants 126925, 121584, 124282, 129378, 117797, 265877 and 41071), the Social Insurance Institution of Finland, the Turku University Foundation, Paavo Nurmi Foundation, Juho Vainio Foundation, Sigrid Juselius Foundation, Maud Kuistila Foundation, Research funds from the Kuopio, Turku and Tampere University Hospitals, the Finnish Foundation of Cardiovascular Research, the Finnish Medical Foundation, the Orion-Farmos Research Foundation, and the Finnish Cultural Foundation. This work was partly funded by the National Health and Medical Research Council Project Grant (APP1098369). CGM was supported by a National Heart Foundation of Australia Future Leader Fellowship (100849).</t>
  </si>
  <si>
    <t>1471-2288</t>
  </si>
  <si>
    <t>BMC MED RES METHODOL</t>
  </si>
  <si>
    <t>BMC Med. Res. Methodol.</t>
  </si>
  <si>
    <t>10.1186/s12874-017-0358-9</t>
  </si>
  <si>
    <t>Health Care Sciences &amp; Services</t>
  </si>
  <si>
    <t>EX1CW</t>
  </si>
  <si>
    <t>WOS:000402958800001</t>
  </si>
  <si>
    <t>Riva, REM; Frederikse, T; King, MA; Marzeion, B; van den Broeke, MR</t>
  </si>
  <si>
    <t>Riva, Riccardo E. M.; Frederikse, Thomas; King, Matt A.; Marzeion, Ben; van den Broeke, Michiel R.</t>
  </si>
  <si>
    <t>Brief communication: The global signature of post-1900 land ice wastage on vertical land motion</t>
  </si>
  <si>
    <t>SEA-LEVEL; TIDE-GAUGE; SHEET; 20TH-CENTURY</t>
  </si>
  <si>
    <t>Melting glaciers, ice caps and ice sheets have made an important contribution to sea-level rise through the last century. Self-attraction and loading effects driven by shrinking ice masses cause a spatially varying redistribution of ocean waters that affects reconstructions of past sea level from sparse observations. We model the solid-earth response to ice mass changes and find significant vertical deformation signals over large continental areas. We show how deformation rates have been strongly varying through the last century, which implies that they should be properly modelled before interpreting and extrapolating recent observations of vertical land motion and sea-level change.</t>
  </si>
  <si>
    <t>[Riva, Riccardo E. M.; Frederikse, Thomas] Delft Univ Technol, Dept Geosci &amp; Remote Sensing, NL-2618 CN Delft, Netherlands; [King, Matt A.] Univ Tasmania, Sch Land &amp; Food, Surveying &amp; Spatial Sci, Hobart, Tas, Australia; [Marzeion, Ben] Univ Bremen, Inst Geog, Bremen, Germany; [van den Broeke, Michiel R.] Univ Utrecht, Inst Marine &amp; Atmospher Res Utrecht, Utrecht, Netherlands</t>
  </si>
  <si>
    <t>Delft University of Technology; University of Tasmania; University of Bremen; Utrecht University</t>
  </si>
  <si>
    <t>Riva, REM (corresponding author), Delft Univ Technol, Dept Geosci &amp; Remote Sensing, NL-2618 CN Delft, Netherlands.</t>
  </si>
  <si>
    <t>r.e.m.riva@tudelft.nl</t>
  </si>
  <si>
    <t>Van den Broeke, Michiel R./F-7867-2011; King, Matt/B-4622-2008; Marzeion, Ben/G-6514-2013</t>
  </si>
  <si>
    <t>Van den Broeke, Michiel R./0000-0003-4662-7565; King, Matt/0000-0001-5611-9498; Frederikse, Thomas/0000-0002-5024-0163; Marzeion, Ben/0000-0002-6185-3539; Riva, Riccardo/0000-0002-2042-5669</t>
  </si>
  <si>
    <t>Netherlands Organisation for Scientific Research (NWO) through VIDI grant [864.12.012]; Australian Research Council Future Fellowship [FT110100207]; Australian Research Council Special Research Initiative for Antarctic Gateway Partnership [SR140300001]; Netherlands Polar Programme; Netherlands Earth System Science Centre (NESSC)</t>
  </si>
  <si>
    <t>Netherlands Organisation for Scientific Research (NWO) through VIDI grant(Netherlands Organization for Scientific Research (NWO)); Australian Research Council Future Fellowship(Australian Research Council); Australian Research Council Special Research Initiative for Antarctic Gateway Partnership(Australian Research Council); Netherlands Polar Programme; Netherlands Earth System Science Centre (NESSC)</t>
  </si>
  <si>
    <t>Riccardo E. M. Riva and Thomas Frederikse acknowledge funding from The Netherlands Organisation for Scientific Research (NWO) through VIDI grant no 864.12.012. Matt A. King is a recipient of an Australian Research Council Future Fellowship (project number FT110100207) and supported by the Australian Research Council Special Research Initiative for Antarctic Gateway Partnership (Project ID SR140300001). Michiel van den Broeke acknowledges funding from the Netherlands Polar Programme and the Netherlands Earth System Science Centre (NESSC). We are grateful to Kristian Kjeldsen and Kurt Kjaer for sharing Greenland mass loss data.</t>
  </si>
  <si>
    <t>10.5194/tc-11-1327-2017</t>
  </si>
  <si>
    <t>EX1JD</t>
  </si>
  <si>
    <t>Green Published, Green Accepted, gold, Green Submitted</t>
  </si>
  <si>
    <t>WOS:000402977800002</t>
  </si>
  <si>
    <t>Lavers, JL; Bond, AL</t>
  </si>
  <si>
    <t>Lavers, Jennifer L.; Bond, Alexander L.</t>
  </si>
  <si>
    <t>Exceptional and rapid accumulation of anthropogenic debris on one of the world's most remote and pristine islands</t>
  </si>
  <si>
    <t>Henderson Island; Pitcairn Island Group; South Pacific Gyre; marine debris; plastic pollution</t>
  </si>
  <si>
    <t>FLESH-FOOTED SHEARWATERS; MARINE DEBRIS; PLASTIC DEBRIS; PITCAIRN ISLANDS; SUBTROPICAL GYRE; MIDWAY ATOLL; LITTER; BEACHES; SEA; POLLUTION</t>
  </si>
  <si>
    <t>In just over half a century plastic products have revolutionized human society and have infiltrated terrestrial and marine environments in every corner of the globe. The hazard plastic debris poses to biodiversity is well established, but mitigation and planning are often hampered by a lack of quantitative data on accumulation patterns. Here we document the amount of debris and rate of accumulation on Henderson Island, a remote, uninhabited island in the South Pacific. The density of debris was the highest reported anywhere in the world, up to 671.6 items/m(2) (mean +/- SD: 239.4 +/- 347.3 items/m(2)) on the surface of the beaches. Approximately 68% of debris (up to 4,496.9 pieces/m(2)) on the beach was buried &lt;10 cm in the sediment. An estimated 37.7 million debris items weighing a total of 17.6 tons are currently present on Henderson, with up to 26.8 new items/m accumulating daily. Rarely visited by humans, Henderson Island and other remote islands may be sinks for some of the world's increasing volume of waste.</t>
  </si>
  <si>
    <t>[Lavers, Jennifer L.] Univ Tasmania, Inst Marine &amp; Antarctic Studies, Battery Point, Tas 7004, Australia; [Lavers, Jennifer L.; Bond, Alexander L.] Royal Soc Protect Birds, Ctr Conservat Sci, Sandy SG19 2DL, Beds, England</t>
  </si>
  <si>
    <t>University of Tasmania; Royal Society for Protection of Birds</t>
  </si>
  <si>
    <t>Lavers, JL (corresponding author), Univ Tasmania, Inst Marine &amp; Antarctic Studies, Battery Point, Tas 7004, Australia.;Lavers, JL (corresponding author), Royal Soc Protect Birds, Ctr Conservat Sci, Sandy SG19 2DL, Beds, England.</t>
  </si>
  <si>
    <t>Lavers, Jennifer/0000-0001-7596-6588</t>
  </si>
  <si>
    <t>David and Lucile Packard Foundation; Darwin Initiative; Farallon Islands Foundation; British Birds</t>
  </si>
  <si>
    <t>David and Lucile Packard Foundation(The David &amp; Lucile Packard Foundation); Darwin Initiative; Farallon Islands Foundation; British Birds</t>
  </si>
  <si>
    <t>We thank A. Donaldson, A. Forrest, L. MacKinnon, and S. Oppel for their assistance in the field; J. Gilbert for creating Fig. 2; T. Benton for providing photographs and information on the 1991 Sir Peter Scott expedition to the Pitcairn Islands; the Government of the Pitcairn Islands for permission to work on Henderson; J. Hall, J. Kelly, S. O'Keefe, A. Schofield, C. Stringer, J. Vickery, and P. Warren for their vital support on the island and at the Royal Society for the Protection of Birds Headquarters; and J. Hall, J. Provencher, S. Oppel, and two anonymous reviewers for comments that improved earlier drafts. The 2015 Henderson Island expedition was funded by the David and Lucile Packard Foundation, the Darwin Initiative, the Farallon Islands Foundation, British Birds, and several private donors.</t>
  </si>
  <si>
    <t>10.1073/pnas.1619818114</t>
  </si>
  <si>
    <t>EW7OJ</t>
  </si>
  <si>
    <t>Bronze, Green Accepted, Green Published, Green Submitted</t>
  </si>
  <si>
    <t>WOS:000402703800070</t>
  </si>
  <si>
    <t>Amesbury, MJ; Roland, TP; Royles, J; Hodgson, DA; Convey, P; Griffiths, H; Charman, DJ</t>
  </si>
  <si>
    <t>Amesbury, Matthew J.; Roland, Thomas P.; Royles, Jessica; Hodgson, Dominic A.; Convey, Peter; Griffiths, Howard; Charman, Dan J.</t>
  </si>
  <si>
    <t>Widespread Biological Response to Rapid Warming on the Antarctic Peninsula</t>
  </si>
  <si>
    <t>CLIMATE-CHANGE; PEAT ACCUMULATION; ICE CORE; MOSS; SURFACE; PRECIPITATION; ENVIRONMENTS; TEMPERATURE; TRENDS; PLANTS</t>
  </si>
  <si>
    <t>Recent climate change on the Antarctic Peninsula is well documented [1-5], with warming, alongside increases in precipitation, wind strength, and melt season length [1, 6, 7], driving environmental change [8, 9]. However, meteorological records mostly began in the 1950s, and paleoenvironmental datasets that provide a longer-term context to recent climate change are limited in number and often from single sites [7] and/or discontinuous in time [10, 11]. Here we use moss bank cores from a 600-km transect from Green Island (65.3 degrees S) to Elephant Island (61.1 degrees S) as paleoclimate archives sensitive to regional temperature change, moderated by water availability and surface microclimate [12, 13]. Mosses grow slowly, but cold temperatures minimize decomposition, facilitating multiproxy analysis of preserved peat [14]. Carbon isotope discrimination (Delta C-13) in cellulose indicates the favorability of conditions for photosynthesis [15]. Testate amoebae are representative heterotrophs in peatlands [16-18], so their populations are an indicator of microbial productivity [14]. Moss growth and mass accumulation rates represent the balance between growth and decomposition [19]. Analyzing these proxies in five cores at three sites over 150 years reveals increased biological activity over the past ca. 50 years, in response to climate change. We identified significant changepoints in all sites and proxies, suggesting fundamental and widespread changes in the terrestrial biosphere. The regional sensitivity of moss growth to past temperature rises suggests that terrestrial ecosystems will alter rapidly under future warming, leading to major changes in the biology and landscape of this iconic region-an Antarctic greening to parallel well-established observations in the Arctic [20].</t>
  </si>
  <si>
    <t>[Amesbury, Matthew J.; Roland, Thomas P.; Charman, Dan J.] Univ Exeter, Geog, Coll Life &amp; Environm Sci, Exeter EX4 4RJ, Devon, England; [Royles, Jessica; Griffiths, Howard] Univ Cambridge, Dept Plant Sci, Cambridge CB2 3EA, Cambs, England; [Royles, Jessica; Hodgson, Dominic A.; Convey, Peter] British Antarctic Survey, Cambridge CB3 0ET, England; [Hodgson, Dominic A.] Univ Durham, Dept Geog, Durham DH1 3LE, England</t>
  </si>
  <si>
    <t>University of Exeter; University of Cambridge; UK Research &amp; Innovation (UKRI); Natural Environment Research Council (NERC); NERC British Antarctic Survey; Durham University</t>
  </si>
  <si>
    <t>Amesbury, MJ (corresponding author), Univ Exeter, Geog, Coll Life &amp; Environm Sci, Exeter EX4 4RJ, Devon, England.</t>
  </si>
  <si>
    <t>m.j.amesbury@exeter.ac.uk</t>
  </si>
  <si>
    <t>Convey, Peter/AAV-5728-2020; Roland, Thomas/B-4703-2013; Charman, Dan/K-9303-2014</t>
  </si>
  <si>
    <t>Convey, Peter/0000-0001-8497-9903; Roland, Thomas/0000-0002-9237-1364; Charman, Dan/0000-0003-3464-4536</t>
  </si>
  <si>
    <t>UK Natural Environment Research Council (NERC) Antarctic Funding Initiative [11/05 (NE/H014896/1)]; NERC Radiocarbon Facility, East Kilbride [1605.0312]; NERC [NE/M001946/1, bas0100030, NE/H014896/1, NE/H014810/1, bas0100036] Funding Source: UKRI; Natural Environment Research Council [bas0100036, NE/H014810/1, NE/M001946/1, NE/H014896/1, bas0100030] Funding Source: researchfish</t>
  </si>
  <si>
    <t>UK Natural Environment Research Council (NERC) Antarctic Funding Initiative; NERC Radiocarbon Facility, East Kilbride; NERC(UK Research &amp; Innovation (UKRI)Natural Environment Research Council (NERC)); Natural Environment Research Council(UK Research &amp; Innovation (UKRI)Natural Environment Research Council (NERC))</t>
  </si>
  <si>
    <t>This research was funded by the UK Natural Environment Research Council (NERC) Antarctic Funding Initiative grant 11/05 (NE/H014896/1) held by D.J.C., D.A.H., P.C., and H.G. P.C., D.A.H., and J.R. contribute to the BAS Polar Science for Planet Earth research program. Radiocarbon analyses were supported by allocation number 1605.0312 from the NERC Radiocarbon Facility, East Kilbride. We gratefully acknowledge Professor Melanie Leng at the NERC Isotope Geosciences Laboratory for assistance with isotope measurements and Nicole Sanderson at the University of Exeter for assistance with 210Pb age modeling. Sample collection was supported by HMS Protector and HMS Endurance. Many thanks to Iain Rudkin and Ashly Fusiarski for fieldwork support.</t>
  </si>
  <si>
    <t>JUN 5</t>
  </si>
  <si>
    <t>10.1016/j.cub.2017.04.034</t>
  </si>
  <si>
    <t>EW9CO</t>
  </si>
  <si>
    <t>WOS:000402814600047</t>
  </si>
  <si>
    <t>Barnes, DKA; Tarling, GA</t>
  </si>
  <si>
    <t>Barnes, David K. A.; Tarling, Geraint A.</t>
  </si>
  <si>
    <t>Polar oceans in a changing climate</t>
  </si>
  <si>
    <t>PRODUCTIVITY</t>
  </si>
  <si>
    <t>[Barnes, David K. A.; Tarling, Geraint A.] British Antarctic Survey, NERC, Madingley Rd, Cambridge CB3 0ET, England</t>
  </si>
  <si>
    <t>Barnes, DKA (corresponding author), British Antarctic Survey, NERC, Madingley Rd, Cambridge CB3 0ET, England.</t>
  </si>
  <si>
    <t>Natural Environment Research Council [bas0100036, bas0100035] Funding Source: researchfish; NERC [bas0100035, bas0100036] Funding Source: UKRI</t>
  </si>
  <si>
    <t>R454</t>
  </si>
  <si>
    <t>R460</t>
  </si>
  <si>
    <t>10.1016/j.cub.2017.01.045</t>
  </si>
  <si>
    <t>WOS:000402814600024</t>
  </si>
  <si>
    <t>Hulbe, C</t>
  </si>
  <si>
    <t>Hulbe, Christina</t>
  </si>
  <si>
    <t>Is ice sheet collapse in West Antarctica unstoppable?</t>
  </si>
  <si>
    <t>SCIENCE</t>
  </si>
  <si>
    <t>SEA-LEVEL RISE</t>
  </si>
  <si>
    <t>[Hulbe, Christina] Univ Otago, Natl Sch Surveying, Dunedin, New Zealand</t>
  </si>
  <si>
    <t>University of Otago</t>
  </si>
  <si>
    <t>Hulbe, C (corresponding author), Univ Otago, Natl Sch Surveying, Dunedin, New Zealand.</t>
  </si>
  <si>
    <t>Hulbe, Christina/0000-0003-4765-7037</t>
  </si>
  <si>
    <t>New Zealand Antarctic Research Institute [NZARI RFP 2014-2]</t>
  </si>
  <si>
    <t>New Zealand Antarctic Research Institute</t>
  </si>
  <si>
    <t>The author is funded by the New Zealand Antarctic Research Institute award (NZARI RFP 2014-2 Vulnerability of the Ross Ice Shelf in a Warming World).</t>
  </si>
  <si>
    <t>0036-8075</t>
  </si>
  <si>
    <t>1095-9203</t>
  </si>
  <si>
    <t>Science</t>
  </si>
  <si>
    <t>JUN 2</t>
  </si>
  <si>
    <t>10.1126/science.aam9728</t>
  </si>
  <si>
    <t>EW5NE</t>
  </si>
  <si>
    <t>WOS:000402552300019</t>
  </si>
  <si>
    <t>Slangen, ABA; van de Wal, RSW; Reerink, TJ; de Winter, RC; Hunter, JR; Woodworth, PL; Edwards, T</t>
  </si>
  <si>
    <t>Slangen, Aimee B. A.; van de Wal, Roderik S. W.; Reerink, Thomas J.; de Winter, Renske C.; Hunter, John R.; Woodworth, Philip L.; Edwards, Tamsin</t>
  </si>
  <si>
    <t>The Impact of Uncertainties in Ice Sheet Dynamics on Sea-Level Allowances at Tide Gauge Locations</t>
  </si>
  <si>
    <t>JOURNAL OF MARINE SCIENCE AND ENGINEERING</t>
  </si>
  <si>
    <t>sea-level rise; allowances; sea-level extremes</t>
  </si>
  <si>
    <t>CLIMATE-CHANGE; CMIP5; RISE; PROBABILITIES; PROJECTIONS; BASIN</t>
  </si>
  <si>
    <t>Sea level is projected to rise in the coming centuries as a result of a changing climate. One of the major uncertainties is the projected contribution of the ice sheets in Greenland and Antarctica to sea-level rise (SLR). Here, we study the impact of different shapes of uncertainty distributions of the ice sheets on so-called sea-level allowances. An allowance indicates the height a coastal structure needs to be elevated to keep the same frequency and likelihood of sea-level extremes under a projected amount of mean SLR. Allowances are always larger than the projected SLR. Their magnitude depends on several factors, such as projection uncertainty and the typical variability of the extreme events at a location. Our results show that allowances increase significantly for ice sheet dynamics' uncertainty distributions that are more skewed (more than twice, compared to Gaussian uncertainty distributions), due to the increased probability of a much larger ice sheet contribution to SLR. The allowances are largest in regions where a relatively small observed variability in the extremes is paired with relatively large magnitude and/or large uncertainty in the projected SLR, typically around the equator. Under the RCP8.5 (Representative Concentration Pathway) projections of SLR, the likelihood of extremes increases more than a factor 104 at more than 50-87% of the tide gauges.</t>
  </si>
  <si>
    <t>[Slangen, Aimee B. A.] Univ Utrecht, Royal Netherlands Inst Sea Res NIOZ, Dept Estuarine &amp; Delta Syst EDS, Korringaweg 7, NL-4401 NT Yerseke, Netherlands; [Slangen, Aimee B. A.; van de Wal, Roderik S. W.; Reerink, Thomas J.] Inst Marine &amp; Atmospher Res Utrecht IMAU, Princetonpl 5, NL-3584 CC Utrecht, Netherlands; [de Winter, Renske C.] Univ Utrecht, Dept Phys Geog, Heidelberglaan 2, NL-3584 CS Utrecht, Netherlands; [Hunter, John R.] Antarctic Climate &amp; Ecosyst Cooperat Res Ctr, 20 Castray Esplanade, Hobart, Tas 7000, Australia; [Woodworth, Philip L.] Natl Oceanog Ctr, 6 Brownlow St, Liverpool L3 5DA, Merseyside, England; [Edwards, Tamsin] Open Univ, Sch Environm Earth &amp; Ecosyst Sci, Fac Sci Technol Engn &amp; Math, Milton Keynes MK7 6AA, Bucks, England</t>
  </si>
  <si>
    <t>Utrecht University; Royal Netherlands Institute for Sea Research (NIOZ); Utrecht University; Utrecht University; Antarctic Climate &amp; Ecosystems Cooperative Research Centre (ACE CRC); NERC National Oceanography Centre; Open University - UK</t>
  </si>
  <si>
    <t>Slangen, ABA (corresponding author), Univ Utrecht, Royal Netherlands Inst Sea Res NIOZ, Dept Estuarine &amp; Delta Syst EDS, Korringaweg 7, NL-4401 NT Yerseke, Netherlands.;Slangen, ABA (corresponding author), Inst Marine &amp; Atmospher Res Utrecht IMAU, Princetonpl 5, NL-3584 CC Utrecht, Netherlands.</t>
  </si>
  <si>
    <t>aimee.slangen@gmail.com; r.s.w.vandewal@uu.nl; tjreerink@gmail.com; r.c.dewinter@uu.nl; jrh@johnroberthunter.org; plw@noc.ac.uk; tamsin.edwards@open.ac.uk</t>
  </si>
  <si>
    <t>van de wal, roderik/D-1705-2011; Slangen, Aimee/H-5839-2015</t>
  </si>
  <si>
    <t>van de wal, roderik/0000-0003-2543-3892; Slangen, Aimee/0000-0001-6268-6683; Woodworth, Philip/0000-0002-6681-239X; Edwards, Tamsin/0000-0002-4760-4704; Reerink, Thomas/0000-0002-9983-6195; De Winter, Renske/0000-0001-5733-6574</t>
  </si>
  <si>
    <t>NWO Netherlands Polar Programme; Netherlands Earth Science Center; Leverhulme Trust; Natural Environment Research Council [noc010012] Funding Source: researchfish</t>
  </si>
  <si>
    <t>NWO Netherlands Polar Programme; Netherlands Earth Science Center; Leverhulme Trust(Leverhulme Trust); Natural Environment Research Council(UK Research &amp; Innovation (UKRI)Natural Environment Research Council (NERC))</t>
  </si>
  <si>
    <t>We gratefully acknowledge the contributors to the GESLA-2 database which are listed on www.gesla.org. A.B.A.S. and R.C.d.W. were funded by the NWO Netherlands Polar Programme, and T.J.R. was funded by the Netherlands Earth Science Center. P.L.W. was funded partly by the Leverhulme Trust.</t>
  </si>
  <si>
    <t>2077-1312</t>
  </si>
  <si>
    <t>J MAR SCI ENG</t>
  </si>
  <si>
    <t>J. Mar. Sci. Eng.</t>
  </si>
  <si>
    <t>JUN</t>
  </si>
  <si>
    <t>10.3390/jmse5020021</t>
  </si>
  <si>
    <t>Engineering, Marine; Engineering, Ocean; Oceanography</t>
  </si>
  <si>
    <t>Engineering; Oceanography</t>
  </si>
  <si>
    <t>FU2ON</t>
  </si>
  <si>
    <t>WOS:000423689700007</t>
  </si>
  <si>
    <t>Kuznetsova, E</t>
  </si>
  <si>
    <t>Kuznetsova, Elena</t>
  </si>
  <si>
    <t>THERMAL CONDUCTIVITY AND THE UNFROZEN WATER CONTENTS OF VOLCANIC ASH DEPOSITS IN COLD CLIMATE CONDITIONS: A REVIEW</t>
  </si>
  <si>
    <t>CLAYS AND CLAY MINERALS</t>
  </si>
  <si>
    <t>Allophane; Amorphous Clay; Climate Change; Cold Climate; Opal; Palagonite; Permafrost; Thermal Conductivity; Unfrozen Water; Volcanic Ash</t>
  </si>
  <si>
    <t>MARKER TEPHRA LAYERS; ANTARCTIC ICE-SHEET; DRY VALLEYS REGION; ENERGY-BALANCE; THERMODYNAMIC RELATIONSHIPS; PLIOCENE PALEOCLIMATE; MOUNTAIN PERMAFROST; PHYSICAL-PROPERTIES; HEAT-CONDUCTION; FREEZING-POINT</t>
  </si>
  <si>
    <t>Layers of volcanic ash and Andosol soils derived from the ash may play an important role in preserving snow and ice as well as in the development of permafrost conditions in (a) the immediate vicinity of volcanoes at high elevations or at high latitudes and (b) land areas that are often distant from volcanic activity and are either prone to permafrost or covered by snow and ice, but have been affected by subaerial ash deposition. The special properties of volcanic ash are critically reviewed, particularly in relation to recent research in Kamchatka in the Far East of Russia. Of special importance are the thermal properties, the unfrozen water contents of ash layers, and the rate of volcanic glass weathering. Weathering of volcanic glass results in the development of amorphous clay minerals (e.g. allophane, opal, palagonite), but occurs at a much slower rate under cold compared to warm climate conditions. Existing data reveal (1) a strong correlation between the thermal conductivity, the water/ice content, and the mineralogy of the weathered part of the volcanic ash, (2) that an increase in the amounts of amorphous clay minerals (allophane, palagonite) increases the proportion of unfrozen water and decreases the thermal conductivity, and (3) that amorphous silica does not alter to halloysite or other clay minerals, even in the Early Pleistocene age (Kamchatka) volcanic ashes or in the Miocene and Pliocene deposits of Antarctica due to the cold temperatures. The significance of these findings are discussed in relation to past climate reconstruction and the influence of volcanic ash on permafrost aggradation and degradation, snow and ice ablation, and the development of glaciers.</t>
  </si>
  <si>
    <t>[Kuznetsova, Elena] Norwegian Univ Sci &amp; Technol, Trondheim, Norway</t>
  </si>
  <si>
    <t>Kuznetsova, E (corresponding author), Norwegian Univ Sci &amp; Technol, Trondheim, Norway.</t>
  </si>
  <si>
    <t>elena.kuznetsova@ntnu.no</t>
  </si>
  <si>
    <t>Scibilia, Elena/AAR-6464-2020</t>
  </si>
  <si>
    <t>Scibilia, Elena/0000-0001-7118-4132</t>
  </si>
  <si>
    <t>CLAY MINERALS SOC</t>
  </si>
  <si>
    <t>CHANTILLY</t>
  </si>
  <si>
    <t>3635 CONCORDE PKWY, STE 500, CHANTILLY, VA 20151-1125 USA</t>
  </si>
  <si>
    <t>0009-8604</t>
  </si>
  <si>
    <t>1552-8367</t>
  </si>
  <si>
    <t>CLAY CLAY MINER</t>
  </si>
  <si>
    <t>Clay Clay Min.</t>
  </si>
  <si>
    <t>10.1346/CCMN.2017.064057</t>
  </si>
  <si>
    <t>Chemistry, Physical; Geosciences, Multidisciplinary; Mineralogy; Soil Science</t>
  </si>
  <si>
    <t>Chemistry; Geology; Mineralogy; Agriculture</t>
  </si>
  <si>
    <t>FR2HO</t>
  </si>
  <si>
    <t>WOS:000418888000002</t>
  </si>
  <si>
    <t>Finlay, S</t>
  </si>
  <si>
    <t>Finlay, Sophie</t>
  </si>
  <si>
    <t>Antarctic Plateau</t>
  </si>
  <si>
    <t>MEANJIN</t>
  </si>
  <si>
    <t>Poetry</t>
  </si>
  <si>
    <t>MEANJIN COMPANY LTD</t>
  </si>
  <si>
    <t>CARLTON</t>
  </si>
  <si>
    <t>131 BARRY ST, CARLTON, VIC 3053, AUSTRALIA</t>
  </si>
  <si>
    <t>0025-6293</t>
  </si>
  <si>
    <t>1448-8094</t>
  </si>
  <si>
    <t>Meanjin</t>
  </si>
  <si>
    <t>SUM</t>
  </si>
  <si>
    <t>FP8JA</t>
  </si>
  <si>
    <t>WOS:000417887600008</t>
  </si>
  <si>
    <t>Domazetovic, F; Loncar, N; Siljeg, A</t>
  </si>
  <si>
    <t>Domazetovic, Fran; Loncar, Nina; Siljeg, Ante</t>
  </si>
  <si>
    <t>Quantitative Analysis of the Adriatic Sea-Level Rise Impact on the Croatian Coast: GIS Approach</t>
  </si>
  <si>
    <t>NASE MORE</t>
  </si>
  <si>
    <t>Croatian</t>
  </si>
  <si>
    <t>GIS modelling; analytic hierarchy process; the Adriatic Sea; impact analysis; natural hazards; sea level-rise</t>
  </si>
  <si>
    <t>21ST-CENTURY; HOLOCENE; CLIMATE; FUTURE</t>
  </si>
  <si>
    <t>Estimates for the average global sea level-rise by the end of the 21st century usually vary from 0.18m up to &gt;= 1 m, as compared to the current level. If estimates encompassing the melting of the Greenland and Antarctic ice sheets were considered, then the sea level would rise by about 5 meters or more. In line with global changes, the Adriatic Sea level is also rising. Three models of the Adriatic sea-level rise (1m, 3m, 6m) have been developed to analyse the potential vulnerability of the Croatian coast. The sea level-rise impact on the various socio economic aspects in the coastal region was analysed based on these models. The aim of the research study is to define the most vulnerable parts of the Croatian coast. The coastal vulnerability index (I-u) was developed to differentiate the most vulnerable areas. The index was developed by means of the quantitative data obtained from the impact analysis on the spatial coverage of floodplains and the vulnerability of the coastal population and traffic infrastructure. Depending on the significance of the variable, the analytical hierarchy process (AHP) was used to assign different weight coefficients to these variables. In the analysis of all three models, Zadar and its surroundings stand out as the most vulnerable region. Thus, an in-depth analysis of the microlocation sea level-rise impact was carried out for Zadar. The findings obtained by the analysis of different models show that almost entire Croatian coast is vulnerable, but there is an important discrepancy in the level of vulnerability of certain parts of the Croatian coast. This research study is important because it is the basis for a timely adaptation to the negative impacts of the future Adriatic Sea level rise.</t>
  </si>
  <si>
    <t>[Domazetovic, Fran; Loncar, Nina; Siljeg, Ante] Sveuciliste Zadru, Odjel Geog, Zadar, Croatia</t>
  </si>
  <si>
    <t>University of Zadar</t>
  </si>
  <si>
    <t>Domazetovic, F (corresponding author), Sveuciliste Zadru, Odjel Geog, Zadar, Croatia.</t>
  </si>
  <si>
    <t>frandomazet@gmail.com; nloncar@unizd.hr; asiljeg@unizd.hr</t>
  </si>
  <si>
    <t>Loncar, Nina/AAF-5473-2021; Domazetović, Fran/AAQ-9361-2021; Šiljeg, Ante/O-3349-2019</t>
  </si>
  <si>
    <t>Loncar, Nina/0000-0003-0795-2832; Domazetović, Fran/0000-0003-2395-0132; Šiljeg, Ante/0000-0001-6332-174X</t>
  </si>
  <si>
    <t>UNIV DUBROVNIK</t>
  </si>
  <si>
    <t>DUBROVNIK</t>
  </si>
  <si>
    <t>BRANITELJ DUBROVNIKA 29, DUBROVNIK, 20000, CROATIA</t>
  </si>
  <si>
    <t>0469-6255</t>
  </si>
  <si>
    <t>1848-6320</t>
  </si>
  <si>
    <t>Nase More</t>
  </si>
  <si>
    <t>10.17818/NM/2017/2.7</t>
  </si>
  <si>
    <t>Engineering, Marine</t>
  </si>
  <si>
    <t>FP7IX</t>
  </si>
  <si>
    <t>WOS:000417807800001</t>
  </si>
  <si>
    <t>Choi, JW; Cha, Y; Kim, JY</t>
  </si>
  <si>
    <t>Choi, Jae-Won; Cha, Yumi; Kim, Jeoung-Yun</t>
  </si>
  <si>
    <t>Possible Effect of Western North Pacific Monsoon on Tropical Cyclone Activity around East China Sea</t>
  </si>
  <si>
    <t>JOURNAL OF THE KOREAN EARTH SCIENCE SOCIETY</t>
  </si>
  <si>
    <t>tropical cyclone; Western north pacific monsoon; East China Sea; El Nino-southern oscillation</t>
  </si>
  <si>
    <t>ANTARCTIC OSCILLATION; VARIABILITY; CLIMATOLOGY; REANALYSIS; FEATURES; JAPAN</t>
  </si>
  <si>
    <t>This study analyzed the correlation between tropical cyclone (TC) frequency and the western North Pacific monsoon index (WNPMI), which have both been influential in East China Sea during the summer season over the past 37 years (1977-2013). A high positive correlation was found between these two variables, but it did not change even if El Nino-Southern Oscillation (ENSO) years were excluded. To determine the cause of this positive correlation, the highest (positive WNPMI phase) and lowest WNPMIs (negative WNPMI phase) during an eleven-year period were selected to analyze the mean difference between them, excluding ENSO years. In the positive WNPMI phase, TCs were mainly generated in the eastern seas of the tropical and subtropical western North Pacific, passing through the East China Sea and moving northward toward Korea and Japan. In the negative phase, TCs were mainly generated in the western seas of the tropical and subtropical western North Pacific, passing through the South China Sea and moving westward toward China's southern regions. Therefore, TC intensity in the positive phase was stronger due to the acquisition of sufficient energy from the sea while moving a long distance up to East Asia's mid-latitude. Additionally, TCs occurred more in the positive phase. Regarding the difference in 850 hPa and 500 hPa stream flows between the two phases, anomalous cyclones were strengthened in the tropical and subtropical western North Pacific, whereas anomalous anticyclones were strengthened in East Asia's mid-latitude regions. Due to these two anomalous pressure systems, anomalous southeasterlies developed in East China Sea, which played a role in the anomalous steering flows that moved TCs into this region. Furthermore, due to the anomalous cyclones that developed in the tropical and subtropical western North Pacific, more TCs could be generated in the positive phase.</t>
  </si>
  <si>
    <t>[Choi, Jae-Won] Chinese Acad Sci, Inst Atmospher Phys, Beijing 100029, Peoples R China; [Cha, Yumi; Kim, Jeoung-Yun] Natl Inst Meteorol Res, 33 Seohobuk Ro, Seogwipo 63568, South Korea</t>
  </si>
  <si>
    <t>Chinese Academy of Sciences; Institute of Atmospheric Physics, CAS</t>
  </si>
  <si>
    <t>Choi, JW (corresponding author), Chinese Acad Sci, Inst Atmospher Phys, Beijing 100029, Peoples R China.</t>
  </si>
  <si>
    <t>choikiseon@daum.net</t>
  </si>
  <si>
    <t>Choi, Jae-Won/AAA-1453-2022</t>
  </si>
  <si>
    <t>KOREAN EARTH SCIENCE SOC</t>
  </si>
  <si>
    <t>CHEONG-WON-GUN</t>
  </si>
  <si>
    <t>KOREAN EARTH SCIENCE SOC, CHEONG-WON-GUN, 00000, SOUTH KOREA</t>
  </si>
  <si>
    <t>1225-6692</t>
  </si>
  <si>
    <t>2287-4518</t>
  </si>
  <si>
    <t>J KOR EARTH SCI SOC</t>
  </si>
  <si>
    <t>J. Kor. Earth Sci. Soc.</t>
  </si>
  <si>
    <t>10.5467/JKESS.2017.38.3.194</t>
  </si>
  <si>
    <t>FO4XK</t>
  </si>
  <si>
    <t>WOS:000416851900003</t>
  </si>
  <si>
    <t>Millar, K; Bowman, AW</t>
  </si>
  <si>
    <t>Millar, Keith; Bowman, Adrian W.</t>
  </si>
  <si>
    <t>Hartnell's time machine reprise: Further implications of zinc, lead and copper in the thumbnail of a Franklin expedition crewmember</t>
  </si>
  <si>
    <t>JOURNAL OF ARCHAEOLOGICAL SCIENCE-REPORTS</t>
  </si>
  <si>
    <t>Franklin expedition; Zinc deficiency; Lead poisoning; Tuberculosis; Medical intervention</t>
  </si>
  <si>
    <t>ANTARCTIC EXPLORATION; HEROIC AGE; SAILORS; TISSUES</t>
  </si>
  <si>
    <t>Christensen et al. (2016) have described the application of synchrotron micro-X-ray fluorescence mapping, stable isotopic analysis and laser-ablation inductively-coupled plasma mass spectrometry to provide a unique and dynamic time scale of the concentration of metals in the thumbnail of John Hartnell who was a member of the 1845 British Royal Naval Franklin expedition which met a fatal end in the Arctic. Their finding of low levels of lead and zinc in Hartnell's thumbnail has questioned the supposed lead-poisoning of the crew and introduced a new hypothesis that zinc deficiency contributed to the loss of the expedition. It is proposed here that their innovative and intriguing hypothesis might be considered cautiously in light of uncertainty as to the reliability of nail as a biomarker of zinc deficiency and calculations that the Royal Navy's provisioning of its Arctic ships would have provided adequate dietary zinc. Whilst there may be difficulty in interpreting the absolute levels of zinc in the nail, the change in the levels over time may provide unique insights. It is agreed that exponential increases in levels of zinc, copper and lead seen in the weeks prior to Hartnell's death from pulmonary tuberculosis might reflect endogenous release of the metals due to tissue catabolism. It is further proposed that the increase in those metals also reflects the administration by the expedition's surgeons of lead, zinc and copper-containing medications which were widely used to relieve the distressing symptoms of tubercular disease. (C) 2017 Elsevier Ltd. All rights reserved.</t>
  </si>
  <si>
    <t>[Millar, Keith] Univ Glasgow, Gartnavel Royal Hosp, Coll Med Vet &amp; Life Sci, Inst Mental Hlth, 1055 Great Western Rd, Glasgow G12 0XH, Lanark, Scotland; [Bowman, Adrian W.] Univ Glasgow, Coll Sci &amp; Engn, Sch Math &amp; Stat, Glasgow G12 8QQ, Lanark, Scotland</t>
  </si>
  <si>
    <t>Gartnavel Royal Hospital; University of Glasgow; University of Glasgow</t>
  </si>
  <si>
    <t>Millar, K (corresponding author), Univ Glasgow, Gartnavel Royal Hosp, Coll Med Vet &amp; Life Sci, Inst Mental Hlth, 1055 Great Western Rd, Glasgow G12 0XH, Lanark, Scotland.</t>
  </si>
  <si>
    <t>keith.millar@glasgow.ac.uk; adrian.bowman@glasgow.ac.uk</t>
  </si>
  <si>
    <t>2352-409X</t>
  </si>
  <si>
    <t>J ARCHAEOL SCI-REP</t>
  </si>
  <si>
    <t>J. Archaeol. Sci.-Rep.</t>
  </si>
  <si>
    <t>10.1016/j.jasrep.2017.03.046</t>
  </si>
  <si>
    <t>Archaeology</t>
  </si>
  <si>
    <t>FM9UH</t>
  </si>
  <si>
    <t>WOS:000415616500027</t>
  </si>
  <si>
    <t>Pitulko, VV; Kasparov, AK</t>
  </si>
  <si>
    <t>Pitulko, Vladimir V.; Kasparov, Aleksey K.</t>
  </si>
  <si>
    <t>Archaeological dogs from the Early Holocene Zhokhov site in the Eastern Siberian Arctic</t>
  </si>
  <si>
    <t>Dog fossils; Dog morphology; Dog evolution; Early Holocene; Siberian Arctic</t>
  </si>
  <si>
    <t>ANCIENT DNA EVIDENCE; CRANIAL MORPHOLOGY; DOMESTIC DOGS; WILD CANIDS; ORIGIN; WOLF; MULTIPLE; HUNTERS; BURIAL; SKULLS</t>
  </si>
  <si>
    <t>Excavations on the Zhokhov Island yielded a small but meaningful collection of Early Holocene canine faunal remains (MNI = 13). To clarify the morphological characteristics of the Zhokhov dogs' skulls, they were compared to the modern skulls of the Eastern Siberian wolves. This analysis shows, that around 9000 years ago a fully formed, as a species, domesticated dog was present at the Zhokhov site and used by the inhabitants of the area while hunting and as a draft animal. Presence of a developed form of dog sledding has been securely established for this culture. The Zhokhov site osteological dog remains analysis showed that the comparison of two proportional ratios (the ratio of skull height in the cranial region to total skull length and the ratio of snout height at Pm1 - Pm2 to total skull length) is a universal and reliable criterion for distinguishing wolf skulls from wolf-like dog skulls. This method prevents the influence of any single measurement on the identification of any individual as a dog or a wolf. We propose to name them indices DD1 and DD2, accordingly (for Dog Domestication). We also show that a sled dog and hunting dog standard existed, which significantly changes the current ideas about the timing of specialized dog breed formation via directed selection. Full completion of this process marks the third stage of domestication. Two earlier stages precede it in time and space (natural selection via the feeding behavior within specific ecological niche, formed by the human activity, followed by artificial selection based on the animal's ability to be tamed). We suggest that sled dogs could have been used in Siberia around 15,000 years ago.</t>
  </si>
  <si>
    <t>[Pitulko, Vladimir V.; Kasparov, Aleksey K.] Russian Acad Sci, Inst Hist Mat Culture, 18 Dvortsovaya Nab, St Petersburg 191186, Russia</t>
  </si>
  <si>
    <t>Russian Academy of Sciences; St. Petersburg Scientific Centre of the Russian Academy of Sciences; Institute for the History of Material Culture, Russian Academy of Sciences</t>
  </si>
  <si>
    <t>Pitulko, VV (corresponding author), Russian Acad Sci, Inst Hist Mat Culture, 18 Dvortsovaya Nab, St Petersburg 191186, Russia.</t>
  </si>
  <si>
    <t>pitulkov@gmail.com</t>
  </si>
  <si>
    <t>Pitulko, Vladimir/N-4009-2019; Pitulko, Vladimir/E-2200-2015</t>
  </si>
  <si>
    <t>Kasparov, Aleksei/0000-0001-7761-9301; Pitulko, Vladimir/0000-0001-5672-2756</t>
  </si>
  <si>
    <t>private Rock Foundation research fund (New York); Russian Science Foundation [N 16- 18- 10265 RNF]; Russian Science Foundation [16-18-10265] Funding Source: Russian Science Foundation</t>
  </si>
  <si>
    <t>private Rock Foundation research fund (New York); Russian Science Foundation(Russian Science Foundation (RSF)); Russian Science Foundation(Russian Science Foundation (RSF))</t>
  </si>
  <si>
    <t>The material discussed here was obtained during the Zhokhov site investigations, initially as a part of the A-162 expedition of the Arctic and Antarctic Research Institute (St. Petersburg, Russia) in 1989 and 1990, and then during the research project Zhokhov-2000 in 2000-2005. These field investigations were supported by the private Rock Foundation research fund (New York). The present study was completed with the support of the Russian Science Foundation (project N 16- 18- 10265 RNF granted to VP). The authors are deeply grateful to all Zhokhov Island fieldcrew members whose hard work yielded these interesting and important data. We also thank the agency VICAAR (St. Petersburg), and specifically Y. P. Savchenko for the logistical fieldwork assistance. Special thanks for helping prepare this material for publication, collecting additional data and helping analyze them to S.O. Remizov (measurements recording), E.Y. Pavlova (illustrations), V.V. Ivanova (assistance with the statistical processing of the craniometrical wolf and dog data), P. I. Ivanov (photography), and N.S. Slobodina (translation). Authors are grateful to anonimous reviewers of the article, whose suggestions helped to improve the original manuscript.</t>
  </si>
  <si>
    <t>10.1016/j.jasrep.2017.04.003</t>
  </si>
  <si>
    <t>WOS:000415616500046</t>
  </si>
  <si>
    <t>Dranitsina, A; Taburets, O; Dvorshchenko, K; Grebinyk, D; Beregova, T; Ostapchenko, L</t>
  </si>
  <si>
    <t>Dranitsina, Alevtina; Taburets, Olesya; Dvorshchenko, Kateryna; Grebinyk, Dmytro; Beregova, Tetyana; Ostapchenko, Ludmila</t>
  </si>
  <si>
    <t>Tlr2, Tjp1genes expression during wound healing dynamics - with melanin treatment</t>
  </si>
  <si>
    <t>CURRENT ISSUES IN PHARMACY AND MEDICAL SCIENCES</t>
  </si>
  <si>
    <t>chemical burns; Tjp1; Tlr2 gene expression; melanin</t>
  </si>
  <si>
    <t>Wound healing is the complex and dynamic process of replacing devitalized and missing cellular structures and tissue layers. We have previously shown that melanin, herein, produced by the Antarctic black yeast fungi Pseudonadsoniella brunea (Nadsoniella nigra sp. X-1), has expressed a cyto-protective effect, promoted rapid wound healing of various ethiology and can be offered as a new dermatropic drug. The current study was conducted on a rat model of purulent necrotic wound. In each model, one group was a control, while in the others, wound healing occurred without drug application or with administration of 0,5% carbopol or with both 0,5% carbopol and 0,1% melanin. The pro-oxidant-antioxidant balance in skin gomogenate in dynamics on 3, 6, 9, 14 and day of full epithelization was estimated using the spectrophotometric biochemical method. Moreover, so as to understand the role played by the Tlr2 and Tjp1 in the process of wound healing and scar formation, Tlr2, Tjp1gene expression and genetic mRNA was determined with quantitative RT-PCR. The application of our pharmacological composition stimulated the decrease of Tlr2 and Tjp1 gene expression against the background of suppression of free radical processes (reduction of superoxide anion radical content) with epithelization and without scarring. The results of this study have shown the positive effects of melanin on wound healing. The obtained results indicate the advisability of applying melanin for the treatment of inflammatory processes.</t>
  </si>
  <si>
    <t>[Dranitsina, Alevtina; Dvorshchenko, Kateryna] Taras Shevchenko Natl Univ Kyiv, Educ &amp; Sci Ctr, Inst Biol &amp; Med, Res Lab Biochem, 2 Academician Glushkov Ave, Kiev, Ukraine; [Taburets, Olesya; Grebinyk, Dmytro; Ostapchenko, Ludmila] Taras Shevchenko Natl Univ Kyiv, Inst Biol &amp; Med, Educ &amp; Sci Ctr, Chair Biochem, Kiev, Ukraine; [Beregova, Tetyana] Taras Shevchenko Natl Univ Kyiv, Inst Biol &amp; Med, Educ &amp; Sci Ctr, Res Lab Pharmacol &amp; Expt Pathol, Kiev, Ukraine</t>
  </si>
  <si>
    <t>Ministry of Education &amp; Science of Ukraine; Taras Shevchenko National University of Kyiv; Ministry of Education &amp; Science of Ukraine; Taras Shevchenko National University of Kyiv; Ministry of Education &amp; Science of Ukraine; Taras Shevchenko National University of Kyiv</t>
  </si>
  <si>
    <t>Dranitsina, A (corresponding author), Taras Shevchenko Natl Univ Kyiv, Educ &amp; Sci Ctr, Inst Biol &amp; Med, Res Lab Biochem, 2 Academician Glushkov Ave, Kiev, Ukraine.</t>
  </si>
  <si>
    <t>alevtina.dranitsina@gmail.com</t>
  </si>
  <si>
    <t>Beregova, Tetyana V./P-9379-2018; Dvorshchenko, Kateryna/IAQ-8904-2023; Ostapchenko, Liudmyla/ISV-1878-2023; Grebinyk, Dmytro/H-9910-2018; Huet, Alevtyna/I-1352-2018</t>
  </si>
  <si>
    <t>Dvorshchenko, Kateryna/0000-0003-3118-9355; Ostapchenko, Liudmyla/0000-0001-7181-6048; Grebinyk, Dmytro/0000-0001-7065-346X; Huet, Alevtyna/0000-0002-6511-2201; Beregova, Tetyana/0009-0001-9976-1891</t>
  </si>
  <si>
    <t>DE GRUYTER OPEN LTD</t>
  </si>
  <si>
    <t>WARSAW</t>
  </si>
  <si>
    <t>BOGUMILA ZUGA 32A ST, 01-811 WARSAW, POLAND</t>
  </si>
  <si>
    <t>2084-980X</t>
  </si>
  <si>
    <t>2300-6676</t>
  </si>
  <si>
    <t>CURR ISS PHARM MED S</t>
  </si>
  <si>
    <t>Curr. Iss. Pharm. Med. Sci.</t>
  </si>
  <si>
    <t>10.1515/cipms-2017-0016</t>
  </si>
  <si>
    <t>Medicine, General &amp; Internal</t>
  </si>
  <si>
    <t>General &amp; Internal Medicine</t>
  </si>
  <si>
    <t>FM7KW</t>
  </si>
  <si>
    <t>WOS:000415256600006</t>
  </si>
  <si>
    <t>Tretyak, K; Forat, AA; Holubinka, Y</t>
  </si>
  <si>
    <t>Tretyak, Kornylii; Forat, Al-Alusi; Holubinka, Yurii</t>
  </si>
  <si>
    <t>INVESTIGATION OF CHANGES OF THE KINEMATIC PARAMETERS OF ANTARCTIC TECTONIC PLATE USING DATA OBSERVATIONS OF PERMANENT GNSS STATIONS</t>
  </si>
  <si>
    <t>REPORTS ON GEODESY AND GEOINFORMATICS</t>
  </si>
  <si>
    <t>GNSS; Euler pole; Antarctic tectonic plate</t>
  </si>
  <si>
    <t>MODEL; VELOCITIES; PENINSULA; GPS; MOTION; ITRF</t>
  </si>
  <si>
    <t>The paper describes a modified algorithm of determination of the Euler pole coordinates and angular velocity of the tectonic plate, considering the continuous and uneven distribution of daily measurements of GNSS permanent stations. Using developed algorithm were determined the mean position of Euler pole and angular velocity of Antarctic tectonic plate and their annual changes. As the input data, we used the results of observations, collected on 28 permanent stations of the Antarctic region, within the period from 1996 to 2014.</t>
  </si>
  <si>
    <t>[Tretyak, Kornylii; Forat, Al-Alusi; Holubinka, Yurii] Lviv Polytech Natl Univ, Inst Geodesy, 12 Bandera St, UA-79013 Lvov, Ukraine</t>
  </si>
  <si>
    <t>Ministry of Education &amp; Science of Ukraine; Lviv Polytechnic National University</t>
  </si>
  <si>
    <t>Tretyak, K (corresponding author), Lviv Polytech Natl Univ, Inst Geodesy, 12 Bandera St, UA-79013 Lvov, Ukraine.</t>
  </si>
  <si>
    <t>kornel@lp.edu.ua; iurii.golubinka@gmail.com</t>
  </si>
  <si>
    <t>Tretyak, Kornyliy R/B-8678-2018; Golubinka, Iurii/S-3977-2017</t>
  </si>
  <si>
    <t>Golubinka, Iurii/0000-0001-9696-686X; Tretyak, Kornyliy/0000-0001-5231-3517</t>
  </si>
  <si>
    <t>2391-8365</t>
  </si>
  <si>
    <t>2391-8152</t>
  </si>
  <si>
    <t>REP GEOD GEOINFORMAT</t>
  </si>
  <si>
    <t>Rep. Geod. Geoinformatics</t>
  </si>
  <si>
    <t>10.1515/rgg-2017-0010</t>
  </si>
  <si>
    <t>FM0FR</t>
  </si>
  <si>
    <t>WOS:000414638100010</t>
  </si>
  <si>
    <t>Marine colonization and biodiversity at Ascension Island and remote islands</t>
  </si>
  <si>
    <t>recruitment; isolation; dispersal; coral; latitude</t>
  </si>
  <si>
    <t>SCLERACTINIAN CORAL RECRUITMENT; ARTIFICIAL SUBSTRATA; COMMUNITY-DEVELOPMENT; POSTSETTLEMENT MORTALITY; EPIFAUNAL ASSEMBLAGES; BENTHIC INVERTEBRATES; TEMPORAL VARIATION; FOULING COMMUNITY; SOUTH-ATLANTIC; VIRGIN-ISLANDS</t>
  </si>
  <si>
    <t>Little is known about colonization of remote island coasts by marine invertebrates, other than corals. The structure of hard substrata assemblages was investigated across Ascension Island's littoral zone in comparison with other sites. Arrays of acrylic panels were deployed at two sites for 2 years at Ascension Island to measure subtidal recruitment. Colonization of panels at Ascension I. was low, though space occupation, abundance and richness varied considerably. After similar to 1 and 2 years Ascension panels were &lt; 17 and &lt; 37% covered by fauna and each had &lt; 22 recruits and 54 recruits (per 100 cm(2)) respectively, amongst the lowest density of recruits reported. Recruitment rates of corals (25 m(2) year 21) at Ascension I. were also similar to the lowest levels reported elsewhere (e.g. at Bermuda or Midway islands). Less dispersive animal types, e.g. cheilostome bryozoans, were poorly represented. Panels immersed in Tanzania and Scotland were &gt; 30% covered, with &gt; 76 recruits per 100 cm(2) and with bryozoans well represented after 1 year. Across-littoral surveys of established macrofauna at five remote islands (Ascension I., Easter I., Azores, South Georgia and Signy I., Antarctica) revealed similar trends of a rich sublittoral and lower littoral reducing drastically up-shore; molluscs dominating abundance and species numbers, whilst polychaetes, crustaceans and echinoderms were well represented. Established sessile animals occurred patchily at a mean density of 8.26 m(-2) but recruits had mortality levels &gt; 99%. Polar or remote temperate/tropical sites are typically less colonized than at non-remote, low latitudes but the lowest levels reported are at remote polar sites. Reduced colonization at Ascension island reflects remoteness.</t>
  </si>
  <si>
    <t>10.1017/S0025315415001526</t>
  </si>
  <si>
    <t>FI9JP</t>
  </si>
  <si>
    <t>WOS:000412323400016</t>
  </si>
  <si>
    <t>Gomes-Pereira, JN; Prieto, R; Neves, V; Xavier, J; Pham, C; Gonçalves, J; Porteiro, F; Santos, R; Martins, H</t>
  </si>
  <si>
    <t>Gomes-Pereira, J. N.; Prieto, R.; Neves, V.; Xavier, J.; Pham, C.; Goncalves, J.; Porteiro, F.; Santos, R.; Martins, H.</t>
  </si>
  <si>
    <t>The role of Malcolm Clarke (1930-2013) in the Azores as a scientist and educationist</t>
  </si>
  <si>
    <t>teuthologist; cephalopods; Azores; Malcolm R. Clarke; museum</t>
  </si>
  <si>
    <t>DIET; ECOLOGY; SQUID; WHALE</t>
  </si>
  <si>
    <t>Malcolm Roy Clarke (1930-2013) was a British teuthologist who made an important contribution to marine science in the Azores archipelago (Portugal). Malcolm started doing research in the Azores from 1980s onward, settling for residency in 2000 after retirement (in 1987). He kept publishing on Azorean cephalopods collaborating in 20% of the peer reviewed works focusing on two main areas: dietary studies; and the ecology of cephalopods on seamounts. Since his first visit in 1981, he was involved in the description of the dietary ecology of several cetaceans, seabirds, and large pelagic and deep-water fish. Using his own data, Malcolm revised the association of cephalopods with seamounts, updating and enlarging the different cephalopod groups according to species behaviour and ecology. Malcolm taught several students working in the Azores on cephalopods and beak identification, lecturing the Third International Workshop in Faial (2007). He empowered the recently established research community, by providing important contacts with foreign institutes and informal advice. He collaborated in the regional cetacean stranding network (RACA) and was an active member of the advisory board of the journal Arquipelago-Life and Marine Sciences. But the scientific role of Malcolm Clarke in the Azores went beyond his academic activities. In the last 10 years Malcolm and Dot Clarke dedicated themselves to building and running a museum on Pico Island, showing the biology of the sperm whale and its interaction with squid; a cultural and touristic legacy for future generations to enjoy.</t>
  </si>
  <si>
    <t>[Gomes-Pereira, J. N.; Prieto, R.; Neves, V.; Pham, C.; Goncalves, J.; Porteiro, F.; Santos, R.; Martins, H.] Univ Azores, LARSyS Associated Lab, IMAR, Horta, Faial, Portugal; [Gomes-Pereira, J. N.; Prieto, R.; Neves, V.; Pham, C.; Goncalves, J.; Porteiro, F.; Santos, R.; Martins, H.] Univ Azores, Dept Oceanog &amp; Fisheries, P-9900 Horta, Faial, Portugal; [Gomes-Pereira, J. N.] Portuguese Task Grp Extens Continental Shelf EMEP, Rua Costa Pinto 165, P-2770047 Paco De Arcos, Portugal; [Xavier, J.] Univ Coimbra, Inst Marine Res IMAR CMA, Dept Zool, P-3004517 Coimbra, Portugal; [Xavier, J.] British Antarctic Survey, Nat Environm Res Council, Madingley Rd, Cambridge CB3 0ET, England</t>
  </si>
  <si>
    <t>Universidade dos Acores; Universidade dos Acores; Universidade de Coimbra; UK Research &amp; Innovation (UKRI); Natural Environment Research Council (NERC); NERC British Antarctic Survey</t>
  </si>
  <si>
    <t>Gomes-Pereira, JN (corresponding author), Univ Azores, Dept Oceanog &amp; Fisheries, P-9900 Horta, Faial, Portugal.;Gomes-Pereira, JN (corresponding author), Univ Azores, IMAR, P-9900 Horta, Faial, Portugal.</t>
  </si>
  <si>
    <t>josenunopereira@uac.pt</t>
  </si>
  <si>
    <t>Neves, Verónica R C/A-4642-2009; Porteiro, Filipe/AHC-3133-2022; Xavier, José/KFB-6739-2024; Gonçalves, João Manuel A./HOH-0421-2023; Pereira, José N/B-8237-2011; Neves, Verónica/AAS-6850-2021; Pham, Christopher/I-9182-2014; Prieto, Rui/G-8286-2011; Serrao Santos, Ricardo/B-3960-2008</t>
  </si>
  <si>
    <t>Neves, Verónica R C/0000-0002-6826-4542; Gonçalves, João Manuel A./0000-0001-7717-658X; /0000-0002-9621-6660; Pham, Christopher/0000-0002-3556-0492; Prieto, Rui/0000-0002-0354-2572; Gomes-Pereira, Jose Nuno/0000-0002-4351-3522; Porteiro, Filipe/0000-0001-9341-2204; Martins, Helen/0000-0002-6079-5701; Serrao Santos, Ricardo/0000-0002-2536-1369</t>
  </si>
  <si>
    <t>Regional Directorate for Education, Science and Culture, of the Regional Government of the Azores [M3.1.2/F/062/2011]; Portuguese Foundation for Science and Technology (FCT) through pluriannual and programmatic funding schemes (OE, FEDER, POCI, FSE); Azores Directorate for Science and Technology (DRCT); NERC [bas010011] Funding Source: UKRI; Natural Environment Research Council [bas010011] Funding Source: researchfish</t>
  </si>
  <si>
    <t>Regional Directorate for Education, Science and Culture, of the Regional Government of the Azores; Portuguese Foundation for Science and Technology (FCT) through pluriannual and programmatic funding schemes (OE, FEDER, POCI, FSE); Azores Directorate for Science and Technology (DRCT); NERC(UK Research &amp; Innovation (UKRI)Natural Environment Research Council (NERC)); Natural Environment Research Council(UK Research &amp; Innovation (UKRI)Natural Environment Research Council (NERC))</t>
  </si>
  <si>
    <t>J.N.G.P. was supported by a doctoral grant from the Regional Directorate for Education, Science and Culture, of the Regional Government of the Azores (M3.1.2/F/062/2011). LARSyS-Associated Laboratory no. 9 funded by the Portuguese Foundation for Science and Technology (FCT) through pluriannual and programmatic funding schemes (OE, FEDER, POCI2001, FSE) and by the Azores Directorate for Science and Technology (DRCT).</t>
  </si>
  <si>
    <t>10.1017/S0025315414000794</t>
  </si>
  <si>
    <t>WOS:000412323400020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</si>
</sst>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74</v>
      </c>
      <c r="U2" t="s">
        <v>80</v>
      </c>
      <c r="V2" t="s">
        <v>81</v>
      </c>
      <c r="W2" t="s">
        <v>82</v>
      </c>
      <c r="X2" t="s">
        <v>83</v>
      </c>
      <c r="Y2" t="s">
        <v>84</v>
      </c>
      <c r="Z2" t="s">
        <v>85</v>
      </c>
      <c r="AA2" t="s">
        <v>86</v>
      </c>
      <c r="AB2" t="s">
        <v>87</v>
      </c>
      <c r="AC2" t="s">
        <v>88</v>
      </c>
      <c r="AD2" t="s">
        <v>89</v>
      </c>
      <c r="AE2" t="s">
        <v>90</v>
      </c>
      <c r="AF2" t="s">
        <v>74</v>
      </c>
      <c r="AG2">
        <v>51</v>
      </c>
      <c r="AH2">
        <v>13</v>
      </c>
      <c r="AI2">
        <v>15</v>
      </c>
      <c r="AJ2">
        <v>0</v>
      </c>
      <c r="AK2">
        <v>9</v>
      </c>
      <c r="AL2" t="s">
        <v>91</v>
      </c>
      <c r="AM2" t="s">
        <v>92</v>
      </c>
      <c r="AN2" t="s">
        <v>93</v>
      </c>
      <c r="AO2" t="s">
        <v>94</v>
      </c>
      <c r="AP2" t="s">
        <v>95</v>
      </c>
      <c r="AQ2" t="s">
        <v>74</v>
      </c>
      <c r="AR2" t="s">
        <v>96</v>
      </c>
      <c r="AS2" t="s">
        <v>97</v>
      </c>
      <c r="AT2" t="s">
        <v>98</v>
      </c>
      <c r="AU2">
        <v>2017</v>
      </c>
      <c r="AV2">
        <v>44</v>
      </c>
      <c r="AW2">
        <v>20</v>
      </c>
      <c r="AX2" t="s">
        <v>74</v>
      </c>
      <c r="AY2" t="s">
        <v>74</v>
      </c>
      <c r="AZ2" t="s">
        <v>74</v>
      </c>
      <c r="BA2" t="s">
        <v>74</v>
      </c>
      <c r="BB2">
        <v>10495</v>
      </c>
      <c r="BC2">
        <v>10503</v>
      </c>
      <c r="BD2" t="s">
        <v>74</v>
      </c>
      <c r="BE2" t="s">
        <v>99</v>
      </c>
      <c r="BF2" t="str">
        <f>HYPERLINK("http://dx.doi.org/10.1002/2017GL074538","http://dx.doi.org/10.1002/2017GL074538")</f>
        <v>http://dx.doi.org/10.1002/2017GL074538</v>
      </c>
      <c r="BG2" t="s">
        <v>74</v>
      </c>
      <c r="BH2" t="s">
        <v>74</v>
      </c>
      <c r="BI2">
        <v>9</v>
      </c>
      <c r="BJ2" t="s">
        <v>100</v>
      </c>
      <c r="BK2" t="s">
        <v>101</v>
      </c>
      <c r="BL2" t="s">
        <v>102</v>
      </c>
      <c r="BM2" t="s">
        <v>103</v>
      </c>
      <c r="BN2" t="s">
        <v>74</v>
      </c>
      <c r="BO2" t="s">
        <v>104</v>
      </c>
      <c r="BP2" t="s">
        <v>74</v>
      </c>
      <c r="BQ2" t="s">
        <v>74</v>
      </c>
      <c r="BR2" t="s">
        <v>105</v>
      </c>
      <c r="BS2" t="s">
        <v>106</v>
      </c>
      <c r="BT2" t="str">
        <f>HYPERLINK("https%3A%2F%2Fwww.webofscience.com%2Fwos%2Fwoscc%2Ffull-record%2FWOS:000416761600049","View Full Record in Web of Science")</f>
        <v>View Full Record in Web of Science</v>
      </c>
    </row>
    <row r="3" spans="1:72" x14ac:dyDescent="0.15">
      <c r="A3" t="s">
        <v>72</v>
      </c>
      <c r="B3" t="s">
        <v>107</v>
      </c>
      <c r="C3" t="s">
        <v>74</v>
      </c>
      <c r="D3" t="s">
        <v>74</v>
      </c>
      <c r="E3" t="s">
        <v>74</v>
      </c>
      <c r="F3" t="s">
        <v>108</v>
      </c>
      <c r="G3" t="s">
        <v>74</v>
      </c>
      <c r="H3" t="s">
        <v>74</v>
      </c>
      <c r="I3" t="s">
        <v>109</v>
      </c>
      <c r="J3" t="s">
        <v>77</v>
      </c>
      <c r="K3" t="s">
        <v>74</v>
      </c>
      <c r="L3" t="s">
        <v>74</v>
      </c>
      <c r="M3" t="s">
        <v>78</v>
      </c>
      <c r="N3" t="s">
        <v>79</v>
      </c>
      <c r="O3" t="s">
        <v>74</v>
      </c>
      <c r="P3" t="s">
        <v>74</v>
      </c>
      <c r="Q3" t="s">
        <v>74</v>
      </c>
      <c r="R3" t="s">
        <v>74</v>
      </c>
      <c r="S3" t="s">
        <v>74</v>
      </c>
      <c r="T3" t="s">
        <v>74</v>
      </c>
      <c r="U3" t="s">
        <v>110</v>
      </c>
      <c r="V3" t="s">
        <v>111</v>
      </c>
      <c r="W3" t="s">
        <v>112</v>
      </c>
      <c r="X3" t="s">
        <v>113</v>
      </c>
      <c r="Y3" t="s">
        <v>114</v>
      </c>
      <c r="Z3" t="s">
        <v>115</v>
      </c>
      <c r="AA3" t="s">
        <v>116</v>
      </c>
      <c r="AB3" t="s">
        <v>117</v>
      </c>
      <c r="AC3" t="s">
        <v>118</v>
      </c>
      <c r="AD3" t="s">
        <v>119</v>
      </c>
      <c r="AE3" t="s">
        <v>120</v>
      </c>
      <c r="AF3" t="s">
        <v>74</v>
      </c>
      <c r="AG3">
        <v>37</v>
      </c>
      <c r="AH3">
        <v>13</v>
      </c>
      <c r="AI3">
        <v>15</v>
      </c>
      <c r="AJ3">
        <v>0</v>
      </c>
      <c r="AK3">
        <v>9</v>
      </c>
      <c r="AL3" t="s">
        <v>91</v>
      </c>
      <c r="AM3" t="s">
        <v>92</v>
      </c>
      <c r="AN3" t="s">
        <v>93</v>
      </c>
      <c r="AO3" t="s">
        <v>94</v>
      </c>
      <c r="AP3" t="s">
        <v>95</v>
      </c>
      <c r="AQ3" t="s">
        <v>74</v>
      </c>
      <c r="AR3" t="s">
        <v>96</v>
      </c>
      <c r="AS3" t="s">
        <v>97</v>
      </c>
      <c r="AT3" t="s">
        <v>98</v>
      </c>
      <c r="AU3">
        <v>2017</v>
      </c>
      <c r="AV3">
        <v>44</v>
      </c>
      <c r="AW3">
        <v>20</v>
      </c>
      <c r="AX3" t="s">
        <v>74</v>
      </c>
      <c r="AY3" t="s">
        <v>74</v>
      </c>
      <c r="AZ3" t="s">
        <v>74</v>
      </c>
      <c r="BA3" t="s">
        <v>74</v>
      </c>
      <c r="BB3">
        <v>10744</v>
      </c>
      <c r="BC3">
        <v>10753</v>
      </c>
      <c r="BD3" t="s">
        <v>74</v>
      </c>
      <c r="BE3" t="s">
        <v>121</v>
      </c>
      <c r="BF3" t="str">
        <f>HYPERLINK("http://dx.doi.org/10.1002/2017GL075641","http://dx.doi.org/10.1002/2017GL075641")</f>
        <v>http://dx.doi.org/10.1002/2017GL075641</v>
      </c>
      <c r="BG3" t="s">
        <v>74</v>
      </c>
      <c r="BH3" t="s">
        <v>74</v>
      </c>
      <c r="BI3">
        <v>10</v>
      </c>
      <c r="BJ3" t="s">
        <v>100</v>
      </c>
      <c r="BK3" t="s">
        <v>101</v>
      </c>
      <c r="BL3" t="s">
        <v>102</v>
      </c>
      <c r="BM3" t="s">
        <v>103</v>
      </c>
      <c r="BN3" t="s">
        <v>74</v>
      </c>
      <c r="BO3" t="s">
        <v>122</v>
      </c>
      <c r="BP3" t="s">
        <v>74</v>
      </c>
      <c r="BQ3" t="s">
        <v>74</v>
      </c>
      <c r="BR3" t="s">
        <v>105</v>
      </c>
      <c r="BS3" t="s">
        <v>123</v>
      </c>
      <c r="BT3" t="str">
        <f>HYPERLINK("https%3A%2F%2Fwww.webofscience.com%2Fwos%2Fwoscc%2Ffull-record%2FWOS:000416761600076","View Full Record in Web of Science")</f>
        <v>View Full Record in Web of Science</v>
      </c>
    </row>
    <row r="4" spans="1:72" x14ac:dyDescent="0.15">
      <c r="A4" t="s">
        <v>72</v>
      </c>
      <c r="B4" t="s">
        <v>124</v>
      </c>
      <c r="C4" t="s">
        <v>74</v>
      </c>
      <c r="D4" t="s">
        <v>74</v>
      </c>
      <c r="E4" t="s">
        <v>74</v>
      </c>
      <c r="F4" t="s">
        <v>125</v>
      </c>
      <c r="G4" t="s">
        <v>74</v>
      </c>
      <c r="H4" t="s">
        <v>74</v>
      </c>
      <c r="I4" t="s">
        <v>126</v>
      </c>
      <c r="J4" t="s">
        <v>77</v>
      </c>
      <c r="K4" t="s">
        <v>74</v>
      </c>
      <c r="L4" t="s">
        <v>74</v>
      </c>
      <c r="M4" t="s">
        <v>78</v>
      </c>
      <c r="N4" t="s">
        <v>79</v>
      </c>
      <c r="O4" t="s">
        <v>74</v>
      </c>
      <c r="P4" t="s">
        <v>74</v>
      </c>
      <c r="Q4" t="s">
        <v>74</v>
      </c>
      <c r="R4" t="s">
        <v>74</v>
      </c>
      <c r="S4" t="s">
        <v>74</v>
      </c>
      <c r="T4" t="s">
        <v>74</v>
      </c>
      <c r="U4" t="s">
        <v>127</v>
      </c>
      <c r="V4" t="s">
        <v>128</v>
      </c>
      <c r="W4" t="s">
        <v>129</v>
      </c>
      <c r="X4" t="s">
        <v>130</v>
      </c>
      <c r="Y4" t="s">
        <v>131</v>
      </c>
      <c r="Z4" t="s">
        <v>132</v>
      </c>
      <c r="AA4" t="s">
        <v>133</v>
      </c>
      <c r="AB4" t="s">
        <v>134</v>
      </c>
      <c r="AC4" t="s">
        <v>135</v>
      </c>
      <c r="AD4" t="s">
        <v>136</v>
      </c>
      <c r="AE4" t="s">
        <v>137</v>
      </c>
      <c r="AF4" t="s">
        <v>74</v>
      </c>
      <c r="AG4">
        <v>24</v>
      </c>
      <c r="AH4">
        <v>9</v>
      </c>
      <c r="AI4">
        <v>9</v>
      </c>
      <c r="AJ4">
        <v>0</v>
      </c>
      <c r="AK4">
        <v>19</v>
      </c>
      <c r="AL4" t="s">
        <v>91</v>
      </c>
      <c r="AM4" t="s">
        <v>92</v>
      </c>
      <c r="AN4" t="s">
        <v>93</v>
      </c>
      <c r="AO4" t="s">
        <v>94</v>
      </c>
      <c r="AP4" t="s">
        <v>95</v>
      </c>
      <c r="AQ4" t="s">
        <v>74</v>
      </c>
      <c r="AR4" t="s">
        <v>96</v>
      </c>
      <c r="AS4" t="s">
        <v>97</v>
      </c>
      <c r="AT4" t="s">
        <v>98</v>
      </c>
      <c r="AU4">
        <v>2017</v>
      </c>
      <c r="AV4">
        <v>44</v>
      </c>
      <c r="AW4">
        <v>20</v>
      </c>
      <c r="AX4" t="s">
        <v>74</v>
      </c>
      <c r="AY4" t="s">
        <v>74</v>
      </c>
      <c r="AZ4" t="s">
        <v>74</v>
      </c>
      <c r="BA4" t="s">
        <v>74</v>
      </c>
      <c r="BB4">
        <v>10754</v>
      </c>
      <c r="BC4">
        <v>10761</v>
      </c>
      <c r="BD4" t="s">
        <v>74</v>
      </c>
      <c r="BE4" t="s">
        <v>138</v>
      </c>
      <c r="BF4" t="str">
        <f>HYPERLINK("http://dx.doi.org/10.1002/2017GL075452","http://dx.doi.org/10.1002/2017GL075452")</f>
        <v>http://dx.doi.org/10.1002/2017GL075452</v>
      </c>
      <c r="BG4" t="s">
        <v>74</v>
      </c>
      <c r="BH4" t="s">
        <v>74</v>
      </c>
      <c r="BI4">
        <v>8</v>
      </c>
      <c r="BJ4" t="s">
        <v>100</v>
      </c>
      <c r="BK4" t="s">
        <v>101</v>
      </c>
      <c r="BL4" t="s">
        <v>102</v>
      </c>
      <c r="BM4" t="s">
        <v>103</v>
      </c>
      <c r="BN4" t="s">
        <v>74</v>
      </c>
      <c r="BO4" t="s">
        <v>139</v>
      </c>
      <c r="BP4" t="s">
        <v>74</v>
      </c>
      <c r="BQ4" t="s">
        <v>74</v>
      </c>
      <c r="BR4" t="s">
        <v>105</v>
      </c>
      <c r="BS4" t="s">
        <v>140</v>
      </c>
      <c r="BT4" t="str">
        <f>HYPERLINK("https%3A%2F%2Fwww.webofscience.com%2Fwos%2Fwoscc%2Ffull-record%2FWOS:000416761600077","View Full Record in Web of Science")</f>
        <v>View Full Record in Web of Science</v>
      </c>
    </row>
    <row r="5" spans="1:72" x14ac:dyDescent="0.15">
      <c r="A5" t="s">
        <v>72</v>
      </c>
      <c r="B5" t="s">
        <v>141</v>
      </c>
      <c r="C5" t="s">
        <v>74</v>
      </c>
      <c r="D5" t="s">
        <v>74</v>
      </c>
      <c r="E5" t="s">
        <v>74</v>
      </c>
      <c r="F5" t="s">
        <v>142</v>
      </c>
      <c r="G5" t="s">
        <v>74</v>
      </c>
      <c r="H5" t="s">
        <v>74</v>
      </c>
      <c r="I5" t="s">
        <v>143</v>
      </c>
      <c r="J5" t="s">
        <v>144</v>
      </c>
      <c r="K5" t="s">
        <v>74</v>
      </c>
      <c r="L5" t="s">
        <v>74</v>
      </c>
      <c r="M5" t="s">
        <v>78</v>
      </c>
      <c r="N5" t="s">
        <v>79</v>
      </c>
      <c r="O5" t="s">
        <v>74</v>
      </c>
      <c r="P5" t="s">
        <v>74</v>
      </c>
      <c r="Q5" t="s">
        <v>74</v>
      </c>
      <c r="R5" t="s">
        <v>74</v>
      </c>
      <c r="S5" t="s">
        <v>74</v>
      </c>
      <c r="T5" t="s">
        <v>74</v>
      </c>
      <c r="U5" t="s">
        <v>145</v>
      </c>
      <c r="V5" t="s">
        <v>146</v>
      </c>
      <c r="W5" t="s">
        <v>147</v>
      </c>
      <c r="X5" t="s">
        <v>148</v>
      </c>
      <c r="Y5" t="s">
        <v>149</v>
      </c>
      <c r="Z5" t="s">
        <v>150</v>
      </c>
      <c r="AA5" t="s">
        <v>151</v>
      </c>
      <c r="AB5" t="s">
        <v>152</v>
      </c>
      <c r="AC5" t="s">
        <v>153</v>
      </c>
      <c r="AD5" t="s">
        <v>154</v>
      </c>
      <c r="AE5" t="s">
        <v>155</v>
      </c>
      <c r="AF5" t="s">
        <v>74</v>
      </c>
      <c r="AG5">
        <v>110</v>
      </c>
      <c r="AH5">
        <v>16</v>
      </c>
      <c r="AI5">
        <v>17</v>
      </c>
      <c r="AJ5">
        <v>0</v>
      </c>
      <c r="AK5">
        <v>23</v>
      </c>
      <c r="AL5" t="s">
        <v>91</v>
      </c>
      <c r="AM5" t="s">
        <v>92</v>
      </c>
      <c r="AN5" t="s">
        <v>93</v>
      </c>
      <c r="AO5" t="s">
        <v>156</v>
      </c>
      <c r="AP5" t="s">
        <v>157</v>
      </c>
      <c r="AQ5" t="s">
        <v>74</v>
      </c>
      <c r="AR5" t="s">
        <v>158</v>
      </c>
      <c r="AS5" t="s">
        <v>159</v>
      </c>
      <c r="AT5" t="s">
        <v>160</v>
      </c>
      <c r="AU5">
        <v>2017</v>
      </c>
      <c r="AV5">
        <v>122</v>
      </c>
      <c r="AW5">
        <v>20</v>
      </c>
      <c r="AX5" t="s">
        <v>74</v>
      </c>
      <c r="AY5" t="s">
        <v>74</v>
      </c>
      <c r="AZ5" t="s">
        <v>74</v>
      </c>
      <c r="BA5" t="s">
        <v>74</v>
      </c>
      <c r="BB5">
        <v>11112</v>
      </c>
      <c r="BC5">
        <v>11130</v>
      </c>
      <c r="BD5" t="s">
        <v>74</v>
      </c>
      <c r="BE5" t="s">
        <v>161</v>
      </c>
      <c r="BF5" t="str">
        <f>HYPERLINK("http://dx.doi.org/10.1002/2017JD027143","http://dx.doi.org/10.1002/2017JD027143")</f>
        <v>http://dx.doi.org/10.1002/2017JD027143</v>
      </c>
      <c r="BG5" t="s">
        <v>74</v>
      </c>
      <c r="BH5" t="s">
        <v>74</v>
      </c>
      <c r="BI5">
        <v>19</v>
      </c>
      <c r="BJ5" t="s">
        <v>162</v>
      </c>
      <c r="BK5" t="s">
        <v>101</v>
      </c>
      <c r="BL5" t="s">
        <v>162</v>
      </c>
      <c r="BM5" t="s">
        <v>163</v>
      </c>
      <c r="BN5" t="s">
        <v>74</v>
      </c>
      <c r="BO5" t="s">
        <v>164</v>
      </c>
      <c r="BP5" t="s">
        <v>74</v>
      </c>
      <c r="BQ5" t="s">
        <v>74</v>
      </c>
      <c r="BR5" t="s">
        <v>105</v>
      </c>
      <c r="BS5" t="s">
        <v>165</v>
      </c>
      <c r="BT5" t="str">
        <f>HYPERLINK("https%3A%2F%2Fwww.webofscience.com%2Fwos%2Fwoscc%2Ffull-record%2FWOS:000417195200032","View Full Record in Web of Science")</f>
        <v>View Full Record in Web of Science</v>
      </c>
    </row>
    <row r="6" spans="1:72" x14ac:dyDescent="0.15">
      <c r="A6" t="s">
        <v>72</v>
      </c>
      <c r="B6" t="s">
        <v>166</v>
      </c>
      <c r="C6" t="s">
        <v>74</v>
      </c>
      <c r="D6" t="s">
        <v>74</v>
      </c>
      <c r="E6" t="s">
        <v>74</v>
      </c>
      <c r="F6" t="s">
        <v>167</v>
      </c>
      <c r="G6" t="s">
        <v>74</v>
      </c>
      <c r="H6" t="s">
        <v>74</v>
      </c>
      <c r="I6" t="s">
        <v>168</v>
      </c>
      <c r="J6" t="s">
        <v>169</v>
      </c>
      <c r="K6" t="s">
        <v>74</v>
      </c>
      <c r="L6" t="s">
        <v>74</v>
      </c>
      <c r="M6" t="s">
        <v>78</v>
      </c>
      <c r="N6" t="s">
        <v>79</v>
      </c>
      <c r="O6" t="s">
        <v>74</v>
      </c>
      <c r="P6" t="s">
        <v>74</v>
      </c>
      <c r="Q6" t="s">
        <v>74</v>
      </c>
      <c r="R6" t="s">
        <v>74</v>
      </c>
      <c r="S6" t="s">
        <v>74</v>
      </c>
      <c r="T6" t="s">
        <v>74</v>
      </c>
      <c r="U6" t="s">
        <v>170</v>
      </c>
      <c r="V6" t="s">
        <v>171</v>
      </c>
      <c r="W6" t="s">
        <v>172</v>
      </c>
      <c r="X6" t="s">
        <v>173</v>
      </c>
      <c r="Y6" t="s">
        <v>174</v>
      </c>
      <c r="Z6" t="s">
        <v>175</v>
      </c>
      <c r="AA6" t="s">
        <v>176</v>
      </c>
      <c r="AB6" t="s">
        <v>177</v>
      </c>
      <c r="AC6" t="s">
        <v>178</v>
      </c>
      <c r="AD6" t="s">
        <v>179</v>
      </c>
      <c r="AE6" t="s">
        <v>180</v>
      </c>
      <c r="AF6" t="s">
        <v>74</v>
      </c>
      <c r="AG6">
        <v>44</v>
      </c>
      <c r="AH6">
        <v>44</v>
      </c>
      <c r="AI6">
        <v>52</v>
      </c>
      <c r="AJ6">
        <v>0</v>
      </c>
      <c r="AK6">
        <v>40</v>
      </c>
      <c r="AL6" t="s">
        <v>181</v>
      </c>
      <c r="AM6" t="s">
        <v>182</v>
      </c>
      <c r="AN6" t="s">
        <v>183</v>
      </c>
      <c r="AO6" t="s">
        <v>184</v>
      </c>
      <c r="AP6" t="s">
        <v>185</v>
      </c>
      <c r="AQ6" t="s">
        <v>74</v>
      </c>
      <c r="AR6" t="s">
        <v>169</v>
      </c>
      <c r="AS6" t="s">
        <v>186</v>
      </c>
      <c r="AT6" t="s">
        <v>187</v>
      </c>
      <c r="AU6">
        <v>2017</v>
      </c>
      <c r="AV6">
        <v>550</v>
      </c>
      <c r="AW6">
        <v>7677</v>
      </c>
      <c r="AX6" t="s">
        <v>74</v>
      </c>
      <c r="AY6" t="s">
        <v>74</v>
      </c>
      <c r="AZ6" t="s">
        <v>74</v>
      </c>
      <c r="BA6" t="s">
        <v>74</v>
      </c>
      <c r="BB6">
        <v>506</v>
      </c>
      <c r="BC6" t="s">
        <v>188</v>
      </c>
      <c r="BD6" t="s">
        <v>74</v>
      </c>
      <c r="BE6" t="s">
        <v>189</v>
      </c>
      <c r="BF6" t="str">
        <f>HYPERLINK("http://dx.doi.org/10.1038/nature24458","http://dx.doi.org/10.1038/nature24458")</f>
        <v>http://dx.doi.org/10.1038/nature24458</v>
      </c>
      <c r="BG6" t="s">
        <v>74</v>
      </c>
      <c r="BH6" t="s">
        <v>74</v>
      </c>
      <c r="BI6">
        <v>13</v>
      </c>
      <c r="BJ6" t="s">
        <v>190</v>
      </c>
      <c r="BK6" t="s">
        <v>101</v>
      </c>
      <c r="BL6" t="s">
        <v>191</v>
      </c>
      <c r="BM6" t="s">
        <v>192</v>
      </c>
      <c r="BN6">
        <v>29072274</v>
      </c>
      <c r="BO6" t="s">
        <v>193</v>
      </c>
      <c r="BP6" t="s">
        <v>74</v>
      </c>
      <c r="BQ6" t="s">
        <v>74</v>
      </c>
      <c r="BR6" t="s">
        <v>105</v>
      </c>
      <c r="BS6" t="s">
        <v>194</v>
      </c>
      <c r="BT6" t="str">
        <f>HYPERLINK("https%3A%2F%2Fwww.webofscience.com%2Fwos%2Fwoscc%2Ffull-record%2FWOS:000413697800040","View Full Record in Web of Science")</f>
        <v>View Full Record in Web of Science</v>
      </c>
    </row>
    <row r="7" spans="1:72" x14ac:dyDescent="0.15">
      <c r="A7" t="s">
        <v>72</v>
      </c>
      <c r="B7" t="s">
        <v>195</v>
      </c>
      <c r="C7" t="s">
        <v>74</v>
      </c>
      <c r="D7" t="s">
        <v>74</v>
      </c>
      <c r="E7" t="s">
        <v>74</v>
      </c>
      <c r="F7" t="s">
        <v>196</v>
      </c>
      <c r="G7" t="s">
        <v>74</v>
      </c>
      <c r="H7" t="s">
        <v>74</v>
      </c>
      <c r="I7" t="s">
        <v>197</v>
      </c>
      <c r="J7" t="s">
        <v>198</v>
      </c>
      <c r="K7" t="s">
        <v>74</v>
      </c>
      <c r="L7" t="s">
        <v>74</v>
      </c>
      <c r="M7" t="s">
        <v>78</v>
      </c>
      <c r="N7" t="s">
        <v>79</v>
      </c>
      <c r="O7" t="s">
        <v>74</v>
      </c>
      <c r="P7" t="s">
        <v>74</v>
      </c>
      <c r="Q7" t="s">
        <v>74</v>
      </c>
      <c r="R7" t="s">
        <v>74</v>
      </c>
      <c r="S7" t="s">
        <v>74</v>
      </c>
      <c r="T7" t="s">
        <v>199</v>
      </c>
      <c r="U7" t="s">
        <v>200</v>
      </c>
      <c r="V7" t="s">
        <v>201</v>
      </c>
      <c r="W7" t="s">
        <v>202</v>
      </c>
      <c r="X7" t="s">
        <v>203</v>
      </c>
      <c r="Y7" t="s">
        <v>204</v>
      </c>
      <c r="Z7" t="s">
        <v>205</v>
      </c>
      <c r="AA7" t="s">
        <v>74</v>
      </c>
      <c r="AB7" t="s">
        <v>74</v>
      </c>
      <c r="AC7" t="s">
        <v>206</v>
      </c>
      <c r="AD7" t="s">
        <v>203</v>
      </c>
      <c r="AE7" t="s">
        <v>207</v>
      </c>
      <c r="AF7" t="s">
        <v>74</v>
      </c>
      <c r="AG7">
        <v>65</v>
      </c>
      <c r="AH7">
        <v>1</v>
      </c>
      <c r="AI7">
        <v>1</v>
      </c>
      <c r="AJ7">
        <v>1</v>
      </c>
      <c r="AK7">
        <v>11</v>
      </c>
      <c r="AL7" t="s">
        <v>208</v>
      </c>
      <c r="AM7" t="s">
        <v>209</v>
      </c>
      <c r="AN7" t="s">
        <v>210</v>
      </c>
      <c r="AO7" t="s">
        <v>211</v>
      </c>
      <c r="AP7" t="s">
        <v>212</v>
      </c>
      <c r="AQ7" t="s">
        <v>74</v>
      </c>
      <c r="AR7" t="s">
        <v>213</v>
      </c>
      <c r="AS7" t="s">
        <v>214</v>
      </c>
      <c r="AT7" t="s">
        <v>215</v>
      </c>
      <c r="AU7">
        <v>2017</v>
      </c>
      <c r="AV7">
        <v>136</v>
      </c>
      <c r="AW7">
        <v>11</v>
      </c>
      <c r="AX7" t="s">
        <v>74</v>
      </c>
      <c r="AY7" t="s">
        <v>74</v>
      </c>
      <c r="AZ7" t="s">
        <v>74</v>
      </c>
      <c r="BA7" t="s">
        <v>74</v>
      </c>
      <c r="BB7" t="s">
        <v>74</v>
      </c>
      <c r="BC7" t="s">
        <v>74</v>
      </c>
      <c r="BD7">
        <v>132</v>
      </c>
      <c r="BE7" t="s">
        <v>216</v>
      </c>
      <c r="BF7" t="str">
        <f>HYPERLINK("http://dx.doi.org/10.1007/s00214-017-2163-2","http://dx.doi.org/10.1007/s00214-017-2163-2")</f>
        <v>http://dx.doi.org/10.1007/s00214-017-2163-2</v>
      </c>
      <c r="BG7" t="s">
        <v>74</v>
      </c>
      <c r="BH7" t="s">
        <v>74</v>
      </c>
      <c r="BI7">
        <v>13</v>
      </c>
      <c r="BJ7" t="s">
        <v>217</v>
      </c>
      <c r="BK7" t="s">
        <v>101</v>
      </c>
      <c r="BL7" t="s">
        <v>218</v>
      </c>
      <c r="BM7" t="s">
        <v>219</v>
      </c>
      <c r="BN7" t="s">
        <v>74</v>
      </c>
      <c r="BO7" t="s">
        <v>74</v>
      </c>
      <c r="BP7" t="s">
        <v>74</v>
      </c>
      <c r="BQ7" t="s">
        <v>74</v>
      </c>
      <c r="BR7" t="s">
        <v>105</v>
      </c>
      <c r="BS7" t="s">
        <v>220</v>
      </c>
      <c r="BT7" t="str">
        <f>HYPERLINK("https%3A%2F%2Fwww.webofscience.com%2Fwos%2Fwoscc%2Ffull-record%2FWOS:000413703100001","View Full Record in Web of Science")</f>
        <v>View Full Record in Web of Science</v>
      </c>
    </row>
    <row r="8" spans="1:72" x14ac:dyDescent="0.15">
      <c r="A8" t="s">
        <v>72</v>
      </c>
      <c r="B8" t="s">
        <v>221</v>
      </c>
      <c r="C8" t="s">
        <v>74</v>
      </c>
      <c r="D8" t="s">
        <v>74</v>
      </c>
      <c r="E8" t="s">
        <v>74</v>
      </c>
      <c r="F8" t="s">
        <v>222</v>
      </c>
      <c r="G8" t="s">
        <v>74</v>
      </c>
      <c r="H8" t="s">
        <v>74</v>
      </c>
      <c r="I8" t="s">
        <v>223</v>
      </c>
      <c r="J8" t="s">
        <v>224</v>
      </c>
      <c r="K8" t="s">
        <v>74</v>
      </c>
      <c r="L8" t="s">
        <v>74</v>
      </c>
      <c r="M8" t="s">
        <v>78</v>
      </c>
      <c r="N8" t="s">
        <v>79</v>
      </c>
      <c r="O8" t="s">
        <v>74</v>
      </c>
      <c r="P8" t="s">
        <v>74</v>
      </c>
      <c r="Q8" t="s">
        <v>74</v>
      </c>
      <c r="R8" t="s">
        <v>74</v>
      </c>
      <c r="S8" t="s">
        <v>74</v>
      </c>
      <c r="T8" t="s">
        <v>74</v>
      </c>
      <c r="U8" t="s">
        <v>225</v>
      </c>
      <c r="V8" t="s">
        <v>226</v>
      </c>
      <c r="W8" t="s">
        <v>227</v>
      </c>
      <c r="X8" t="s">
        <v>228</v>
      </c>
      <c r="Y8" t="s">
        <v>229</v>
      </c>
      <c r="Z8" t="s">
        <v>230</v>
      </c>
      <c r="AA8" t="s">
        <v>74</v>
      </c>
      <c r="AB8" t="s">
        <v>74</v>
      </c>
      <c r="AC8" t="s">
        <v>74</v>
      </c>
      <c r="AD8" t="s">
        <v>74</v>
      </c>
      <c r="AE8" t="s">
        <v>74</v>
      </c>
      <c r="AF8" t="s">
        <v>74</v>
      </c>
      <c r="AG8">
        <v>27</v>
      </c>
      <c r="AH8">
        <v>6</v>
      </c>
      <c r="AI8">
        <v>6</v>
      </c>
      <c r="AJ8">
        <v>0</v>
      </c>
      <c r="AK8">
        <v>7</v>
      </c>
      <c r="AL8" t="s">
        <v>231</v>
      </c>
      <c r="AM8" t="s">
        <v>92</v>
      </c>
      <c r="AN8" t="s">
        <v>232</v>
      </c>
      <c r="AO8" t="s">
        <v>233</v>
      </c>
      <c r="AP8" t="s">
        <v>234</v>
      </c>
      <c r="AQ8" t="s">
        <v>74</v>
      </c>
      <c r="AR8" t="s">
        <v>235</v>
      </c>
      <c r="AS8" t="s">
        <v>236</v>
      </c>
      <c r="AT8" t="s">
        <v>237</v>
      </c>
      <c r="AU8">
        <v>2017</v>
      </c>
      <c r="AV8">
        <v>130</v>
      </c>
      <c r="AW8">
        <v>1</v>
      </c>
      <c r="AX8" t="s">
        <v>74</v>
      </c>
      <c r="AY8" t="s">
        <v>74</v>
      </c>
      <c r="AZ8" t="s">
        <v>74</v>
      </c>
      <c r="BA8" t="s">
        <v>74</v>
      </c>
      <c r="BB8">
        <v>98</v>
      </c>
      <c r="BC8">
        <v>107</v>
      </c>
      <c r="BD8" t="s">
        <v>74</v>
      </c>
      <c r="BE8" t="s">
        <v>238</v>
      </c>
      <c r="BF8" t="str">
        <f>HYPERLINK("http://dx.doi.org/10.2988/16-00009","http://dx.doi.org/10.2988/16-00009")</f>
        <v>http://dx.doi.org/10.2988/16-00009</v>
      </c>
      <c r="BG8" t="s">
        <v>74</v>
      </c>
      <c r="BH8" t="s">
        <v>74</v>
      </c>
      <c r="BI8">
        <v>10</v>
      </c>
      <c r="BJ8" t="s">
        <v>239</v>
      </c>
      <c r="BK8" t="s">
        <v>101</v>
      </c>
      <c r="BL8" t="s">
        <v>240</v>
      </c>
      <c r="BM8" t="s">
        <v>241</v>
      </c>
      <c r="BN8" t="s">
        <v>74</v>
      </c>
      <c r="BO8" t="s">
        <v>74</v>
      </c>
      <c r="BP8" t="s">
        <v>74</v>
      </c>
      <c r="BQ8" t="s">
        <v>74</v>
      </c>
      <c r="BR8" t="s">
        <v>105</v>
      </c>
      <c r="BS8" t="s">
        <v>242</v>
      </c>
      <c r="BT8" t="str">
        <f>HYPERLINK("https%3A%2F%2Fwww.webofscience.com%2Fwos%2Fwoscc%2Ffull-record%2FWOS:000413543800001","View Full Record in Web of Science")</f>
        <v>View Full Record in Web of Science</v>
      </c>
    </row>
    <row r="9" spans="1:72" x14ac:dyDescent="0.15">
      <c r="A9" t="s">
        <v>72</v>
      </c>
      <c r="B9" t="s">
        <v>243</v>
      </c>
      <c r="C9" t="s">
        <v>74</v>
      </c>
      <c r="D9" t="s">
        <v>74</v>
      </c>
      <c r="E9" t="s">
        <v>74</v>
      </c>
      <c r="F9" t="s">
        <v>244</v>
      </c>
      <c r="G9" t="s">
        <v>74</v>
      </c>
      <c r="H9" t="s">
        <v>74</v>
      </c>
      <c r="I9" t="s">
        <v>245</v>
      </c>
      <c r="J9" t="s">
        <v>246</v>
      </c>
      <c r="K9" t="s">
        <v>74</v>
      </c>
      <c r="L9" t="s">
        <v>74</v>
      </c>
      <c r="M9" t="s">
        <v>78</v>
      </c>
      <c r="N9" t="s">
        <v>79</v>
      </c>
      <c r="O9" t="s">
        <v>74</v>
      </c>
      <c r="P9" t="s">
        <v>74</v>
      </c>
      <c r="Q9" t="s">
        <v>74</v>
      </c>
      <c r="R9" t="s">
        <v>74</v>
      </c>
      <c r="S9" t="s">
        <v>74</v>
      </c>
      <c r="T9" t="s">
        <v>247</v>
      </c>
      <c r="U9" t="s">
        <v>248</v>
      </c>
      <c r="V9" t="s">
        <v>249</v>
      </c>
      <c r="W9" t="s">
        <v>250</v>
      </c>
      <c r="X9" t="s">
        <v>251</v>
      </c>
      <c r="Y9" t="s">
        <v>252</v>
      </c>
      <c r="Z9" t="s">
        <v>253</v>
      </c>
      <c r="AA9" t="s">
        <v>254</v>
      </c>
      <c r="AB9" t="s">
        <v>255</v>
      </c>
      <c r="AC9" t="s">
        <v>256</v>
      </c>
      <c r="AD9" t="s">
        <v>257</v>
      </c>
      <c r="AE9" t="s">
        <v>258</v>
      </c>
      <c r="AF9" t="s">
        <v>74</v>
      </c>
      <c r="AG9">
        <v>69</v>
      </c>
      <c r="AH9">
        <v>32</v>
      </c>
      <c r="AI9">
        <v>33</v>
      </c>
      <c r="AJ9">
        <v>1</v>
      </c>
      <c r="AK9">
        <v>47</v>
      </c>
      <c r="AL9" t="s">
        <v>259</v>
      </c>
      <c r="AM9" t="s">
        <v>182</v>
      </c>
      <c r="AN9" t="s">
        <v>260</v>
      </c>
      <c r="AO9" t="s">
        <v>261</v>
      </c>
      <c r="AP9" t="s">
        <v>74</v>
      </c>
      <c r="AQ9" t="s">
        <v>74</v>
      </c>
      <c r="AR9" t="s">
        <v>246</v>
      </c>
      <c r="AS9" t="s">
        <v>262</v>
      </c>
      <c r="AT9" t="s">
        <v>263</v>
      </c>
      <c r="AU9">
        <v>2017</v>
      </c>
      <c r="AV9">
        <v>18</v>
      </c>
      <c r="AW9" t="s">
        <v>74</v>
      </c>
      <c r="AX9" t="s">
        <v>74</v>
      </c>
      <c r="AY9" t="s">
        <v>74</v>
      </c>
      <c r="AZ9" t="s">
        <v>74</v>
      </c>
      <c r="BA9" t="s">
        <v>74</v>
      </c>
      <c r="BB9" t="s">
        <v>74</v>
      </c>
      <c r="BC9" t="s">
        <v>74</v>
      </c>
      <c r="BD9">
        <v>812</v>
      </c>
      <c r="BE9" t="s">
        <v>264</v>
      </c>
      <c r="BF9" t="str">
        <f>HYPERLINK("http://dx.doi.org/10.1186/s12864-017-4161-0","http://dx.doi.org/10.1186/s12864-017-4161-0")</f>
        <v>http://dx.doi.org/10.1186/s12864-017-4161-0</v>
      </c>
      <c r="BG9" t="s">
        <v>74</v>
      </c>
      <c r="BH9" t="s">
        <v>74</v>
      </c>
      <c r="BI9">
        <v>16</v>
      </c>
      <c r="BJ9" t="s">
        <v>265</v>
      </c>
      <c r="BK9" t="s">
        <v>101</v>
      </c>
      <c r="BL9" t="s">
        <v>265</v>
      </c>
      <c r="BM9" t="s">
        <v>266</v>
      </c>
      <c r="BN9">
        <v>29061120</v>
      </c>
      <c r="BO9" t="s">
        <v>267</v>
      </c>
      <c r="BP9" t="s">
        <v>74</v>
      </c>
      <c r="BQ9" t="s">
        <v>74</v>
      </c>
      <c r="BR9" t="s">
        <v>105</v>
      </c>
      <c r="BS9" t="s">
        <v>268</v>
      </c>
      <c r="BT9" t="str">
        <f>HYPERLINK("https%3A%2F%2Fwww.webofscience.com%2Fwos%2Fwoscc%2Ffull-record%2FWOS:000413467900006","View Full Record in Web of Science")</f>
        <v>View Full Record in Web of Science</v>
      </c>
    </row>
    <row r="10" spans="1:72" x14ac:dyDescent="0.15">
      <c r="A10" t="s">
        <v>72</v>
      </c>
      <c r="B10" t="s">
        <v>269</v>
      </c>
      <c r="C10" t="s">
        <v>74</v>
      </c>
      <c r="D10" t="s">
        <v>74</v>
      </c>
      <c r="E10" t="s">
        <v>74</v>
      </c>
      <c r="F10" t="s">
        <v>270</v>
      </c>
      <c r="G10" t="s">
        <v>74</v>
      </c>
      <c r="H10" t="s">
        <v>74</v>
      </c>
      <c r="I10" t="s">
        <v>271</v>
      </c>
      <c r="J10" t="s">
        <v>272</v>
      </c>
      <c r="K10" t="s">
        <v>74</v>
      </c>
      <c r="L10" t="s">
        <v>74</v>
      </c>
      <c r="M10" t="s">
        <v>78</v>
      </c>
      <c r="N10" t="s">
        <v>273</v>
      </c>
      <c r="O10" t="s">
        <v>74</v>
      </c>
      <c r="P10" t="s">
        <v>74</v>
      </c>
      <c r="Q10" t="s">
        <v>74</v>
      </c>
      <c r="R10" t="s">
        <v>74</v>
      </c>
      <c r="S10" t="s">
        <v>74</v>
      </c>
      <c r="T10" t="s">
        <v>74</v>
      </c>
      <c r="U10" t="s">
        <v>274</v>
      </c>
      <c r="V10" t="s">
        <v>275</v>
      </c>
      <c r="W10" t="s">
        <v>276</v>
      </c>
      <c r="X10" t="s">
        <v>277</v>
      </c>
      <c r="Y10" t="s">
        <v>278</v>
      </c>
      <c r="Z10" t="s">
        <v>279</v>
      </c>
      <c r="AA10" t="s">
        <v>280</v>
      </c>
      <c r="AB10" t="s">
        <v>281</v>
      </c>
      <c r="AC10" t="s">
        <v>282</v>
      </c>
      <c r="AD10" t="s">
        <v>283</v>
      </c>
      <c r="AE10" t="s">
        <v>284</v>
      </c>
      <c r="AF10" t="s">
        <v>74</v>
      </c>
      <c r="AG10">
        <v>184</v>
      </c>
      <c r="AH10">
        <v>194</v>
      </c>
      <c r="AI10">
        <v>201</v>
      </c>
      <c r="AJ10">
        <v>6</v>
      </c>
      <c r="AK10">
        <v>208</v>
      </c>
      <c r="AL10" t="s">
        <v>285</v>
      </c>
      <c r="AM10" t="s">
        <v>286</v>
      </c>
      <c r="AN10" t="s">
        <v>287</v>
      </c>
      <c r="AO10" t="s">
        <v>288</v>
      </c>
      <c r="AP10" t="s">
        <v>289</v>
      </c>
      <c r="AQ10" t="s">
        <v>74</v>
      </c>
      <c r="AR10" t="s">
        <v>290</v>
      </c>
      <c r="AS10" t="s">
        <v>291</v>
      </c>
      <c r="AT10" t="s">
        <v>292</v>
      </c>
      <c r="AU10">
        <v>2017</v>
      </c>
      <c r="AV10">
        <v>7</v>
      </c>
      <c r="AW10">
        <v>20</v>
      </c>
      <c r="AX10" t="s">
        <v>74</v>
      </c>
      <c r="AY10" t="s">
        <v>74</v>
      </c>
      <c r="AZ10" t="s">
        <v>74</v>
      </c>
      <c r="BA10" t="s">
        <v>74</v>
      </c>
      <c r="BB10">
        <v>4548</v>
      </c>
      <c r="BC10">
        <v>4569</v>
      </c>
      <c r="BD10" t="s">
        <v>74</v>
      </c>
      <c r="BE10" t="s">
        <v>293</v>
      </c>
      <c r="BF10" t="str">
        <f>HYPERLINK("http://dx.doi.org/10.1039/c7cy00468k","http://dx.doi.org/10.1039/c7cy00468k")</f>
        <v>http://dx.doi.org/10.1039/c7cy00468k</v>
      </c>
      <c r="BG10" t="s">
        <v>74</v>
      </c>
      <c r="BH10" t="s">
        <v>74</v>
      </c>
      <c r="BI10">
        <v>22</v>
      </c>
      <c r="BJ10" t="s">
        <v>217</v>
      </c>
      <c r="BK10" t="s">
        <v>101</v>
      </c>
      <c r="BL10" t="s">
        <v>218</v>
      </c>
      <c r="BM10" t="s">
        <v>294</v>
      </c>
      <c r="BN10" t="s">
        <v>74</v>
      </c>
      <c r="BO10" t="s">
        <v>74</v>
      </c>
      <c r="BP10" t="s">
        <v>74</v>
      </c>
      <c r="BQ10" t="s">
        <v>74</v>
      </c>
      <c r="BR10" t="s">
        <v>105</v>
      </c>
      <c r="BS10" t="s">
        <v>295</v>
      </c>
      <c r="BT10" t="str">
        <f>HYPERLINK("https%3A%2F%2Fwww.webofscience.com%2Fwos%2Fwoscc%2Ffull-record%2FWOS:000413192900001","View Full Record in Web of Science")</f>
        <v>View Full Record in Web of Science</v>
      </c>
    </row>
    <row r="11" spans="1:72" x14ac:dyDescent="0.15">
      <c r="A11" t="s">
        <v>72</v>
      </c>
      <c r="B11" t="s">
        <v>296</v>
      </c>
      <c r="C11" t="s">
        <v>74</v>
      </c>
      <c r="D11" t="s">
        <v>74</v>
      </c>
      <c r="E11" t="s">
        <v>74</v>
      </c>
      <c r="F11" t="s">
        <v>297</v>
      </c>
      <c r="G11" t="s">
        <v>74</v>
      </c>
      <c r="H11" t="s">
        <v>74</v>
      </c>
      <c r="I11" t="s">
        <v>298</v>
      </c>
      <c r="J11" t="s">
        <v>299</v>
      </c>
      <c r="K11" t="s">
        <v>74</v>
      </c>
      <c r="L11" t="s">
        <v>74</v>
      </c>
      <c r="M11" t="s">
        <v>78</v>
      </c>
      <c r="N11" t="s">
        <v>79</v>
      </c>
      <c r="O11" t="s">
        <v>74</v>
      </c>
      <c r="P11" t="s">
        <v>74</v>
      </c>
      <c r="Q11" t="s">
        <v>74</v>
      </c>
      <c r="R11" t="s">
        <v>74</v>
      </c>
      <c r="S11" t="s">
        <v>74</v>
      </c>
      <c r="T11" t="s">
        <v>74</v>
      </c>
      <c r="U11" t="s">
        <v>300</v>
      </c>
      <c r="V11" t="s">
        <v>301</v>
      </c>
      <c r="W11" t="s">
        <v>302</v>
      </c>
      <c r="X11" t="s">
        <v>303</v>
      </c>
      <c r="Y11" t="s">
        <v>304</v>
      </c>
      <c r="Z11" t="s">
        <v>305</v>
      </c>
      <c r="AA11" t="s">
        <v>306</v>
      </c>
      <c r="AB11" t="s">
        <v>307</v>
      </c>
      <c r="AC11" t="s">
        <v>308</v>
      </c>
      <c r="AD11" t="s">
        <v>309</v>
      </c>
      <c r="AE11" t="s">
        <v>310</v>
      </c>
      <c r="AF11" t="s">
        <v>74</v>
      </c>
      <c r="AG11">
        <v>68</v>
      </c>
      <c r="AH11">
        <v>12</v>
      </c>
      <c r="AI11">
        <v>12</v>
      </c>
      <c r="AJ11">
        <v>1</v>
      </c>
      <c r="AK11">
        <v>17</v>
      </c>
      <c r="AL11" t="s">
        <v>311</v>
      </c>
      <c r="AM11" t="s">
        <v>312</v>
      </c>
      <c r="AN11" t="s">
        <v>313</v>
      </c>
      <c r="AO11" t="s">
        <v>314</v>
      </c>
      <c r="AP11" t="s">
        <v>315</v>
      </c>
      <c r="AQ11" t="s">
        <v>74</v>
      </c>
      <c r="AR11" t="s">
        <v>299</v>
      </c>
      <c r="AS11" t="s">
        <v>316</v>
      </c>
      <c r="AT11" t="s">
        <v>317</v>
      </c>
      <c r="AU11">
        <v>2017</v>
      </c>
      <c r="AV11">
        <v>11</v>
      </c>
      <c r="AW11">
        <v>5</v>
      </c>
      <c r="AX11" t="s">
        <v>74</v>
      </c>
      <c r="AY11" t="s">
        <v>74</v>
      </c>
      <c r="AZ11" t="s">
        <v>74</v>
      </c>
      <c r="BA11" t="s">
        <v>74</v>
      </c>
      <c r="BB11">
        <v>2345</v>
      </c>
      <c r="BC11">
        <v>2361</v>
      </c>
      <c r="BD11" t="s">
        <v>74</v>
      </c>
      <c r="BE11" t="s">
        <v>318</v>
      </c>
      <c r="BF11" t="str">
        <f>HYPERLINK("http://dx.doi.org/10.5194/tc-11-2345-2017","http://dx.doi.org/10.5194/tc-11-2345-2017")</f>
        <v>http://dx.doi.org/10.5194/tc-11-2345-2017</v>
      </c>
      <c r="BG11" t="s">
        <v>74</v>
      </c>
      <c r="BH11" t="s">
        <v>74</v>
      </c>
      <c r="BI11">
        <v>17</v>
      </c>
      <c r="BJ11" t="s">
        <v>319</v>
      </c>
      <c r="BK11" t="s">
        <v>101</v>
      </c>
      <c r="BL11" t="s">
        <v>320</v>
      </c>
      <c r="BM11" t="s">
        <v>321</v>
      </c>
      <c r="BN11" t="s">
        <v>74</v>
      </c>
      <c r="BO11" t="s">
        <v>322</v>
      </c>
      <c r="BP11" t="s">
        <v>74</v>
      </c>
      <c r="BQ11" t="s">
        <v>74</v>
      </c>
      <c r="BR11" t="s">
        <v>105</v>
      </c>
      <c r="BS11" t="s">
        <v>323</v>
      </c>
      <c r="BT11" t="str">
        <f>HYPERLINK("https%3A%2F%2Fwww.webofscience.com%2Fwos%2Fwoscc%2Ffull-record%2FWOS:000413310000001","View Full Record in Web of Science")</f>
        <v>View Full Record in Web of Science</v>
      </c>
    </row>
    <row r="12" spans="1:72" x14ac:dyDescent="0.15">
      <c r="A12" t="s">
        <v>72</v>
      </c>
      <c r="B12" t="s">
        <v>324</v>
      </c>
      <c r="C12" t="s">
        <v>74</v>
      </c>
      <c r="D12" t="s">
        <v>74</v>
      </c>
      <c r="E12" t="s">
        <v>74</v>
      </c>
      <c r="F12" t="s">
        <v>325</v>
      </c>
      <c r="G12" t="s">
        <v>74</v>
      </c>
      <c r="H12" t="s">
        <v>326</v>
      </c>
      <c r="I12" t="s">
        <v>327</v>
      </c>
      <c r="J12" t="s">
        <v>328</v>
      </c>
      <c r="K12" t="s">
        <v>74</v>
      </c>
      <c r="L12" t="s">
        <v>74</v>
      </c>
      <c r="M12" t="s">
        <v>78</v>
      </c>
      <c r="N12" t="s">
        <v>79</v>
      </c>
      <c r="O12" t="s">
        <v>74</v>
      </c>
      <c r="P12" t="s">
        <v>74</v>
      </c>
      <c r="Q12" t="s">
        <v>74</v>
      </c>
      <c r="R12" t="s">
        <v>74</v>
      </c>
      <c r="S12" t="s">
        <v>74</v>
      </c>
      <c r="T12" t="s">
        <v>329</v>
      </c>
      <c r="U12" t="s">
        <v>330</v>
      </c>
      <c r="V12" t="s">
        <v>331</v>
      </c>
      <c r="W12" t="s">
        <v>332</v>
      </c>
      <c r="X12" t="s">
        <v>333</v>
      </c>
      <c r="Y12" t="s">
        <v>334</v>
      </c>
      <c r="Z12" t="s">
        <v>74</v>
      </c>
      <c r="AA12" t="s">
        <v>335</v>
      </c>
      <c r="AB12" t="s">
        <v>336</v>
      </c>
      <c r="AC12" t="s">
        <v>337</v>
      </c>
      <c r="AD12" t="s">
        <v>338</v>
      </c>
      <c r="AE12" t="s">
        <v>339</v>
      </c>
      <c r="AF12" t="s">
        <v>74</v>
      </c>
      <c r="AG12">
        <v>277</v>
      </c>
      <c r="AH12">
        <v>2125</v>
      </c>
      <c r="AI12">
        <v>2341</v>
      </c>
      <c r="AJ12">
        <v>54</v>
      </c>
      <c r="AK12">
        <v>1057</v>
      </c>
      <c r="AL12" t="s">
        <v>340</v>
      </c>
      <c r="AM12" t="s">
        <v>341</v>
      </c>
      <c r="AN12" t="s">
        <v>342</v>
      </c>
      <c r="AO12" t="s">
        <v>343</v>
      </c>
      <c r="AP12" t="s">
        <v>344</v>
      </c>
      <c r="AQ12" t="s">
        <v>74</v>
      </c>
      <c r="AR12" t="s">
        <v>345</v>
      </c>
      <c r="AS12" t="s">
        <v>346</v>
      </c>
      <c r="AT12" t="s">
        <v>317</v>
      </c>
      <c r="AU12">
        <v>2017</v>
      </c>
      <c r="AV12">
        <v>848</v>
      </c>
      <c r="AW12">
        <v>2</v>
      </c>
      <c r="AX12" t="s">
        <v>74</v>
      </c>
      <c r="AY12" t="s">
        <v>74</v>
      </c>
      <c r="AZ12" t="s">
        <v>74</v>
      </c>
      <c r="BA12" t="s">
        <v>74</v>
      </c>
      <c r="BB12" t="s">
        <v>74</v>
      </c>
      <c r="BC12" t="s">
        <v>74</v>
      </c>
      <c r="BD12" t="s">
        <v>347</v>
      </c>
      <c r="BE12" t="s">
        <v>348</v>
      </c>
      <c r="BF12" t="str">
        <f>HYPERLINK("http://dx.doi.org/10.3847/2041-8213/aa91c9","http://dx.doi.org/10.3847/2041-8213/aa91c9")</f>
        <v>http://dx.doi.org/10.3847/2041-8213/aa91c9</v>
      </c>
      <c r="BG12" t="s">
        <v>74</v>
      </c>
      <c r="BH12" t="s">
        <v>74</v>
      </c>
      <c r="BI12">
        <v>59</v>
      </c>
      <c r="BJ12" t="s">
        <v>349</v>
      </c>
      <c r="BK12" t="s">
        <v>101</v>
      </c>
      <c r="BL12" t="s">
        <v>349</v>
      </c>
      <c r="BM12" t="s">
        <v>350</v>
      </c>
      <c r="BN12" t="s">
        <v>74</v>
      </c>
      <c r="BO12" t="s">
        <v>351</v>
      </c>
      <c r="BP12" t="s">
        <v>352</v>
      </c>
      <c r="BQ12" t="s">
        <v>353</v>
      </c>
      <c r="BR12" t="s">
        <v>105</v>
      </c>
      <c r="BS12" t="s">
        <v>354</v>
      </c>
      <c r="BT12" t="str">
        <f>HYPERLINK("https%3A%2F%2Fwww.webofscience.com%2Fwos%2Fwoscc%2Ffull-record%2FWOS:000413211000001","View Full Record in Web of Science")</f>
        <v>View Full Record in Web of Science</v>
      </c>
    </row>
    <row r="13" spans="1:72" x14ac:dyDescent="0.15">
      <c r="A13" t="s">
        <v>72</v>
      </c>
      <c r="B13" t="s">
        <v>355</v>
      </c>
      <c r="C13" t="s">
        <v>74</v>
      </c>
      <c r="D13" t="s">
        <v>74</v>
      </c>
      <c r="E13" t="s">
        <v>74</v>
      </c>
      <c r="F13" t="s">
        <v>356</v>
      </c>
      <c r="G13" t="s">
        <v>74</v>
      </c>
      <c r="H13" t="s">
        <v>74</v>
      </c>
      <c r="I13" t="s">
        <v>357</v>
      </c>
      <c r="J13" t="s">
        <v>358</v>
      </c>
      <c r="K13" t="s">
        <v>74</v>
      </c>
      <c r="L13" t="s">
        <v>74</v>
      </c>
      <c r="M13" t="s">
        <v>78</v>
      </c>
      <c r="N13" t="s">
        <v>79</v>
      </c>
      <c r="O13" t="s">
        <v>74</v>
      </c>
      <c r="P13" t="s">
        <v>74</v>
      </c>
      <c r="Q13" t="s">
        <v>74</v>
      </c>
      <c r="R13" t="s">
        <v>74</v>
      </c>
      <c r="S13" t="s">
        <v>74</v>
      </c>
      <c r="T13" t="s">
        <v>359</v>
      </c>
      <c r="U13" t="s">
        <v>360</v>
      </c>
      <c r="V13" t="s">
        <v>361</v>
      </c>
      <c r="W13" t="s">
        <v>362</v>
      </c>
      <c r="X13" t="s">
        <v>363</v>
      </c>
      <c r="Y13" t="s">
        <v>364</v>
      </c>
      <c r="Z13" t="s">
        <v>365</v>
      </c>
      <c r="AA13" t="s">
        <v>366</v>
      </c>
      <c r="AB13" t="s">
        <v>367</v>
      </c>
      <c r="AC13" t="s">
        <v>368</v>
      </c>
      <c r="AD13" t="s">
        <v>369</v>
      </c>
      <c r="AE13" t="s">
        <v>370</v>
      </c>
      <c r="AF13" t="s">
        <v>74</v>
      </c>
      <c r="AG13">
        <v>97</v>
      </c>
      <c r="AH13">
        <v>17</v>
      </c>
      <c r="AI13">
        <v>17</v>
      </c>
      <c r="AJ13">
        <v>2</v>
      </c>
      <c r="AK13">
        <v>41</v>
      </c>
      <c r="AL13" t="s">
        <v>371</v>
      </c>
      <c r="AM13" t="s">
        <v>372</v>
      </c>
      <c r="AN13" t="s">
        <v>373</v>
      </c>
      <c r="AO13" t="s">
        <v>374</v>
      </c>
      <c r="AP13" t="s">
        <v>375</v>
      </c>
      <c r="AQ13" t="s">
        <v>74</v>
      </c>
      <c r="AR13" t="s">
        <v>376</v>
      </c>
      <c r="AS13" t="s">
        <v>377</v>
      </c>
      <c r="AT13" t="s">
        <v>317</v>
      </c>
      <c r="AU13">
        <v>2017</v>
      </c>
      <c r="AV13">
        <v>195</v>
      </c>
      <c r="AW13" t="s">
        <v>74</v>
      </c>
      <c r="AX13" t="s">
        <v>74</v>
      </c>
      <c r="AY13" t="s">
        <v>74</v>
      </c>
      <c r="AZ13" t="s">
        <v>74</v>
      </c>
      <c r="BA13" t="s">
        <v>74</v>
      </c>
      <c r="BB13">
        <v>105</v>
      </c>
      <c r="BC13">
        <v>121</v>
      </c>
      <c r="BD13" t="s">
        <v>74</v>
      </c>
      <c r="BE13" t="s">
        <v>378</v>
      </c>
      <c r="BF13" t="str">
        <f>HYPERLINK("http://dx.doi.org/10.1016/j.marchem.2017.06.010","http://dx.doi.org/10.1016/j.marchem.2017.06.010")</f>
        <v>http://dx.doi.org/10.1016/j.marchem.2017.06.010</v>
      </c>
      <c r="BG13" t="s">
        <v>74</v>
      </c>
      <c r="BH13" t="s">
        <v>74</v>
      </c>
      <c r="BI13">
        <v>17</v>
      </c>
      <c r="BJ13" t="s">
        <v>379</v>
      </c>
      <c r="BK13" t="s">
        <v>101</v>
      </c>
      <c r="BL13" t="s">
        <v>380</v>
      </c>
      <c r="BM13" t="s">
        <v>381</v>
      </c>
      <c r="BN13" t="s">
        <v>74</v>
      </c>
      <c r="BO13" t="s">
        <v>382</v>
      </c>
      <c r="BP13" t="s">
        <v>74</v>
      </c>
      <c r="BQ13" t="s">
        <v>74</v>
      </c>
      <c r="BR13" t="s">
        <v>105</v>
      </c>
      <c r="BS13" t="s">
        <v>383</v>
      </c>
      <c r="BT13" t="str">
        <f>HYPERLINK("https%3A%2F%2Fwww.webofscience.com%2Fwos%2Fwoscc%2Ffull-record%2FWOS:000412786800012","View Full Record in Web of Science")</f>
        <v>View Full Record in Web of Science</v>
      </c>
    </row>
    <row r="14" spans="1:72" x14ac:dyDescent="0.15">
      <c r="A14" t="s">
        <v>72</v>
      </c>
      <c r="B14" t="s">
        <v>384</v>
      </c>
      <c r="C14" t="s">
        <v>74</v>
      </c>
      <c r="D14" t="s">
        <v>74</v>
      </c>
      <c r="E14" t="s">
        <v>74</v>
      </c>
      <c r="F14" t="s">
        <v>385</v>
      </c>
      <c r="G14" t="s">
        <v>74</v>
      </c>
      <c r="H14" t="s">
        <v>74</v>
      </c>
      <c r="I14" t="s">
        <v>386</v>
      </c>
      <c r="J14" t="s">
        <v>387</v>
      </c>
      <c r="K14" t="s">
        <v>74</v>
      </c>
      <c r="L14" t="s">
        <v>74</v>
      </c>
      <c r="M14" t="s">
        <v>78</v>
      </c>
      <c r="N14" t="s">
        <v>79</v>
      </c>
      <c r="O14" t="s">
        <v>74</v>
      </c>
      <c r="P14" t="s">
        <v>74</v>
      </c>
      <c r="Q14" t="s">
        <v>74</v>
      </c>
      <c r="R14" t="s">
        <v>74</v>
      </c>
      <c r="S14" t="s">
        <v>74</v>
      </c>
      <c r="T14" t="s">
        <v>74</v>
      </c>
      <c r="U14" t="s">
        <v>388</v>
      </c>
      <c r="V14" t="s">
        <v>389</v>
      </c>
      <c r="W14" t="s">
        <v>390</v>
      </c>
      <c r="X14" t="s">
        <v>391</v>
      </c>
      <c r="Y14" t="s">
        <v>392</v>
      </c>
      <c r="Z14" t="s">
        <v>393</v>
      </c>
      <c r="AA14" t="s">
        <v>394</v>
      </c>
      <c r="AB14" t="s">
        <v>395</v>
      </c>
      <c r="AC14" t="s">
        <v>396</v>
      </c>
      <c r="AD14" t="s">
        <v>397</v>
      </c>
      <c r="AE14" t="s">
        <v>398</v>
      </c>
      <c r="AF14" t="s">
        <v>74</v>
      </c>
      <c r="AG14">
        <v>32</v>
      </c>
      <c r="AH14">
        <v>34</v>
      </c>
      <c r="AI14">
        <v>35</v>
      </c>
      <c r="AJ14">
        <v>0</v>
      </c>
      <c r="AK14">
        <v>5</v>
      </c>
      <c r="AL14" t="s">
        <v>311</v>
      </c>
      <c r="AM14" t="s">
        <v>312</v>
      </c>
      <c r="AN14" t="s">
        <v>313</v>
      </c>
      <c r="AO14" t="s">
        <v>399</v>
      </c>
      <c r="AP14" t="s">
        <v>74</v>
      </c>
      <c r="AQ14" t="s">
        <v>74</v>
      </c>
      <c r="AR14" t="s">
        <v>400</v>
      </c>
      <c r="AS14" t="s">
        <v>401</v>
      </c>
      <c r="AT14" t="s">
        <v>317</v>
      </c>
      <c r="AU14">
        <v>2017</v>
      </c>
      <c r="AV14">
        <v>24</v>
      </c>
      <c r="AW14">
        <v>4</v>
      </c>
      <c r="AX14" t="s">
        <v>74</v>
      </c>
      <c r="AY14" t="s">
        <v>74</v>
      </c>
      <c r="AZ14" t="s">
        <v>74</v>
      </c>
      <c r="BA14" t="s">
        <v>74</v>
      </c>
      <c r="BB14">
        <v>661</v>
      </c>
      <c r="BC14">
        <v>671</v>
      </c>
      <c r="BD14" t="s">
        <v>74</v>
      </c>
      <c r="BE14" t="s">
        <v>402</v>
      </c>
      <c r="BF14" t="str">
        <f>HYPERLINK("http://dx.doi.org/10.5194/npg-24-661-2017","http://dx.doi.org/10.5194/npg-24-661-2017")</f>
        <v>http://dx.doi.org/10.5194/npg-24-661-2017</v>
      </c>
      <c r="BG14" t="s">
        <v>74</v>
      </c>
      <c r="BH14" t="s">
        <v>74</v>
      </c>
      <c r="BI14">
        <v>11</v>
      </c>
      <c r="BJ14" t="s">
        <v>403</v>
      </c>
      <c r="BK14" t="s">
        <v>101</v>
      </c>
      <c r="BL14" t="s">
        <v>404</v>
      </c>
      <c r="BM14" t="s">
        <v>405</v>
      </c>
      <c r="BN14" t="s">
        <v>74</v>
      </c>
      <c r="BO14" t="s">
        <v>322</v>
      </c>
      <c r="BP14" t="s">
        <v>74</v>
      </c>
      <c r="BQ14" t="s">
        <v>74</v>
      </c>
      <c r="BR14" t="s">
        <v>105</v>
      </c>
      <c r="BS14" t="s">
        <v>406</v>
      </c>
      <c r="BT14" t="str">
        <f>HYPERLINK("https%3A%2F%2Fwww.webofscience.com%2Fwos%2Fwoscc%2Ffull-record%2FWOS:000413309300001","View Full Record in Web of Science")</f>
        <v>View Full Record in Web of Science</v>
      </c>
    </row>
    <row r="15" spans="1:72" x14ac:dyDescent="0.15">
      <c r="A15" t="s">
        <v>72</v>
      </c>
      <c r="B15" t="s">
        <v>407</v>
      </c>
      <c r="C15" t="s">
        <v>74</v>
      </c>
      <c r="D15" t="s">
        <v>74</v>
      </c>
      <c r="E15" t="s">
        <v>74</v>
      </c>
      <c r="F15" t="s">
        <v>408</v>
      </c>
      <c r="G15" t="s">
        <v>74</v>
      </c>
      <c r="H15" t="s">
        <v>74</v>
      </c>
      <c r="I15" t="s">
        <v>409</v>
      </c>
      <c r="J15" t="s">
        <v>410</v>
      </c>
      <c r="K15" t="s">
        <v>74</v>
      </c>
      <c r="L15" t="s">
        <v>74</v>
      </c>
      <c r="M15" t="s">
        <v>78</v>
      </c>
      <c r="N15" t="s">
        <v>79</v>
      </c>
      <c r="O15" t="s">
        <v>74</v>
      </c>
      <c r="P15" t="s">
        <v>74</v>
      </c>
      <c r="Q15" t="s">
        <v>74</v>
      </c>
      <c r="R15" t="s">
        <v>74</v>
      </c>
      <c r="S15" t="s">
        <v>74</v>
      </c>
      <c r="T15" t="s">
        <v>411</v>
      </c>
      <c r="U15" t="s">
        <v>412</v>
      </c>
      <c r="V15" t="s">
        <v>413</v>
      </c>
      <c r="W15" t="s">
        <v>414</v>
      </c>
      <c r="X15" t="s">
        <v>415</v>
      </c>
      <c r="Y15" t="s">
        <v>416</v>
      </c>
      <c r="Z15" t="s">
        <v>417</v>
      </c>
      <c r="AA15" t="s">
        <v>74</v>
      </c>
      <c r="AB15" t="s">
        <v>418</v>
      </c>
      <c r="AC15" t="s">
        <v>419</v>
      </c>
      <c r="AD15" t="s">
        <v>420</v>
      </c>
      <c r="AE15" t="s">
        <v>421</v>
      </c>
      <c r="AF15" t="s">
        <v>74</v>
      </c>
      <c r="AG15">
        <v>255</v>
      </c>
      <c r="AH15">
        <v>17</v>
      </c>
      <c r="AI15">
        <v>18</v>
      </c>
      <c r="AJ15">
        <v>1</v>
      </c>
      <c r="AK15">
        <v>15</v>
      </c>
      <c r="AL15" t="s">
        <v>422</v>
      </c>
      <c r="AM15" t="s">
        <v>423</v>
      </c>
      <c r="AN15" t="s">
        <v>424</v>
      </c>
      <c r="AO15" t="s">
        <v>74</v>
      </c>
      <c r="AP15" t="s">
        <v>425</v>
      </c>
      <c r="AQ15" t="s">
        <v>74</v>
      </c>
      <c r="AR15" t="s">
        <v>426</v>
      </c>
      <c r="AS15" t="s">
        <v>427</v>
      </c>
      <c r="AT15" t="s">
        <v>428</v>
      </c>
      <c r="AU15">
        <v>2017</v>
      </c>
      <c r="AV15">
        <v>359</v>
      </c>
      <c r="AW15" t="s">
        <v>74</v>
      </c>
      <c r="AX15" t="s">
        <v>74</v>
      </c>
      <c r="AY15" t="s">
        <v>74</v>
      </c>
      <c r="AZ15" t="s">
        <v>74</v>
      </c>
      <c r="BA15" t="s">
        <v>74</v>
      </c>
      <c r="BB15">
        <v>1</v>
      </c>
      <c r="BC15">
        <v>553</v>
      </c>
      <c r="BD15" t="s">
        <v>74</v>
      </c>
      <c r="BE15" t="s">
        <v>429</v>
      </c>
      <c r="BF15" t="str">
        <f>HYPERLINK("http://dx.doi.org/10.5852/ejt.2017.359","http://dx.doi.org/10.5852/ejt.2017.359")</f>
        <v>http://dx.doi.org/10.5852/ejt.2017.359</v>
      </c>
      <c r="BG15" t="s">
        <v>74</v>
      </c>
      <c r="BH15" t="s">
        <v>74</v>
      </c>
      <c r="BI15">
        <v>553</v>
      </c>
      <c r="BJ15" t="s">
        <v>430</v>
      </c>
      <c r="BK15" t="s">
        <v>101</v>
      </c>
      <c r="BL15" t="s">
        <v>430</v>
      </c>
      <c r="BM15" t="s">
        <v>431</v>
      </c>
      <c r="BN15" t="s">
        <v>74</v>
      </c>
      <c r="BO15" t="s">
        <v>432</v>
      </c>
      <c r="BP15" t="s">
        <v>74</v>
      </c>
      <c r="BQ15" t="s">
        <v>74</v>
      </c>
      <c r="BR15" t="s">
        <v>105</v>
      </c>
      <c r="BS15" t="s">
        <v>433</v>
      </c>
      <c r="BT15" t="str">
        <f>HYPERLINK("https%3A%2F%2Fwww.webofscience.com%2Fwos%2Fwoscc%2Ffull-record%2FWOS:000413187600001","View Full Record in Web of Science")</f>
        <v>View Full Record in Web of Science</v>
      </c>
    </row>
    <row r="16" spans="1:72" x14ac:dyDescent="0.15">
      <c r="A16" t="s">
        <v>72</v>
      </c>
      <c r="B16" t="s">
        <v>434</v>
      </c>
      <c r="C16" t="s">
        <v>74</v>
      </c>
      <c r="D16" t="s">
        <v>74</v>
      </c>
      <c r="E16" t="s">
        <v>74</v>
      </c>
      <c r="F16" t="s">
        <v>435</v>
      </c>
      <c r="G16" t="s">
        <v>74</v>
      </c>
      <c r="H16" t="s">
        <v>74</v>
      </c>
      <c r="I16" t="s">
        <v>436</v>
      </c>
      <c r="J16" t="s">
        <v>437</v>
      </c>
      <c r="K16" t="s">
        <v>74</v>
      </c>
      <c r="L16" t="s">
        <v>74</v>
      </c>
      <c r="M16" t="s">
        <v>78</v>
      </c>
      <c r="N16" t="s">
        <v>79</v>
      </c>
      <c r="O16" t="s">
        <v>74</v>
      </c>
      <c r="P16" t="s">
        <v>74</v>
      </c>
      <c r="Q16" t="s">
        <v>74</v>
      </c>
      <c r="R16" t="s">
        <v>74</v>
      </c>
      <c r="S16" t="s">
        <v>74</v>
      </c>
      <c r="T16" t="s">
        <v>438</v>
      </c>
      <c r="U16" t="s">
        <v>439</v>
      </c>
      <c r="V16" t="s">
        <v>440</v>
      </c>
      <c r="W16" t="s">
        <v>441</v>
      </c>
      <c r="X16" t="s">
        <v>442</v>
      </c>
      <c r="Y16" t="s">
        <v>443</v>
      </c>
      <c r="Z16" t="s">
        <v>444</v>
      </c>
      <c r="AA16" t="s">
        <v>445</v>
      </c>
      <c r="AB16" t="s">
        <v>446</v>
      </c>
      <c r="AC16" t="s">
        <v>447</v>
      </c>
      <c r="AD16" t="s">
        <v>448</v>
      </c>
      <c r="AE16" t="s">
        <v>449</v>
      </c>
      <c r="AF16" t="s">
        <v>74</v>
      </c>
      <c r="AG16">
        <v>45</v>
      </c>
      <c r="AH16">
        <v>20</v>
      </c>
      <c r="AI16">
        <v>20</v>
      </c>
      <c r="AJ16">
        <v>0</v>
      </c>
      <c r="AK16">
        <v>8</v>
      </c>
      <c r="AL16" t="s">
        <v>450</v>
      </c>
      <c r="AM16" t="s">
        <v>451</v>
      </c>
      <c r="AN16" t="s">
        <v>452</v>
      </c>
      <c r="AO16" t="s">
        <v>74</v>
      </c>
      <c r="AP16" t="s">
        <v>453</v>
      </c>
      <c r="AQ16" t="s">
        <v>74</v>
      </c>
      <c r="AR16" t="s">
        <v>454</v>
      </c>
      <c r="AS16" t="s">
        <v>455</v>
      </c>
      <c r="AT16" t="s">
        <v>428</v>
      </c>
      <c r="AU16">
        <v>2017</v>
      </c>
      <c r="AV16">
        <v>8</v>
      </c>
      <c r="AW16" t="s">
        <v>74</v>
      </c>
      <c r="AX16" t="s">
        <v>74</v>
      </c>
      <c r="AY16" t="s">
        <v>74</v>
      </c>
      <c r="AZ16" t="s">
        <v>74</v>
      </c>
      <c r="BA16" t="s">
        <v>74</v>
      </c>
      <c r="BB16" t="s">
        <v>74</v>
      </c>
      <c r="BC16" t="s">
        <v>74</v>
      </c>
      <c r="BD16">
        <v>2002</v>
      </c>
      <c r="BE16" t="s">
        <v>456</v>
      </c>
      <c r="BF16" t="str">
        <f>HYPERLINK("http://dx.doi.org/10.3389/fmicb.2017.02002","http://dx.doi.org/10.3389/fmicb.2017.02002")</f>
        <v>http://dx.doi.org/10.3389/fmicb.2017.02002</v>
      </c>
      <c r="BG16" t="s">
        <v>74</v>
      </c>
      <c r="BH16" t="s">
        <v>74</v>
      </c>
      <c r="BI16">
        <v>8</v>
      </c>
      <c r="BJ16" t="s">
        <v>457</v>
      </c>
      <c r="BK16" t="s">
        <v>101</v>
      </c>
      <c r="BL16" t="s">
        <v>457</v>
      </c>
      <c r="BM16" t="s">
        <v>458</v>
      </c>
      <c r="BN16">
        <v>29089932</v>
      </c>
      <c r="BO16" t="s">
        <v>459</v>
      </c>
      <c r="BP16" t="s">
        <v>74</v>
      </c>
      <c r="BQ16" t="s">
        <v>74</v>
      </c>
      <c r="BR16" t="s">
        <v>105</v>
      </c>
      <c r="BS16" t="s">
        <v>460</v>
      </c>
      <c r="BT16" t="str">
        <f>HYPERLINK("https%3A%2F%2Fwww.webofscience.com%2Fwos%2Fwoscc%2Ffull-record%2FWOS:000413105300001","View Full Record in Web of Science")</f>
        <v>View Full Record in Web of Science</v>
      </c>
    </row>
    <row r="17" spans="1:72" x14ac:dyDescent="0.15">
      <c r="A17" t="s">
        <v>72</v>
      </c>
      <c r="B17" t="s">
        <v>461</v>
      </c>
      <c r="C17" t="s">
        <v>74</v>
      </c>
      <c r="D17" t="s">
        <v>74</v>
      </c>
      <c r="E17" t="s">
        <v>74</v>
      </c>
      <c r="F17" t="s">
        <v>462</v>
      </c>
      <c r="G17" t="s">
        <v>74</v>
      </c>
      <c r="H17" t="s">
        <v>74</v>
      </c>
      <c r="I17" t="s">
        <v>463</v>
      </c>
      <c r="J17" t="s">
        <v>464</v>
      </c>
      <c r="K17" t="s">
        <v>74</v>
      </c>
      <c r="L17" t="s">
        <v>74</v>
      </c>
      <c r="M17" t="s">
        <v>78</v>
      </c>
      <c r="N17" t="s">
        <v>79</v>
      </c>
      <c r="O17" t="s">
        <v>74</v>
      </c>
      <c r="P17" t="s">
        <v>74</v>
      </c>
      <c r="Q17" t="s">
        <v>74</v>
      </c>
      <c r="R17" t="s">
        <v>74</v>
      </c>
      <c r="S17" t="s">
        <v>74</v>
      </c>
      <c r="T17" t="s">
        <v>465</v>
      </c>
      <c r="U17" t="s">
        <v>466</v>
      </c>
      <c r="V17" t="s">
        <v>467</v>
      </c>
      <c r="W17" t="s">
        <v>468</v>
      </c>
      <c r="X17" t="s">
        <v>469</v>
      </c>
      <c r="Y17" t="s">
        <v>470</v>
      </c>
      <c r="Z17" t="s">
        <v>471</v>
      </c>
      <c r="AA17" t="s">
        <v>472</v>
      </c>
      <c r="AB17" t="s">
        <v>473</v>
      </c>
      <c r="AC17" t="s">
        <v>474</v>
      </c>
      <c r="AD17" t="s">
        <v>475</v>
      </c>
      <c r="AE17" t="s">
        <v>476</v>
      </c>
      <c r="AF17" t="s">
        <v>74</v>
      </c>
      <c r="AG17">
        <v>45</v>
      </c>
      <c r="AH17">
        <v>35</v>
      </c>
      <c r="AI17">
        <v>38</v>
      </c>
      <c r="AJ17">
        <v>2</v>
      </c>
      <c r="AK17">
        <v>22</v>
      </c>
      <c r="AL17" t="s">
        <v>477</v>
      </c>
      <c r="AM17" t="s">
        <v>92</v>
      </c>
      <c r="AN17" t="s">
        <v>478</v>
      </c>
      <c r="AO17" t="s">
        <v>479</v>
      </c>
      <c r="AP17" t="s">
        <v>74</v>
      </c>
      <c r="AQ17" t="s">
        <v>74</v>
      </c>
      <c r="AR17" t="s">
        <v>480</v>
      </c>
      <c r="AS17" t="s">
        <v>481</v>
      </c>
      <c r="AT17" t="s">
        <v>428</v>
      </c>
      <c r="AU17">
        <v>2017</v>
      </c>
      <c r="AV17">
        <v>114</v>
      </c>
      <c r="AW17">
        <v>42</v>
      </c>
      <c r="AX17" t="s">
        <v>74</v>
      </c>
      <c r="AY17" t="s">
        <v>74</v>
      </c>
      <c r="AZ17" t="s">
        <v>74</v>
      </c>
      <c r="BA17" t="s">
        <v>74</v>
      </c>
      <c r="BB17">
        <v>11075</v>
      </c>
      <c r="BC17">
        <v>11080</v>
      </c>
      <c r="BD17" t="s">
        <v>74</v>
      </c>
      <c r="BE17" t="s">
        <v>482</v>
      </c>
      <c r="BF17" t="str">
        <f>HYPERLINK("http://dx.doi.org/10.1073/pnas.1704512114","http://dx.doi.org/10.1073/pnas.1704512114")</f>
        <v>http://dx.doi.org/10.1073/pnas.1704512114</v>
      </c>
      <c r="BG17" t="s">
        <v>74</v>
      </c>
      <c r="BH17" t="s">
        <v>74</v>
      </c>
      <c r="BI17">
        <v>6</v>
      </c>
      <c r="BJ17" t="s">
        <v>190</v>
      </c>
      <c r="BK17" t="s">
        <v>101</v>
      </c>
      <c r="BL17" t="s">
        <v>191</v>
      </c>
      <c r="BM17" t="s">
        <v>483</v>
      </c>
      <c r="BN17">
        <v>28973944</v>
      </c>
      <c r="BO17" t="s">
        <v>484</v>
      </c>
      <c r="BP17" t="s">
        <v>74</v>
      </c>
      <c r="BQ17" t="s">
        <v>74</v>
      </c>
      <c r="BR17" t="s">
        <v>105</v>
      </c>
      <c r="BS17" t="s">
        <v>485</v>
      </c>
      <c r="BT17" t="str">
        <f>HYPERLINK("https%3A%2F%2Fwww.webofscience.com%2Fwos%2Fwoscc%2Ffull-record%2FWOS:000413237900038","View Full Record in Web of Science")</f>
        <v>View Full Record in Web of Science</v>
      </c>
    </row>
    <row r="18" spans="1:72" x14ac:dyDescent="0.15">
      <c r="A18" t="s">
        <v>72</v>
      </c>
      <c r="B18" t="s">
        <v>486</v>
      </c>
      <c r="C18" t="s">
        <v>74</v>
      </c>
      <c r="D18" t="s">
        <v>74</v>
      </c>
      <c r="E18" t="s">
        <v>74</v>
      </c>
      <c r="F18" t="s">
        <v>487</v>
      </c>
      <c r="G18" t="s">
        <v>74</v>
      </c>
      <c r="H18" t="s">
        <v>74</v>
      </c>
      <c r="I18" t="s">
        <v>488</v>
      </c>
      <c r="J18" t="s">
        <v>489</v>
      </c>
      <c r="K18" t="s">
        <v>74</v>
      </c>
      <c r="L18" t="s">
        <v>74</v>
      </c>
      <c r="M18" t="s">
        <v>78</v>
      </c>
      <c r="N18" t="s">
        <v>79</v>
      </c>
      <c r="O18" t="s">
        <v>74</v>
      </c>
      <c r="P18" t="s">
        <v>74</v>
      </c>
      <c r="Q18" t="s">
        <v>74</v>
      </c>
      <c r="R18" t="s">
        <v>74</v>
      </c>
      <c r="S18" t="s">
        <v>74</v>
      </c>
      <c r="T18" t="s">
        <v>490</v>
      </c>
      <c r="U18" t="s">
        <v>491</v>
      </c>
      <c r="V18" t="s">
        <v>492</v>
      </c>
      <c r="W18" t="s">
        <v>493</v>
      </c>
      <c r="X18" t="s">
        <v>494</v>
      </c>
      <c r="Y18" t="s">
        <v>495</v>
      </c>
      <c r="Z18" t="s">
        <v>496</v>
      </c>
      <c r="AA18" t="s">
        <v>497</v>
      </c>
      <c r="AB18" t="s">
        <v>498</v>
      </c>
      <c r="AC18" t="s">
        <v>499</v>
      </c>
      <c r="AD18" t="s">
        <v>500</v>
      </c>
      <c r="AE18" t="s">
        <v>501</v>
      </c>
      <c r="AF18" t="s">
        <v>74</v>
      </c>
      <c r="AG18">
        <v>88</v>
      </c>
      <c r="AH18">
        <v>15</v>
      </c>
      <c r="AI18">
        <v>17</v>
      </c>
      <c r="AJ18">
        <v>0</v>
      </c>
      <c r="AK18">
        <v>11</v>
      </c>
      <c r="AL18" t="s">
        <v>502</v>
      </c>
      <c r="AM18" t="s">
        <v>372</v>
      </c>
      <c r="AN18" t="s">
        <v>503</v>
      </c>
      <c r="AO18" t="s">
        <v>504</v>
      </c>
      <c r="AP18" t="s">
        <v>505</v>
      </c>
      <c r="AQ18" t="s">
        <v>74</v>
      </c>
      <c r="AR18" t="s">
        <v>489</v>
      </c>
      <c r="AS18" t="s">
        <v>506</v>
      </c>
      <c r="AT18" t="s">
        <v>507</v>
      </c>
      <c r="AU18">
        <v>2017</v>
      </c>
      <c r="AV18">
        <v>717</v>
      </c>
      <c r="AW18" t="s">
        <v>74</v>
      </c>
      <c r="AX18" t="s">
        <v>74</v>
      </c>
      <c r="AY18" t="s">
        <v>74</v>
      </c>
      <c r="AZ18" t="s">
        <v>74</v>
      </c>
      <c r="BA18" t="s">
        <v>74</v>
      </c>
      <c r="BB18">
        <v>127</v>
      </c>
      <c r="BC18">
        <v>138</v>
      </c>
      <c r="BD18" t="s">
        <v>74</v>
      </c>
      <c r="BE18" t="s">
        <v>508</v>
      </c>
      <c r="BF18" t="str">
        <f>HYPERLINK("http://dx.doi.org/10.1016/j.tecto.2017.07.011","http://dx.doi.org/10.1016/j.tecto.2017.07.011")</f>
        <v>http://dx.doi.org/10.1016/j.tecto.2017.07.011</v>
      </c>
      <c r="BG18" t="s">
        <v>74</v>
      </c>
      <c r="BH18" t="s">
        <v>74</v>
      </c>
      <c r="BI18">
        <v>12</v>
      </c>
      <c r="BJ18" t="s">
        <v>509</v>
      </c>
      <c r="BK18" t="s">
        <v>101</v>
      </c>
      <c r="BL18" t="s">
        <v>509</v>
      </c>
      <c r="BM18" t="s">
        <v>510</v>
      </c>
      <c r="BN18" t="s">
        <v>74</v>
      </c>
      <c r="BO18" t="s">
        <v>511</v>
      </c>
      <c r="BP18" t="s">
        <v>74</v>
      </c>
      <c r="BQ18" t="s">
        <v>74</v>
      </c>
      <c r="BR18" t="s">
        <v>105</v>
      </c>
      <c r="BS18" t="s">
        <v>512</v>
      </c>
      <c r="BT18" t="str">
        <f>HYPERLINK("https%3A%2F%2Fwww.webofscience.com%2Fwos%2Fwoscc%2Ffull-record%2FWOS:000414879200010","View Full Record in Web of Science")</f>
        <v>View Full Record in Web of Science</v>
      </c>
    </row>
    <row r="19" spans="1:72" x14ac:dyDescent="0.15">
      <c r="A19" t="s">
        <v>72</v>
      </c>
      <c r="B19" t="s">
        <v>513</v>
      </c>
      <c r="C19" t="s">
        <v>74</v>
      </c>
      <c r="D19" t="s">
        <v>74</v>
      </c>
      <c r="E19" t="s">
        <v>74</v>
      </c>
      <c r="F19" t="s">
        <v>514</v>
      </c>
      <c r="G19" t="s">
        <v>74</v>
      </c>
      <c r="H19" t="s">
        <v>74</v>
      </c>
      <c r="I19" t="s">
        <v>515</v>
      </c>
      <c r="J19" t="s">
        <v>77</v>
      </c>
      <c r="K19" t="s">
        <v>74</v>
      </c>
      <c r="L19" t="s">
        <v>74</v>
      </c>
      <c r="M19" t="s">
        <v>78</v>
      </c>
      <c r="N19" t="s">
        <v>79</v>
      </c>
      <c r="O19" t="s">
        <v>74</v>
      </c>
      <c r="P19" t="s">
        <v>74</v>
      </c>
      <c r="Q19" t="s">
        <v>74</v>
      </c>
      <c r="R19" t="s">
        <v>74</v>
      </c>
      <c r="S19" t="s">
        <v>74</v>
      </c>
      <c r="T19" t="s">
        <v>74</v>
      </c>
      <c r="U19" t="s">
        <v>516</v>
      </c>
      <c r="V19" t="s">
        <v>517</v>
      </c>
      <c r="W19" t="s">
        <v>518</v>
      </c>
      <c r="X19" t="s">
        <v>519</v>
      </c>
      <c r="Y19" t="s">
        <v>520</v>
      </c>
      <c r="Z19" t="s">
        <v>521</v>
      </c>
      <c r="AA19" t="s">
        <v>522</v>
      </c>
      <c r="AB19" t="s">
        <v>523</v>
      </c>
      <c r="AC19" t="s">
        <v>524</v>
      </c>
      <c r="AD19" t="s">
        <v>525</v>
      </c>
      <c r="AE19" t="s">
        <v>526</v>
      </c>
      <c r="AF19" t="s">
        <v>74</v>
      </c>
      <c r="AG19">
        <v>32</v>
      </c>
      <c r="AH19">
        <v>56</v>
      </c>
      <c r="AI19">
        <v>59</v>
      </c>
      <c r="AJ19">
        <v>4</v>
      </c>
      <c r="AK19">
        <v>21</v>
      </c>
      <c r="AL19" t="s">
        <v>91</v>
      </c>
      <c r="AM19" t="s">
        <v>92</v>
      </c>
      <c r="AN19" t="s">
        <v>93</v>
      </c>
      <c r="AO19" t="s">
        <v>94</v>
      </c>
      <c r="AP19" t="s">
        <v>95</v>
      </c>
      <c r="AQ19" t="s">
        <v>74</v>
      </c>
      <c r="AR19" t="s">
        <v>96</v>
      </c>
      <c r="AS19" t="s">
        <v>97</v>
      </c>
      <c r="AT19" t="s">
        <v>507</v>
      </c>
      <c r="AU19">
        <v>2017</v>
      </c>
      <c r="AV19">
        <v>44</v>
      </c>
      <c r="AW19">
        <v>19</v>
      </c>
      <c r="AX19" t="s">
        <v>74</v>
      </c>
      <c r="AY19" t="s">
        <v>74</v>
      </c>
      <c r="AZ19" t="s">
        <v>74</v>
      </c>
      <c r="BA19" t="s">
        <v>74</v>
      </c>
      <c r="BB19">
        <v>9761</v>
      </c>
      <c r="BC19">
        <v>9768</v>
      </c>
      <c r="BD19" t="s">
        <v>74</v>
      </c>
      <c r="BE19" t="s">
        <v>527</v>
      </c>
      <c r="BF19" t="str">
        <f>HYPERLINK("http://dx.doi.org/10.1002/2017GL074319","http://dx.doi.org/10.1002/2017GL074319")</f>
        <v>http://dx.doi.org/10.1002/2017GL074319</v>
      </c>
      <c r="BG19" t="s">
        <v>74</v>
      </c>
      <c r="BH19" t="s">
        <v>74</v>
      </c>
      <c r="BI19">
        <v>8</v>
      </c>
      <c r="BJ19" t="s">
        <v>100</v>
      </c>
      <c r="BK19" t="s">
        <v>101</v>
      </c>
      <c r="BL19" t="s">
        <v>102</v>
      </c>
      <c r="BM19" t="s">
        <v>528</v>
      </c>
      <c r="BN19" t="s">
        <v>74</v>
      </c>
      <c r="BO19" t="s">
        <v>529</v>
      </c>
      <c r="BP19" t="s">
        <v>74</v>
      </c>
      <c r="BQ19" t="s">
        <v>74</v>
      </c>
      <c r="BR19" t="s">
        <v>105</v>
      </c>
      <c r="BS19" t="s">
        <v>530</v>
      </c>
      <c r="BT19" t="str">
        <f>HYPERLINK("https%3A%2F%2Fwww.webofscience.com%2Fwos%2Fwoscc%2Ffull-record%2FWOS:000413921300028","View Full Record in Web of Science")</f>
        <v>View Full Record in Web of Science</v>
      </c>
    </row>
    <row r="20" spans="1:72" x14ac:dyDescent="0.15">
      <c r="A20" t="s">
        <v>72</v>
      </c>
      <c r="B20" t="s">
        <v>531</v>
      </c>
      <c r="C20" t="s">
        <v>74</v>
      </c>
      <c r="D20" t="s">
        <v>74</v>
      </c>
      <c r="E20" t="s">
        <v>74</v>
      </c>
      <c r="F20" t="s">
        <v>532</v>
      </c>
      <c r="G20" t="s">
        <v>74</v>
      </c>
      <c r="H20" t="s">
        <v>74</v>
      </c>
      <c r="I20" t="s">
        <v>533</v>
      </c>
      <c r="J20" t="s">
        <v>77</v>
      </c>
      <c r="K20" t="s">
        <v>74</v>
      </c>
      <c r="L20" t="s">
        <v>74</v>
      </c>
      <c r="M20" t="s">
        <v>78</v>
      </c>
      <c r="N20" t="s">
        <v>79</v>
      </c>
      <c r="O20" t="s">
        <v>74</v>
      </c>
      <c r="P20" t="s">
        <v>74</v>
      </c>
      <c r="Q20" t="s">
        <v>74</v>
      </c>
      <c r="R20" t="s">
        <v>74</v>
      </c>
      <c r="S20" t="s">
        <v>74</v>
      </c>
      <c r="T20" t="s">
        <v>534</v>
      </c>
      <c r="U20" t="s">
        <v>535</v>
      </c>
      <c r="V20" t="s">
        <v>536</v>
      </c>
      <c r="W20" t="s">
        <v>537</v>
      </c>
      <c r="X20" t="s">
        <v>538</v>
      </c>
      <c r="Y20" t="s">
        <v>539</v>
      </c>
      <c r="Z20" t="s">
        <v>540</v>
      </c>
      <c r="AA20" t="s">
        <v>541</v>
      </c>
      <c r="AB20" t="s">
        <v>542</v>
      </c>
      <c r="AC20" t="s">
        <v>543</v>
      </c>
      <c r="AD20" t="s">
        <v>544</v>
      </c>
      <c r="AE20" t="s">
        <v>545</v>
      </c>
      <c r="AF20" t="s">
        <v>74</v>
      </c>
      <c r="AG20">
        <v>71</v>
      </c>
      <c r="AH20">
        <v>59</v>
      </c>
      <c r="AI20">
        <v>65</v>
      </c>
      <c r="AJ20">
        <v>0</v>
      </c>
      <c r="AK20">
        <v>18</v>
      </c>
      <c r="AL20" t="s">
        <v>91</v>
      </c>
      <c r="AM20" t="s">
        <v>92</v>
      </c>
      <c r="AN20" t="s">
        <v>93</v>
      </c>
      <c r="AO20" t="s">
        <v>94</v>
      </c>
      <c r="AP20" t="s">
        <v>95</v>
      </c>
      <c r="AQ20" t="s">
        <v>74</v>
      </c>
      <c r="AR20" t="s">
        <v>96</v>
      </c>
      <c r="AS20" t="s">
        <v>97</v>
      </c>
      <c r="AT20" t="s">
        <v>507</v>
      </c>
      <c r="AU20">
        <v>2017</v>
      </c>
      <c r="AV20">
        <v>44</v>
      </c>
      <c r="AW20">
        <v>19</v>
      </c>
      <c r="AX20" t="s">
        <v>74</v>
      </c>
      <c r="AY20" t="s">
        <v>74</v>
      </c>
      <c r="AZ20" t="s">
        <v>74</v>
      </c>
      <c r="BA20" t="s">
        <v>74</v>
      </c>
      <c r="BB20">
        <v>9796</v>
      </c>
      <c r="BC20">
        <v>9804</v>
      </c>
      <c r="BD20" t="s">
        <v>74</v>
      </c>
      <c r="BE20" t="s">
        <v>546</v>
      </c>
      <c r="BF20" t="str">
        <f>HYPERLINK("http://dx.doi.org/10.1002/2017GL074929","http://dx.doi.org/10.1002/2017GL074929")</f>
        <v>http://dx.doi.org/10.1002/2017GL074929</v>
      </c>
      <c r="BG20" t="s">
        <v>74</v>
      </c>
      <c r="BH20" t="s">
        <v>74</v>
      </c>
      <c r="BI20">
        <v>9</v>
      </c>
      <c r="BJ20" t="s">
        <v>100</v>
      </c>
      <c r="BK20" t="s">
        <v>101</v>
      </c>
      <c r="BL20" t="s">
        <v>102</v>
      </c>
      <c r="BM20" t="s">
        <v>528</v>
      </c>
      <c r="BN20" t="s">
        <v>74</v>
      </c>
      <c r="BO20" t="s">
        <v>547</v>
      </c>
      <c r="BP20" t="s">
        <v>74</v>
      </c>
      <c r="BQ20" t="s">
        <v>74</v>
      </c>
      <c r="BR20" t="s">
        <v>105</v>
      </c>
      <c r="BS20" t="s">
        <v>548</v>
      </c>
      <c r="BT20" t="str">
        <f>HYPERLINK("https%3A%2F%2Fwww.webofscience.com%2Fwos%2Fwoscc%2Ffull-record%2FWOS:000413921300032","View Full Record in Web of Science")</f>
        <v>View Full Record in Web of Science</v>
      </c>
    </row>
    <row r="21" spans="1:72" x14ac:dyDescent="0.15">
      <c r="A21" t="s">
        <v>72</v>
      </c>
      <c r="B21" t="s">
        <v>549</v>
      </c>
      <c r="C21" t="s">
        <v>74</v>
      </c>
      <c r="D21" t="s">
        <v>74</v>
      </c>
      <c r="E21" t="s">
        <v>74</v>
      </c>
      <c r="F21" t="s">
        <v>550</v>
      </c>
      <c r="G21" t="s">
        <v>74</v>
      </c>
      <c r="H21" t="s">
        <v>74</v>
      </c>
      <c r="I21" t="s">
        <v>551</v>
      </c>
      <c r="J21" t="s">
        <v>77</v>
      </c>
      <c r="K21" t="s">
        <v>74</v>
      </c>
      <c r="L21" t="s">
        <v>74</v>
      </c>
      <c r="M21" t="s">
        <v>78</v>
      </c>
      <c r="N21" t="s">
        <v>79</v>
      </c>
      <c r="O21" t="s">
        <v>74</v>
      </c>
      <c r="P21" t="s">
        <v>74</v>
      </c>
      <c r="Q21" t="s">
        <v>74</v>
      </c>
      <c r="R21" t="s">
        <v>74</v>
      </c>
      <c r="S21" t="s">
        <v>74</v>
      </c>
      <c r="T21" t="s">
        <v>552</v>
      </c>
      <c r="U21" t="s">
        <v>553</v>
      </c>
      <c r="V21" t="s">
        <v>554</v>
      </c>
      <c r="W21" t="s">
        <v>555</v>
      </c>
      <c r="X21" t="s">
        <v>556</v>
      </c>
      <c r="Y21" t="s">
        <v>557</v>
      </c>
      <c r="Z21" t="s">
        <v>558</v>
      </c>
      <c r="AA21" t="s">
        <v>559</v>
      </c>
      <c r="AB21" t="s">
        <v>560</v>
      </c>
      <c r="AC21" t="s">
        <v>561</v>
      </c>
      <c r="AD21" t="s">
        <v>562</v>
      </c>
      <c r="AE21" t="s">
        <v>563</v>
      </c>
      <c r="AF21" t="s">
        <v>74</v>
      </c>
      <c r="AG21">
        <v>47</v>
      </c>
      <c r="AH21">
        <v>9</v>
      </c>
      <c r="AI21">
        <v>11</v>
      </c>
      <c r="AJ21">
        <v>0</v>
      </c>
      <c r="AK21">
        <v>12</v>
      </c>
      <c r="AL21" t="s">
        <v>91</v>
      </c>
      <c r="AM21" t="s">
        <v>92</v>
      </c>
      <c r="AN21" t="s">
        <v>93</v>
      </c>
      <c r="AO21" t="s">
        <v>94</v>
      </c>
      <c r="AP21" t="s">
        <v>95</v>
      </c>
      <c r="AQ21" t="s">
        <v>74</v>
      </c>
      <c r="AR21" t="s">
        <v>96</v>
      </c>
      <c r="AS21" t="s">
        <v>97</v>
      </c>
      <c r="AT21" t="s">
        <v>507</v>
      </c>
      <c r="AU21">
        <v>2017</v>
      </c>
      <c r="AV21">
        <v>44</v>
      </c>
      <c r="AW21">
        <v>19</v>
      </c>
      <c r="AX21" t="s">
        <v>74</v>
      </c>
      <c r="AY21" t="s">
        <v>74</v>
      </c>
      <c r="AZ21" t="s">
        <v>74</v>
      </c>
      <c r="BA21" t="s">
        <v>74</v>
      </c>
      <c r="BB21">
        <v>9815</v>
      </c>
      <c r="BC21">
        <v>9822</v>
      </c>
      <c r="BD21" t="s">
        <v>74</v>
      </c>
      <c r="BE21" t="s">
        <v>564</v>
      </c>
      <c r="BF21" t="str">
        <f>HYPERLINK("http://dx.doi.org/10.1002/2017GL074986","http://dx.doi.org/10.1002/2017GL074986")</f>
        <v>http://dx.doi.org/10.1002/2017GL074986</v>
      </c>
      <c r="BG21" t="s">
        <v>74</v>
      </c>
      <c r="BH21" t="s">
        <v>74</v>
      </c>
      <c r="BI21">
        <v>8</v>
      </c>
      <c r="BJ21" t="s">
        <v>100</v>
      </c>
      <c r="BK21" t="s">
        <v>101</v>
      </c>
      <c r="BL21" t="s">
        <v>102</v>
      </c>
      <c r="BM21" t="s">
        <v>528</v>
      </c>
      <c r="BN21" t="s">
        <v>74</v>
      </c>
      <c r="BO21" t="s">
        <v>74</v>
      </c>
      <c r="BP21" t="s">
        <v>74</v>
      </c>
      <c r="BQ21" t="s">
        <v>74</v>
      </c>
      <c r="BR21" t="s">
        <v>105</v>
      </c>
      <c r="BS21" t="s">
        <v>565</v>
      </c>
      <c r="BT21" t="str">
        <f>HYPERLINK("https%3A%2F%2Fwww.webofscience.com%2Fwos%2Fwoscc%2Ffull-record%2FWOS:000413921300034","View Full Record in Web of Science")</f>
        <v>View Full Record in Web of Science</v>
      </c>
    </row>
    <row r="22" spans="1:72" x14ac:dyDescent="0.15">
      <c r="A22" t="s">
        <v>72</v>
      </c>
      <c r="B22" t="s">
        <v>566</v>
      </c>
      <c r="C22" t="s">
        <v>74</v>
      </c>
      <c r="D22" t="s">
        <v>74</v>
      </c>
      <c r="E22" t="s">
        <v>74</v>
      </c>
      <c r="F22" t="s">
        <v>567</v>
      </c>
      <c r="G22" t="s">
        <v>74</v>
      </c>
      <c r="H22" t="s">
        <v>74</v>
      </c>
      <c r="I22" t="s">
        <v>568</v>
      </c>
      <c r="J22" t="s">
        <v>77</v>
      </c>
      <c r="K22" t="s">
        <v>74</v>
      </c>
      <c r="L22" t="s">
        <v>74</v>
      </c>
      <c r="M22" t="s">
        <v>78</v>
      </c>
      <c r="N22" t="s">
        <v>79</v>
      </c>
      <c r="O22" t="s">
        <v>74</v>
      </c>
      <c r="P22" t="s">
        <v>74</v>
      </c>
      <c r="Q22" t="s">
        <v>74</v>
      </c>
      <c r="R22" t="s">
        <v>74</v>
      </c>
      <c r="S22" t="s">
        <v>74</v>
      </c>
      <c r="T22" t="s">
        <v>569</v>
      </c>
      <c r="U22" t="s">
        <v>570</v>
      </c>
      <c r="V22" t="s">
        <v>571</v>
      </c>
      <c r="W22" t="s">
        <v>572</v>
      </c>
      <c r="X22" t="s">
        <v>573</v>
      </c>
      <c r="Y22" t="s">
        <v>574</v>
      </c>
      <c r="Z22" t="s">
        <v>575</v>
      </c>
      <c r="AA22" t="s">
        <v>576</v>
      </c>
      <c r="AB22" t="s">
        <v>577</v>
      </c>
      <c r="AC22" t="s">
        <v>578</v>
      </c>
      <c r="AD22" t="s">
        <v>579</v>
      </c>
      <c r="AE22" t="s">
        <v>580</v>
      </c>
      <c r="AF22" t="s">
        <v>74</v>
      </c>
      <c r="AG22">
        <v>89</v>
      </c>
      <c r="AH22">
        <v>25</v>
      </c>
      <c r="AI22">
        <v>30</v>
      </c>
      <c r="AJ22">
        <v>0</v>
      </c>
      <c r="AK22">
        <v>13</v>
      </c>
      <c r="AL22" t="s">
        <v>91</v>
      </c>
      <c r="AM22" t="s">
        <v>92</v>
      </c>
      <c r="AN22" t="s">
        <v>93</v>
      </c>
      <c r="AO22" t="s">
        <v>94</v>
      </c>
      <c r="AP22" t="s">
        <v>95</v>
      </c>
      <c r="AQ22" t="s">
        <v>74</v>
      </c>
      <c r="AR22" t="s">
        <v>96</v>
      </c>
      <c r="AS22" t="s">
        <v>97</v>
      </c>
      <c r="AT22" t="s">
        <v>507</v>
      </c>
      <c r="AU22">
        <v>2017</v>
      </c>
      <c r="AV22">
        <v>44</v>
      </c>
      <c r="AW22">
        <v>19</v>
      </c>
      <c r="AX22" t="s">
        <v>74</v>
      </c>
      <c r="AY22" t="s">
        <v>74</v>
      </c>
      <c r="AZ22" t="s">
        <v>74</v>
      </c>
      <c r="BA22" t="s">
        <v>74</v>
      </c>
      <c r="BB22">
        <v>9823</v>
      </c>
      <c r="BC22">
        <v>9832</v>
      </c>
      <c r="BD22" t="s">
        <v>74</v>
      </c>
      <c r="BE22" t="s">
        <v>581</v>
      </c>
      <c r="BF22" t="str">
        <f>HYPERLINK("http://dx.doi.org/10.1002/2017GL075579","http://dx.doi.org/10.1002/2017GL075579")</f>
        <v>http://dx.doi.org/10.1002/2017GL075579</v>
      </c>
      <c r="BG22" t="s">
        <v>74</v>
      </c>
      <c r="BH22" t="s">
        <v>74</v>
      </c>
      <c r="BI22">
        <v>10</v>
      </c>
      <c r="BJ22" t="s">
        <v>100</v>
      </c>
      <c r="BK22" t="s">
        <v>101</v>
      </c>
      <c r="BL22" t="s">
        <v>102</v>
      </c>
      <c r="BM22" t="s">
        <v>528</v>
      </c>
      <c r="BN22" t="s">
        <v>74</v>
      </c>
      <c r="BO22" t="s">
        <v>122</v>
      </c>
      <c r="BP22" t="s">
        <v>74</v>
      </c>
      <c r="BQ22" t="s">
        <v>74</v>
      </c>
      <c r="BR22" t="s">
        <v>105</v>
      </c>
      <c r="BS22" t="s">
        <v>582</v>
      </c>
      <c r="BT22" t="str">
        <f>HYPERLINK("https%3A%2F%2Fwww.webofscience.com%2Fwos%2Fwoscc%2Ffull-record%2FWOS:000413921300035","View Full Record in Web of Science")</f>
        <v>View Full Record in Web of Science</v>
      </c>
    </row>
    <row r="23" spans="1:72" x14ac:dyDescent="0.15">
      <c r="A23" t="s">
        <v>72</v>
      </c>
      <c r="B23" t="s">
        <v>583</v>
      </c>
      <c r="C23" t="s">
        <v>74</v>
      </c>
      <c r="D23" t="s">
        <v>74</v>
      </c>
      <c r="E23" t="s">
        <v>74</v>
      </c>
      <c r="F23" t="s">
        <v>584</v>
      </c>
      <c r="G23" t="s">
        <v>74</v>
      </c>
      <c r="H23" t="s">
        <v>74</v>
      </c>
      <c r="I23" t="s">
        <v>585</v>
      </c>
      <c r="J23" t="s">
        <v>77</v>
      </c>
      <c r="K23" t="s">
        <v>74</v>
      </c>
      <c r="L23" t="s">
        <v>74</v>
      </c>
      <c r="M23" t="s">
        <v>78</v>
      </c>
      <c r="N23" t="s">
        <v>79</v>
      </c>
      <c r="O23" t="s">
        <v>74</v>
      </c>
      <c r="P23" t="s">
        <v>74</v>
      </c>
      <c r="Q23" t="s">
        <v>74</v>
      </c>
      <c r="R23" t="s">
        <v>74</v>
      </c>
      <c r="S23" t="s">
        <v>74</v>
      </c>
      <c r="T23" t="s">
        <v>74</v>
      </c>
      <c r="U23" t="s">
        <v>586</v>
      </c>
      <c r="V23" t="s">
        <v>587</v>
      </c>
      <c r="W23" t="s">
        <v>588</v>
      </c>
      <c r="X23" t="s">
        <v>589</v>
      </c>
      <c r="Y23" t="s">
        <v>590</v>
      </c>
      <c r="Z23" t="s">
        <v>591</v>
      </c>
      <c r="AA23" t="s">
        <v>592</v>
      </c>
      <c r="AB23" t="s">
        <v>593</v>
      </c>
      <c r="AC23" t="s">
        <v>594</v>
      </c>
      <c r="AD23" t="s">
        <v>595</v>
      </c>
      <c r="AE23" t="s">
        <v>596</v>
      </c>
      <c r="AF23" t="s">
        <v>74</v>
      </c>
      <c r="AG23">
        <v>50</v>
      </c>
      <c r="AH23">
        <v>20</v>
      </c>
      <c r="AI23">
        <v>21</v>
      </c>
      <c r="AJ23">
        <v>1</v>
      </c>
      <c r="AK23">
        <v>25</v>
      </c>
      <c r="AL23" t="s">
        <v>91</v>
      </c>
      <c r="AM23" t="s">
        <v>92</v>
      </c>
      <c r="AN23" t="s">
        <v>93</v>
      </c>
      <c r="AO23" t="s">
        <v>94</v>
      </c>
      <c r="AP23" t="s">
        <v>95</v>
      </c>
      <c r="AQ23" t="s">
        <v>74</v>
      </c>
      <c r="AR23" t="s">
        <v>96</v>
      </c>
      <c r="AS23" t="s">
        <v>97</v>
      </c>
      <c r="AT23" t="s">
        <v>507</v>
      </c>
      <c r="AU23">
        <v>2017</v>
      </c>
      <c r="AV23">
        <v>44</v>
      </c>
      <c r="AW23">
        <v>19</v>
      </c>
      <c r="AX23" t="s">
        <v>74</v>
      </c>
      <c r="AY23" t="s">
        <v>74</v>
      </c>
      <c r="AZ23" t="s">
        <v>74</v>
      </c>
      <c r="BA23" t="s">
        <v>74</v>
      </c>
      <c r="BB23">
        <v>9918</v>
      </c>
      <c r="BC23">
        <v>9927</v>
      </c>
      <c r="BD23" t="s">
        <v>74</v>
      </c>
      <c r="BE23" t="s">
        <v>597</v>
      </c>
      <c r="BF23" t="str">
        <f>HYPERLINK("http://dx.doi.org/10.1002/2017GL075079","http://dx.doi.org/10.1002/2017GL075079")</f>
        <v>http://dx.doi.org/10.1002/2017GL075079</v>
      </c>
      <c r="BG23" t="s">
        <v>74</v>
      </c>
      <c r="BH23" t="s">
        <v>74</v>
      </c>
      <c r="BI23">
        <v>10</v>
      </c>
      <c r="BJ23" t="s">
        <v>100</v>
      </c>
      <c r="BK23" t="s">
        <v>101</v>
      </c>
      <c r="BL23" t="s">
        <v>102</v>
      </c>
      <c r="BM23" t="s">
        <v>528</v>
      </c>
      <c r="BN23" t="s">
        <v>74</v>
      </c>
      <c r="BO23" t="s">
        <v>598</v>
      </c>
      <c r="BP23" t="s">
        <v>74</v>
      </c>
      <c r="BQ23" t="s">
        <v>74</v>
      </c>
      <c r="BR23" t="s">
        <v>105</v>
      </c>
      <c r="BS23" t="s">
        <v>599</v>
      </c>
      <c r="BT23" t="str">
        <f>HYPERLINK("https%3A%2F%2Fwww.webofscience.com%2Fwos%2Fwoscc%2Ffull-record%2FWOS:000413921300045","View Full Record in Web of Science")</f>
        <v>View Full Record in Web of Science</v>
      </c>
    </row>
    <row r="24" spans="1:72" x14ac:dyDescent="0.15">
      <c r="A24" t="s">
        <v>72</v>
      </c>
      <c r="B24" t="s">
        <v>600</v>
      </c>
      <c r="C24" t="s">
        <v>74</v>
      </c>
      <c r="D24" t="s">
        <v>74</v>
      </c>
      <c r="E24" t="s">
        <v>74</v>
      </c>
      <c r="F24" t="s">
        <v>601</v>
      </c>
      <c r="G24" t="s">
        <v>74</v>
      </c>
      <c r="H24" t="s">
        <v>74</v>
      </c>
      <c r="I24" t="s">
        <v>602</v>
      </c>
      <c r="J24" t="s">
        <v>144</v>
      </c>
      <c r="K24" t="s">
        <v>74</v>
      </c>
      <c r="L24" t="s">
        <v>74</v>
      </c>
      <c r="M24" t="s">
        <v>78</v>
      </c>
      <c r="N24" t="s">
        <v>79</v>
      </c>
      <c r="O24" t="s">
        <v>74</v>
      </c>
      <c r="P24" t="s">
        <v>74</v>
      </c>
      <c r="Q24" t="s">
        <v>74</v>
      </c>
      <c r="R24" t="s">
        <v>74</v>
      </c>
      <c r="S24" t="s">
        <v>74</v>
      </c>
      <c r="T24" t="s">
        <v>74</v>
      </c>
      <c r="U24" t="s">
        <v>603</v>
      </c>
      <c r="V24" t="s">
        <v>604</v>
      </c>
      <c r="W24" t="s">
        <v>605</v>
      </c>
      <c r="X24" t="s">
        <v>606</v>
      </c>
      <c r="Y24" t="s">
        <v>607</v>
      </c>
      <c r="Z24" t="s">
        <v>608</v>
      </c>
      <c r="AA24" t="s">
        <v>609</v>
      </c>
      <c r="AB24" t="s">
        <v>610</v>
      </c>
      <c r="AC24" t="s">
        <v>611</v>
      </c>
      <c r="AD24" t="s">
        <v>612</v>
      </c>
      <c r="AE24" t="s">
        <v>613</v>
      </c>
      <c r="AF24" t="s">
        <v>74</v>
      </c>
      <c r="AG24">
        <v>42</v>
      </c>
      <c r="AH24">
        <v>11</v>
      </c>
      <c r="AI24">
        <v>11</v>
      </c>
      <c r="AJ24">
        <v>0</v>
      </c>
      <c r="AK24">
        <v>7</v>
      </c>
      <c r="AL24" t="s">
        <v>91</v>
      </c>
      <c r="AM24" t="s">
        <v>92</v>
      </c>
      <c r="AN24" t="s">
        <v>93</v>
      </c>
      <c r="AO24" t="s">
        <v>156</v>
      </c>
      <c r="AP24" t="s">
        <v>157</v>
      </c>
      <c r="AQ24" t="s">
        <v>74</v>
      </c>
      <c r="AR24" t="s">
        <v>158</v>
      </c>
      <c r="AS24" t="s">
        <v>159</v>
      </c>
      <c r="AT24" t="s">
        <v>507</v>
      </c>
      <c r="AU24">
        <v>2017</v>
      </c>
      <c r="AV24">
        <v>122</v>
      </c>
      <c r="AW24">
        <v>19</v>
      </c>
      <c r="AX24" t="s">
        <v>74</v>
      </c>
      <c r="AY24" t="s">
        <v>74</v>
      </c>
      <c r="AZ24" t="s">
        <v>74</v>
      </c>
      <c r="BA24" t="s">
        <v>74</v>
      </c>
      <c r="BB24">
        <v>10503</v>
      </c>
      <c r="BC24">
        <v>10523</v>
      </c>
      <c r="BD24" t="s">
        <v>74</v>
      </c>
      <c r="BE24" t="s">
        <v>614</v>
      </c>
      <c r="BF24" t="str">
        <f>HYPERLINK("http://dx.doi.org/10.1002/2017JD027003","http://dx.doi.org/10.1002/2017JD027003")</f>
        <v>http://dx.doi.org/10.1002/2017JD027003</v>
      </c>
      <c r="BG24" t="s">
        <v>74</v>
      </c>
      <c r="BH24" t="s">
        <v>74</v>
      </c>
      <c r="BI24">
        <v>21</v>
      </c>
      <c r="BJ24" t="s">
        <v>162</v>
      </c>
      <c r="BK24" t="s">
        <v>101</v>
      </c>
      <c r="BL24" t="s">
        <v>162</v>
      </c>
      <c r="BM24" t="s">
        <v>615</v>
      </c>
      <c r="BN24" t="s">
        <v>74</v>
      </c>
      <c r="BO24" t="s">
        <v>104</v>
      </c>
      <c r="BP24" t="s">
        <v>74</v>
      </c>
      <c r="BQ24" t="s">
        <v>74</v>
      </c>
      <c r="BR24" t="s">
        <v>105</v>
      </c>
      <c r="BS24" t="s">
        <v>616</v>
      </c>
      <c r="BT24" t="str">
        <f>HYPERLINK("https%3A%2F%2Fwww.webofscience.com%2Fwos%2Fwoscc%2Ffull-record%2FWOS:000413675900022","View Full Record in Web of Science")</f>
        <v>View Full Record in Web of Science</v>
      </c>
    </row>
    <row r="25" spans="1:72" x14ac:dyDescent="0.15">
      <c r="A25" t="s">
        <v>72</v>
      </c>
      <c r="B25" t="s">
        <v>617</v>
      </c>
      <c r="C25" t="s">
        <v>74</v>
      </c>
      <c r="D25" t="s">
        <v>74</v>
      </c>
      <c r="E25" t="s">
        <v>74</v>
      </c>
      <c r="F25" t="s">
        <v>618</v>
      </c>
      <c r="G25" t="s">
        <v>74</v>
      </c>
      <c r="H25" t="s">
        <v>74</v>
      </c>
      <c r="I25" t="s">
        <v>619</v>
      </c>
      <c r="J25" t="s">
        <v>77</v>
      </c>
      <c r="K25" t="s">
        <v>74</v>
      </c>
      <c r="L25" t="s">
        <v>74</v>
      </c>
      <c r="M25" t="s">
        <v>78</v>
      </c>
      <c r="N25" t="s">
        <v>79</v>
      </c>
      <c r="O25" t="s">
        <v>74</v>
      </c>
      <c r="P25" t="s">
        <v>74</v>
      </c>
      <c r="Q25" t="s">
        <v>74</v>
      </c>
      <c r="R25" t="s">
        <v>74</v>
      </c>
      <c r="S25" t="s">
        <v>74</v>
      </c>
      <c r="T25" t="s">
        <v>620</v>
      </c>
      <c r="U25" t="s">
        <v>621</v>
      </c>
      <c r="V25" t="s">
        <v>622</v>
      </c>
      <c r="W25" t="s">
        <v>623</v>
      </c>
      <c r="X25" t="s">
        <v>624</v>
      </c>
      <c r="Y25" t="s">
        <v>625</v>
      </c>
      <c r="Z25" t="s">
        <v>626</v>
      </c>
      <c r="AA25" t="s">
        <v>627</v>
      </c>
      <c r="AB25" t="s">
        <v>628</v>
      </c>
      <c r="AC25" t="s">
        <v>629</v>
      </c>
      <c r="AD25" t="s">
        <v>630</v>
      </c>
      <c r="AE25" t="s">
        <v>631</v>
      </c>
      <c r="AF25" t="s">
        <v>74</v>
      </c>
      <c r="AG25">
        <v>65</v>
      </c>
      <c r="AH25">
        <v>27</v>
      </c>
      <c r="AI25">
        <v>29</v>
      </c>
      <c r="AJ25">
        <v>2</v>
      </c>
      <c r="AK25">
        <v>34</v>
      </c>
      <c r="AL25" t="s">
        <v>91</v>
      </c>
      <c r="AM25" t="s">
        <v>92</v>
      </c>
      <c r="AN25" t="s">
        <v>93</v>
      </c>
      <c r="AO25" t="s">
        <v>94</v>
      </c>
      <c r="AP25" t="s">
        <v>95</v>
      </c>
      <c r="AQ25" t="s">
        <v>74</v>
      </c>
      <c r="AR25" t="s">
        <v>96</v>
      </c>
      <c r="AS25" t="s">
        <v>97</v>
      </c>
      <c r="AT25" t="s">
        <v>507</v>
      </c>
      <c r="AU25">
        <v>2017</v>
      </c>
      <c r="AV25">
        <v>44</v>
      </c>
      <c r="AW25">
        <v>19</v>
      </c>
      <c r="AX25" t="s">
        <v>74</v>
      </c>
      <c r="AY25" t="s">
        <v>74</v>
      </c>
      <c r="AZ25" t="s">
        <v>74</v>
      </c>
      <c r="BA25" t="s">
        <v>74</v>
      </c>
      <c r="BB25">
        <v>9805</v>
      </c>
      <c r="BC25">
        <v>9814</v>
      </c>
      <c r="BD25" t="s">
        <v>74</v>
      </c>
      <c r="BE25" t="s">
        <v>632</v>
      </c>
      <c r="BF25" t="str">
        <f>HYPERLINK("http://dx.doi.org/10.1002/2017GL074368","http://dx.doi.org/10.1002/2017GL074368")</f>
        <v>http://dx.doi.org/10.1002/2017GL074368</v>
      </c>
      <c r="BG25" t="s">
        <v>74</v>
      </c>
      <c r="BH25" t="s">
        <v>74</v>
      </c>
      <c r="BI25">
        <v>10</v>
      </c>
      <c r="BJ25" t="s">
        <v>100</v>
      </c>
      <c r="BK25" t="s">
        <v>101</v>
      </c>
      <c r="BL25" t="s">
        <v>102</v>
      </c>
      <c r="BM25" t="s">
        <v>528</v>
      </c>
      <c r="BN25" t="s">
        <v>74</v>
      </c>
      <c r="BO25" t="s">
        <v>633</v>
      </c>
      <c r="BP25" t="s">
        <v>74</v>
      </c>
      <c r="BQ25" t="s">
        <v>74</v>
      </c>
      <c r="BR25" t="s">
        <v>105</v>
      </c>
      <c r="BS25" t="s">
        <v>634</v>
      </c>
      <c r="BT25" t="str">
        <f>HYPERLINK("https%3A%2F%2Fwww.webofscience.com%2Fwos%2Fwoscc%2Ffull-record%2FWOS:000413921300033","View Full Record in Web of Science")</f>
        <v>View Full Record in Web of Science</v>
      </c>
    </row>
    <row r="26" spans="1:72" x14ac:dyDescent="0.15">
      <c r="A26" t="s">
        <v>72</v>
      </c>
      <c r="B26" t="s">
        <v>635</v>
      </c>
      <c r="C26" t="s">
        <v>74</v>
      </c>
      <c r="D26" t="s">
        <v>74</v>
      </c>
      <c r="E26" t="s">
        <v>74</v>
      </c>
      <c r="F26" t="s">
        <v>636</v>
      </c>
      <c r="G26" t="s">
        <v>74</v>
      </c>
      <c r="H26" t="s">
        <v>74</v>
      </c>
      <c r="I26" t="s">
        <v>637</v>
      </c>
      <c r="J26" t="s">
        <v>638</v>
      </c>
      <c r="K26" t="s">
        <v>74</v>
      </c>
      <c r="L26" t="s">
        <v>74</v>
      </c>
      <c r="M26" t="s">
        <v>78</v>
      </c>
      <c r="N26" t="s">
        <v>79</v>
      </c>
      <c r="O26" t="s">
        <v>74</v>
      </c>
      <c r="P26" t="s">
        <v>74</v>
      </c>
      <c r="Q26" t="s">
        <v>74</v>
      </c>
      <c r="R26" t="s">
        <v>74</v>
      </c>
      <c r="S26" t="s">
        <v>74</v>
      </c>
      <c r="T26" t="s">
        <v>74</v>
      </c>
      <c r="U26" t="s">
        <v>639</v>
      </c>
      <c r="V26" t="s">
        <v>640</v>
      </c>
      <c r="W26" t="s">
        <v>641</v>
      </c>
      <c r="X26" t="s">
        <v>642</v>
      </c>
      <c r="Y26" t="s">
        <v>643</v>
      </c>
      <c r="Z26" t="s">
        <v>644</v>
      </c>
      <c r="AA26" t="s">
        <v>645</v>
      </c>
      <c r="AB26" t="s">
        <v>646</v>
      </c>
      <c r="AC26" t="s">
        <v>647</v>
      </c>
      <c r="AD26" t="s">
        <v>648</v>
      </c>
      <c r="AE26" t="s">
        <v>649</v>
      </c>
      <c r="AF26" t="s">
        <v>74</v>
      </c>
      <c r="AG26">
        <v>43</v>
      </c>
      <c r="AH26">
        <v>38</v>
      </c>
      <c r="AI26">
        <v>40</v>
      </c>
      <c r="AJ26">
        <v>4</v>
      </c>
      <c r="AK26">
        <v>54</v>
      </c>
      <c r="AL26" t="s">
        <v>650</v>
      </c>
      <c r="AM26" t="s">
        <v>651</v>
      </c>
      <c r="AN26" t="s">
        <v>652</v>
      </c>
      <c r="AO26" t="s">
        <v>653</v>
      </c>
      <c r="AP26" t="s">
        <v>74</v>
      </c>
      <c r="AQ26" t="s">
        <v>74</v>
      </c>
      <c r="AR26" t="s">
        <v>654</v>
      </c>
      <c r="AS26" t="s">
        <v>655</v>
      </c>
      <c r="AT26" t="s">
        <v>507</v>
      </c>
      <c r="AU26">
        <v>2017</v>
      </c>
      <c r="AV26">
        <v>7</v>
      </c>
      <c r="AW26" t="s">
        <v>74</v>
      </c>
      <c r="AX26" t="s">
        <v>74</v>
      </c>
      <c r="AY26" t="s">
        <v>74</v>
      </c>
      <c r="AZ26" t="s">
        <v>74</v>
      </c>
      <c r="BA26" t="s">
        <v>74</v>
      </c>
      <c r="BB26" t="s">
        <v>74</v>
      </c>
      <c r="BC26" t="s">
        <v>74</v>
      </c>
      <c r="BD26">
        <v>13238</v>
      </c>
      <c r="BE26" t="s">
        <v>656</v>
      </c>
      <c r="BF26" t="str">
        <f>HYPERLINK("http://dx.doi.org/10.1038/s41598-017-13217-2","http://dx.doi.org/10.1038/s41598-017-13217-2")</f>
        <v>http://dx.doi.org/10.1038/s41598-017-13217-2</v>
      </c>
      <c r="BG26" t="s">
        <v>74</v>
      </c>
      <c r="BH26" t="s">
        <v>74</v>
      </c>
      <c r="BI26">
        <v>10</v>
      </c>
      <c r="BJ26" t="s">
        <v>190</v>
      </c>
      <c r="BK26" t="s">
        <v>101</v>
      </c>
      <c r="BL26" t="s">
        <v>191</v>
      </c>
      <c r="BM26" t="s">
        <v>657</v>
      </c>
      <c r="BN26">
        <v>29038559</v>
      </c>
      <c r="BO26" t="s">
        <v>658</v>
      </c>
      <c r="BP26" t="s">
        <v>74</v>
      </c>
      <c r="BQ26" t="s">
        <v>74</v>
      </c>
      <c r="BR26" t="s">
        <v>105</v>
      </c>
      <c r="BS26" t="s">
        <v>659</v>
      </c>
      <c r="BT26" t="str">
        <f>HYPERLINK("https%3A%2F%2Fwww.webofscience.com%2Fwos%2Fwoscc%2Ffull-record%2FWOS:000413048000049","View Full Record in Web of Science")</f>
        <v>View Full Record in Web of Science</v>
      </c>
    </row>
    <row r="27" spans="1:72" x14ac:dyDescent="0.15">
      <c r="A27" t="s">
        <v>72</v>
      </c>
      <c r="B27" t="s">
        <v>660</v>
      </c>
      <c r="C27" t="s">
        <v>74</v>
      </c>
      <c r="D27" t="s">
        <v>74</v>
      </c>
      <c r="E27" t="s">
        <v>74</v>
      </c>
      <c r="F27" t="s">
        <v>661</v>
      </c>
      <c r="G27" t="s">
        <v>74</v>
      </c>
      <c r="H27" t="s">
        <v>74</v>
      </c>
      <c r="I27" t="s">
        <v>662</v>
      </c>
      <c r="J27" t="s">
        <v>663</v>
      </c>
      <c r="K27" t="s">
        <v>74</v>
      </c>
      <c r="L27" t="s">
        <v>74</v>
      </c>
      <c r="M27" t="s">
        <v>78</v>
      </c>
      <c r="N27" t="s">
        <v>79</v>
      </c>
      <c r="O27" t="s">
        <v>74</v>
      </c>
      <c r="P27" t="s">
        <v>74</v>
      </c>
      <c r="Q27" t="s">
        <v>74</v>
      </c>
      <c r="R27" t="s">
        <v>74</v>
      </c>
      <c r="S27" t="s">
        <v>74</v>
      </c>
      <c r="T27" t="s">
        <v>664</v>
      </c>
      <c r="U27" t="s">
        <v>665</v>
      </c>
      <c r="V27" t="s">
        <v>666</v>
      </c>
      <c r="W27" t="s">
        <v>667</v>
      </c>
      <c r="X27" t="s">
        <v>668</v>
      </c>
      <c r="Y27" t="s">
        <v>669</v>
      </c>
      <c r="Z27" t="s">
        <v>670</v>
      </c>
      <c r="AA27" t="s">
        <v>671</v>
      </c>
      <c r="AB27" t="s">
        <v>672</v>
      </c>
      <c r="AC27" t="s">
        <v>673</v>
      </c>
      <c r="AD27" t="s">
        <v>674</v>
      </c>
      <c r="AE27" t="s">
        <v>675</v>
      </c>
      <c r="AF27" t="s">
        <v>74</v>
      </c>
      <c r="AG27">
        <v>54</v>
      </c>
      <c r="AH27">
        <v>25</v>
      </c>
      <c r="AI27">
        <v>31</v>
      </c>
      <c r="AJ27">
        <v>1</v>
      </c>
      <c r="AK27">
        <v>28</v>
      </c>
      <c r="AL27" t="s">
        <v>371</v>
      </c>
      <c r="AM27" t="s">
        <v>372</v>
      </c>
      <c r="AN27" t="s">
        <v>373</v>
      </c>
      <c r="AO27" t="s">
        <v>676</v>
      </c>
      <c r="AP27" t="s">
        <v>677</v>
      </c>
      <c r="AQ27" t="s">
        <v>74</v>
      </c>
      <c r="AR27" t="s">
        <v>678</v>
      </c>
      <c r="AS27" t="s">
        <v>679</v>
      </c>
      <c r="AT27" t="s">
        <v>680</v>
      </c>
      <c r="AU27">
        <v>2017</v>
      </c>
      <c r="AV27">
        <v>476</v>
      </c>
      <c r="AW27" t="s">
        <v>74</v>
      </c>
      <c r="AX27" t="s">
        <v>74</v>
      </c>
      <c r="AY27" t="s">
        <v>74</v>
      </c>
      <c r="AZ27" t="s">
        <v>74</v>
      </c>
      <c r="BA27" t="s">
        <v>74</v>
      </c>
      <c r="BB27">
        <v>100</v>
      </c>
      <c r="BC27">
        <v>110</v>
      </c>
      <c r="BD27" t="s">
        <v>74</v>
      </c>
      <c r="BE27" t="s">
        <v>681</v>
      </c>
      <c r="BF27" t="str">
        <f>HYPERLINK("http://dx.doi.org/10.1016/j.epsl.2017.08.005","http://dx.doi.org/10.1016/j.epsl.2017.08.005")</f>
        <v>http://dx.doi.org/10.1016/j.epsl.2017.08.005</v>
      </c>
      <c r="BG27" t="s">
        <v>74</v>
      </c>
      <c r="BH27" t="s">
        <v>74</v>
      </c>
      <c r="BI27">
        <v>11</v>
      </c>
      <c r="BJ27" t="s">
        <v>509</v>
      </c>
      <c r="BK27" t="s">
        <v>101</v>
      </c>
      <c r="BL27" t="s">
        <v>509</v>
      </c>
      <c r="BM27" t="s">
        <v>682</v>
      </c>
      <c r="BN27" t="s">
        <v>74</v>
      </c>
      <c r="BO27" t="s">
        <v>511</v>
      </c>
      <c r="BP27" t="s">
        <v>74</v>
      </c>
      <c r="BQ27" t="s">
        <v>74</v>
      </c>
      <c r="BR27" t="s">
        <v>105</v>
      </c>
      <c r="BS27" t="s">
        <v>683</v>
      </c>
      <c r="BT27" t="str">
        <f>HYPERLINK("https%3A%2F%2Fwww.webofscience.com%2Fwos%2Fwoscc%2Ffull-record%2FWOS:000412259400010","View Full Record in Web of Science")</f>
        <v>View Full Record in Web of Science</v>
      </c>
    </row>
    <row r="28" spans="1:72" x14ac:dyDescent="0.15">
      <c r="A28" t="s">
        <v>72</v>
      </c>
      <c r="B28" t="s">
        <v>684</v>
      </c>
      <c r="C28" t="s">
        <v>74</v>
      </c>
      <c r="D28" t="s">
        <v>74</v>
      </c>
      <c r="E28" t="s">
        <v>74</v>
      </c>
      <c r="F28" t="s">
        <v>685</v>
      </c>
      <c r="G28" t="s">
        <v>74</v>
      </c>
      <c r="H28" t="s">
        <v>74</v>
      </c>
      <c r="I28" t="s">
        <v>686</v>
      </c>
      <c r="J28" t="s">
        <v>663</v>
      </c>
      <c r="K28" t="s">
        <v>74</v>
      </c>
      <c r="L28" t="s">
        <v>74</v>
      </c>
      <c r="M28" t="s">
        <v>78</v>
      </c>
      <c r="N28" t="s">
        <v>79</v>
      </c>
      <c r="O28" t="s">
        <v>74</v>
      </c>
      <c r="P28" t="s">
        <v>74</v>
      </c>
      <c r="Q28" t="s">
        <v>74</v>
      </c>
      <c r="R28" t="s">
        <v>74</v>
      </c>
      <c r="S28" t="s">
        <v>74</v>
      </c>
      <c r="T28" t="s">
        <v>687</v>
      </c>
      <c r="U28" t="s">
        <v>688</v>
      </c>
      <c r="V28" t="s">
        <v>689</v>
      </c>
      <c r="W28" t="s">
        <v>690</v>
      </c>
      <c r="X28" t="s">
        <v>691</v>
      </c>
      <c r="Y28" t="s">
        <v>692</v>
      </c>
      <c r="Z28" t="s">
        <v>693</v>
      </c>
      <c r="AA28" t="s">
        <v>74</v>
      </c>
      <c r="AB28" t="s">
        <v>694</v>
      </c>
      <c r="AC28" t="s">
        <v>695</v>
      </c>
      <c r="AD28" t="s">
        <v>696</v>
      </c>
      <c r="AE28" t="s">
        <v>697</v>
      </c>
      <c r="AF28" t="s">
        <v>74</v>
      </c>
      <c r="AG28">
        <v>49</v>
      </c>
      <c r="AH28">
        <v>23</v>
      </c>
      <c r="AI28">
        <v>23</v>
      </c>
      <c r="AJ28">
        <v>2</v>
      </c>
      <c r="AK28">
        <v>7</v>
      </c>
      <c r="AL28" t="s">
        <v>502</v>
      </c>
      <c r="AM28" t="s">
        <v>372</v>
      </c>
      <c r="AN28" t="s">
        <v>503</v>
      </c>
      <c r="AO28" t="s">
        <v>676</v>
      </c>
      <c r="AP28" t="s">
        <v>677</v>
      </c>
      <c r="AQ28" t="s">
        <v>74</v>
      </c>
      <c r="AR28" t="s">
        <v>678</v>
      </c>
      <c r="AS28" t="s">
        <v>679</v>
      </c>
      <c r="AT28" t="s">
        <v>680</v>
      </c>
      <c r="AU28">
        <v>2017</v>
      </c>
      <c r="AV28">
        <v>476</v>
      </c>
      <c r="AW28" t="s">
        <v>74</v>
      </c>
      <c r="AX28" t="s">
        <v>74</v>
      </c>
      <c r="AY28" t="s">
        <v>74</v>
      </c>
      <c r="AZ28" t="s">
        <v>74</v>
      </c>
      <c r="BA28" t="s">
        <v>74</v>
      </c>
      <c r="BB28">
        <v>132</v>
      </c>
      <c r="BC28">
        <v>142</v>
      </c>
      <c r="BD28" t="s">
        <v>74</v>
      </c>
      <c r="BE28" t="s">
        <v>698</v>
      </c>
      <c r="BF28" t="str">
        <f>HYPERLINK("http://dx.doi.org/10.1016/j.epsl.2017.07.052","http://dx.doi.org/10.1016/j.epsl.2017.07.052")</f>
        <v>http://dx.doi.org/10.1016/j.epsl.2017.07.052</v>
      </c>
      <c r="BG28" t="s">
        <v>74</v>
      </c>
      <c r="BH28" t="s">
        <v>74</v>
      </c>
      <c r="BI28">
        <v>11</v>
      </c>
      <c r="BJ28" t="s">
        <v>509</v>
      </c>
      <c r="BK28" t="s">
        <v>101</v>
      </c>
      <c r="BL28" t="s">
        <v>509</v>
      </c>
      <c r="BM28" t="s">
        <v>682</v>
      </c>
      <c r="BN28" t="s">
        <v>74</v>
      </c>
      <c r="BO28" t="s">
        <v>699</v>
      </c>
      <c r="BP28" t="s">
        <v>74</v>
      </c>
      <c r="BQ28" t="s">
        <v>74</v>
      </c>
      <c r="BR28" t="s">
        <v>105</v>
      </c>
      <c r="BS28" t="s">
        <v>700</v>
      </c>
      <c r="BT28" t="str">
        <f>HYPERLINK("https%3A%2F%2Fwww.webofscience.com%2Fwos%2Fwoscc%2Ffull-record%2FWOS:000412259400013","View Full Record in Web of Science")</f>
        <v>View Full Record in Web of Science</v>
      </c>
    </row>
    <row r="29" spans="1:72" x14ac:dyDescent="0.15">
      <c r="A29" t="s">
        <v>72</v>
      </c>
      <c r="B29" t="s">
        <v>701</v>
      </c>
      <c r="C29" t="s">
        <v>74</v>
      </c>
      <c r="D29" t="s">
        <v>74</v>
      </c>
      <c r="E29" t="s">
        <v>74</v>
      </c>
      <c r="F29" t="s">
        <v>702</v>
      </c>
      <c r="G29" t="s">
        <v>74</v>
      </c>
      <c r="H29" t="s">
        <v>74</v>
      </c>
      <c r="I29" t="s">
        <v>703</v>
      </c>
      <c r="J29" t="s">
        <v>663</v>
      </c>
      <c r="K29" t="s">
        <v>74</v>
      </c>
      <c r="L29" t="s">
        <v>74</v>
      </c>
      <c r="M29" t="s">
        <v>78</v>
      </c>
      <c r="N29" t="s">
        <v>79</v>
      </c>
      <c r="O29" t="s">
        <v>74</v>
      </c>
      <c r="P29" t="s">
        <v>74</v>
      </c>
      <c r="Q29" t="s">
        <v>74</v>
      </c>
      <c r="R29" t="s">
        <v>74</v>
      </c>
      <c r="S29" t="s">
        <v>74</v>
      </c>
      <c r="T29" t="s">
        <v>704</v>
      </c>
      <c r="U29" t="s">
        <v>705</v>
      </c>
      <c r="V29" t="s">
        <v>706</v>
      </c>
      <c r="W29" t="s">
        <v>74</v>
      </c>
      <c r="X29" t="s">
        <v>74</v>
      </c>
      <c r="Y29" t="s">
        <v>74</v>
      </c>
      <c r="Z29" t="s">
        <v>707</v>
      </c>
      <c r="AA29" t="s">
        <v>708</v>
      </c>
      <c r="AB29" t="s">
        <v>709</v>
      </c>
      <c r="AC29" t="s">
        <v>710</v>
      </c>
      <c r="AD29" t="s">
        <v>711</v>
      </c>
      <c r="AE29" t="s">
        <v>712</v>
      </c>
      <c r="AF29" t="s">
        <v>74</v>
      </c>
      <c r="AG29">
        <v>58</v>
      </c>
      <c r="AH29">
        <v>19</v>
      </c>
      <c r="AI29">
        <v>23</v>
      </c>
      <c r="AJ29">
        <v>2</v>
      </c>
      <c r="AK29">
        <v>24</v>
      </c>
      <c r="AL29" t="s">
        <v>371</v>
      </c>
      <c r="AM29" t="s">
        <v>372</v>
      </c>
      <c r="AN29" t="s">
        <v>373</v>
      </c>
      <c r="AO29" t="s">
        <v>676</v>
      </c>
      <c r="AP29" t="s">
        <v>677</v>
      </c>
      <c r="AQ29" t="s">
        <v>74</v>
      </c>
      <c r="AR29" t="s">
        <v>678</v>
      </c>
      <c r="AS29" t="s">
        <v>679</v>
      </c>
      <c r="AT29" t="s">
        <v>680</v>
      </c>
      <c r="AU29">
        <v>2017</v>
      </c>
      <c r="AV29">
        <v>476</v>
      </c>
      <c r="AW29" t="s">
        <v>74</v>
      </c>
      <c r="AX29" t="s">
        <v>74</v>
      </c>
      <c r="AY29" t="s">
        <v>74</v>
      </c>
      <c r="AZ29" t="s">
        <v>74</v>
      </c>
      <c r="BA29" t="s">
        <v>74</v>
      </c>
      <c r="BB29">
        <v>189</v>
      </c>
      <c r="BC29">
        <v>198</v>
      </c>
      <c r="BD29" t="s">
        <v>74</v>
      </c>
      <c r="BE29" t="s">
        <v>713</v>
      </c>
      <c r="BF29" t="str">
        <f>HYPERLINK("http://dx.doi.org/10.1016/j.epsl.2017.08.003","http://dx.doi.org/10.1016/j.epsl.2017.08.003")</f>
        <v>http://dx.doi.org/10.1016/j.epsl.2017.08.003</v>
      </c>
      <c r="BG29" t="s">
        <v>74</v>
      </c>
      <c r="BH29" t="s">
        <v>74</v>
      </c>
      <c r="BI29">
        <v>10</v>
      </c>
      <c r="BJ29" t="s">
        <v>509</v>
      </c>
      <c r="BK29" t="s">
        <v>101</v>
      </c>
      <c r="BL29" t="s">
        <v>509</v>
      </c>
      <c r="BM29" t="s">
        <v>682</v>
      </c>
      <c r="BN29" t="s">
        <v>74</v>
      </c>
      <c r="BO29" t="s">
        <v>511</v>
      </c>
      <c r="BP29" t="s">
        <v>74</v>
      </c>
      <c r="BQ29" t="s">
        <v>74</v>
      </c>
      <c r="BR29" t="s">
        <v>105</v>
      </c>
      <c r="BS29" t="s">
        <v>714</v>
      </c>
      <c r="BT29" t="str">
        <f>HYPERLINK("https%3A%2F%2Fwww.webofscience.com%2Fwos%2Fwoscc%2Ffull-record%2FWOS:000412259400018","View Full Record in Web of Science")</f>
        <v>View Full Record in Web of Science</v>
      </c>
    </row>
    <row r="30" spans="1:72" x14ac:dyDescent="0.15">
      <c r="A30" t="s">
        <v>72</v>
      </c>
      <c r="B30" t="s">
        <v>715</v>
      </c>
      <c r="C30" t="s">
        <v>74</v>
      </c>
      <c r="D30" t="s">
        <v>74</v>
      </c>
      <c r="E30" t="s">
        <v>74</v>
      </c>
      <c r="F30" t="s">
        <v>716</v>
      </c>
      <c r="G30" t="s">
        <v>74</v>
      </c>
      <c r="H30" t="s">
        <v>74</v>
      </c>
      <c r="I30" t="s">
        <v>717</v>
      </c>
      <c r="J30" t="s">
        <v>718</v>
      </c>
      <c r="K30" t="s">
        <v>74</v>
      </c>
      <c r="L30" t="s">
        <v>74</v>
      </c>
      <c r="M30" t="s">
        <v>78</v>
      </c>
      <c r="N30" t="s">
        <v>79</v>
      </c>
      <c r="O30" t="s">
        <v>74</v>
      </c>
      <c r="P30" t="s">
        <v>74</v>
      </c>
      <c r="Q30" t="s">
        <v>74</v>
      </c>
      <c r="R30" t="s">
        <v>74</v>
      </c>
      <c r="S30" t="s">
        <v>74</v>
      </c>
      <c r="T30" t="s">
        <v>719</v>
      </c>
      <c r="U30" t="s">
        <v>720</v>
      </c>
      <c r="V30" t="s">
        <v>721</v>
      </c>
      <c r="W30" t="s">
        <v>722</v>
      </c>
      <c r="X30" t="s">
        <v>723</v>
      </c>
      <c r="Y30" t="s">
        <v>724</v>
      </c>
      <c r="Z30" t="s">
        <v>725</v>
      </c>
      <c r="AA30" t="s">
        <v>726</v>
      </c>
      <c r="AB30" t="s">
        <v>727</v>
      </c>
      <c r="AC30" t="s">
        <v>74</v>
      </c>
      <c r="AD30" t="s">
        <v>74</v>
      </c>
      <c r="AE30" t="s">
        <v>74</v>
      </c>
      <c r="AF30" t="s">
        <v>74</v>
      </c>
      <c r="AG30">
        <v>40</v>
      </c>
      <c r="AH30">
        <v>84</v>
      </c>
      <c r="AI30">
        <v>109</v>
      </c>
      <c r="AJ30">
        <v>12</v>
      </c>
      <c r="AK30">
        <v>198</v>
      </c>
      <c r="AL30" t="s">
        <v>728</v>
      </c>
      <c r="AM30" t="s">
        <v>729</v>
      </c>
      <c r="AN30" t="s">
        <v>730</v>
      </c>
      <c r="AO30" t="s">
        <v>731</v>
      </c>
      <c r="AP30" t="s">
        <v>732</v>
      </c>
      <c r="AQ30" t="s">
        <v>74</v>
      </c>
      <c r="AR30" t="s">
        <v>733</v>
      </c>
      <c r="AS30" t="s">
        <v>734</v>
      </c>
      <c r="AT30" t="s">
        <v>680</v>
      </c>
      <c r="AU30">
        <v>2017</v>
      </c>
      <c r="AV30">
        <v>233</v>
      </c>
      <c r="AW30" t="s">
        <v>74</v>
      </c>
      <c r="AX30" t="s">
        <v>74</v>
      </c>
      <c r="AY30" t="s">
        <v>74</v>
      </c>
      <c r="AZ30" t="s">
        <v>74</v>
      </c>
      <c r="BA30" t="s">
        <v>74</v>
      </c>
      <c r="BB30">
        <v>434</v>
      </c>
      <c r="BC30">
        <v>441</v>
      </c>
      <c r="BD30" t="s">
        <v>74</v>
      </c>
      <c r="BE30" t="s">
        <v>735</v>
      </c>
      <c r="BF30" t="str">
        <f>HYPERLINK("http://dx.doi.org/10.1016/j.foodchem.2017.04.138","http://dx.doi.org/10.1016/j.foodchem.2017.04.138")</f>
        <v>http://dx.doi.org/10.1016/j.foodchem.2017.04.138</v>
      </c>
      <c r="BG30" t="s">
        <v>74</v>
      </c>
      <c r="BH30" t="s">
        <v>74</v>
      </c>
      <c r="BI30">
        <v>8</v>
      </c>
      <c r="BJ30" t="s">
        <v>736</v>
      </c>
      <c r="BK30" t="s">
        <v>101</v>
      </c>
      <c r="BL30" t="s">
        <v>737</v>
      </c>
      <c r="BM30" t="s">
        <v>738</v>
      </c>
      <c r="BN30">
        <v>28530595</v>
      </c>
      <c r="BO30" t="s">
        <v>74</v>
      </c>
      <c r="BP30" t="s">
        <v>74</v>
      </c>
      <c r="BQ30" t="s">
        <v>74</v>
      </c>
      <c r="BR30" t="s">
        <v>105</v>
      </c>
      <c r="BS30" t="s">
        <v>739</v>
      </c>
      <c r="BT30" t="str">
        <f>HYPERLINK("https%3A%2F%2Fwww.webofscience.com%2Fwos%2Fwoscc%2Ffull-record%2FWOS:000402343100051","View Full Record in Web of Science")</f>
        <v>View Full Record in Web of Science</v>
      </c>
    </row>
    <row r="31" spans="1:72" x14ac:dyDescent="0.15">
      <c r="A31" t="s">
        <v>72</v>
      </c>
      <c r="B31" t="s">
        <v>740</v>
      </c>
      <c r="C31" t="s">
        <v>74</v>
      </c>
      <c r="D31" t="s">
        <v>74</v>
      </c>
      <c r="E31" t="s">
        <v>74</v>
      </c>
      <c r="F31" t="s">
        <v>741</v>
      </c>
      <c r="G31" t="s">
        <v>74</v>
      </c>
      <c r="H31" t="s">
        <v>74</v>
      </c>
      <c r="I31" t="s">
        <v>742</v>
      </c>
      <c r="J31" t="s">
        <v>743</v>
      </c>
      <c r="K31" t="s">
        <v>74</v>
      </c>
      <c r="L31" t="s">
        <v>74</v>
      </c>
      <c r="M31" t="s">
        <v>78</v>
      </c>
      <c r="N31" t="s">
        <v>79</v>
      </c>
      <c r="O31" t="s">
        <v>74</v>
      </c>
      <c r="P31" t="s">
        <v>74</v>
      </c>
      <c r="Q31" t="s">
        <v>74</v>
      </c>
      <c r="R31" t="s">
        <v>74</v>
      </c>
      <c r="S31" t="s">
        <v>74</v>
      </c>
      <c r="T31" t="s">
        <v>744</v>
      </c>
      <c r="U31" t="s">
        <v>745</v>
      </c>
      <c r="V31" t="s">
        <v>746</v>
      </c>
      <c r="W31" t="s">
        <v>747</v>
      </c>
      <c r="X31" t="s">
        <v>748</v>
      </c>
      <c r="Y31" t="s">
        <v>749</v>
      </c>
      <c r="Z31" t="s">
        <v>750</v>
      </c>
      <c r="AA31" t="s">
        <v>74</v>
      </c>
      <c r="AB31" t="s">
        <v>751</v>
      </c>
      <c r="AC31" t="s">
        <v>752</v>
      </c>
      <c r="AD31" t="s">
        <v>753</v>
      </c>
      <c r="AE31" t="s">
        <v>754</v>
      </c>
      <c r="AF31" t="s">
        <v>74</v>
      </c>
      <c r="AG31">
        <v>107</v>
      </c>
      <c r="AH31">
        <v>10</v>
      </c>
      <c r="AI31">
        <v>10</v>
      </c>
      <c r="AJ31">
        <v>1</v>
      </c>
      <c r="AK31">
        <v>25</v>
      </c>
      <c r="AL31" t="s">
        <v>755</v>
      </c>
      <c r="AM31" t="s">
        <v>756</v>
      </c>
      <c r="AN31" t="s">
        <v>757</v>
      </c>
      <c r="AO31" t="s">
        <v>758</v>
      </c>
      <c r="AP31" t="s">
        <v>759</v>
      </c>
      <c r="AQ31" t="s">
        <v>74</v>
      </c>
      <c r="AR31" t="s">
        <v>760</v>
      </c>
      <c r="AS31" t="s">
        <v>761</v>
      </c>
      <c r="AT31" t="s">
        <v>762</v>
      </c>
      <c r="AU31">
        <v>2017</v>
      </c>
      <c r="AV31">
        <v>581</v>
      </c>
      <c r="AW31" t="s">
        <v>74</v>
      </c>
      <c r="AX31" t="s">
        <v>74</v>
      </c>
      <c r="AY31" t="s">
        <v>74</v>
      </c>
      <c r="AZ31" t="s">
        <v>74</v>
      </c>
      <c r="BA31" t="s">
        <v>74</v>
      </c>
      <c r="BB31">
        <v>183</v>
      </c>
      <c r="BC31">
        <v>198</v>
      </c>
      <c r="BD31" t="s">
        <v>74</v>
      </c>
      <c r="BE31" t="s">
        <v>763</v>
      </c>
      <c r="BF31" t="str">
        <f>HYPERLINK("http://dx.doi.org/10.3354/meps12296","http://dx.doi.org/10.3354/meps12296")</f>
        <v>http://dx.doi.org/10.3354/meps12296</v>
      </c>
      <c r="BG31" t="s">
        <v>74</v>
      </c>
      <c r="BH31" t="s">
        <v>74</v>
      </c>
      <c r="BI31">
        <v>16</v>
      </c>
      <c r="BJ31" t="s">
        <v>764</v>
      </c>
      <c r="BK31" t="s">
        <v>765</v>
      </c>
      <c r="BL31" t="s">
        <v>766</v>
      </c>
      <c r="BM31" t="s">
        <v>767</v>
      </c>
      <c r="BN31" t="s">
        <v>74</v>
      </c>
      <c r="BO31" t="s">
        <v>768</v>
      </c>
      <c r="BP31" t="s">
        <v>74</v>
      </c>
      <c r="BQ31" t="s">
        <v>74</v>
      </c>
      <c r="BR31" t="s">
        <v>105</v>
      </c>
      <c r="BS31" t="s">
        <v>769</v>
      </c>
      <c r="BT31" t="str">
        <f>HYPERLINK("https%3A%2F%2Fwww.webofscience.com%2Fwos%2Fwoscc%2Ffull-record%2FWOS:000414582700013","View Full Record in Web of Science")</f>
        <v>View Full Record in Web of Science</v>
      </c>
    </row>
    <row r="32" spans="1:72" x14ac:dyDescent="0.15">
      <c r="A32" t="s">
        <v>72</v>
      </c>
      <c r="B32" t="s">
        <v>770</v>
      </c>
      <c r="C32" t="s">
        <v>74</v>
      </c>
      <c r="D32" t="s">
        <v>74</v>
      </c>
      <c r="E32" t="s">
        <v>74</v>
      </c>
      <c r="F32" t="s">
        <v>771</v>
      </c>
      <c r="G32" t="s">
        <v>74</v>
      </c>
      <c r="H32" t="s">
        <v>74</v>
      </c>
      <c r="I32" t="s">
        <v>772</v>
      </c>
      <c r="J32" t="s">
        <v>743</v>
      </c>
      <c r="K32" t="s">
        <v>74</v>
      </c>
      <c r="L32" t="s">
        <v>74</v>
      </c>
      <c r="M32" t="s">
        <v>78</v>
      </c>
      <c r="N32" t="s">
        <v>79</v>
      </c>
      <c r="O32" t="s">
        <v>74</v>
      </c>
      <c r="P32" t="s">
        <v>74</v>
      </c>
      <c r="Q32" t="s">
        <v>74</v>
      </c>
      <c r="R32" t="s">
        <v>74</v>
      </c>
      <c r="S32" t="s">
        <v>74</v>
      </c>
      <c r="T32" t="s">
        <v>773</v>
      </c>
      <c r="U32" t="s">
        <v>774</v>
      </c>
      <c r="V32" t="s">
        <v>775</v>
      </c>
      <c r="W32" t="s">
        <v>776</v>
      </c>
      <c r="X32" t="s">
        <v>777</v>
      </c>
      <c r="Y32" t="s">
        <v>778</v>
      </c>
      <c r="Z32" t="s">
        <v>779</v>
      </c>
      <c r="AA32" t="s">
        <v>780</v>
      </c>
      <c r="AB32" t="s">
        <v>781</v>
      </c>
      <c r="AC32" t="s">
        <v>782</v>
      </c>
      <c r="AD32" t="s">
        <v>783</v>
      </c>
      <c r="AE32" t="s">
        <v>784</v>
      </c>
      <c r="AF32" t="s">
        <v>74</v>
      </c>
      <c r="AG32">
        <v>71</v>
      </c>
      <c r="AH32">
        <v>9</v>
      </c>
      <c r="AI32">
        <v>13</v>
      </c>
      <c r="AJ32">
        <v>0</v>
      </c>
      <c r="AK32">
        <v>18</v>
      </c>
      <c r="AL32" t="s">
        <v>755</v>
      </c>
      <c r="AM32" t="s">
        <v>756</v>
      </c>
      <c r="AN32" t="s">
        <v>757</v>
      </c>
      <c r="AO32" t="s">
        <v>758</v>
      </c>
      <c r="AP32" t="s">
        <v>759</v>
      </c>
      <c r="AQ32" t="s">
        <v>74</v>
      </c>
      <c r="AR32" t="s">
        <v>760</v>
      </c>
      <c r="AS32" t="s">
        <v>761</v>
      </c>
      <c r="AT32" t="s">
        <v>762</v>
      </c>
      <c r="AU32">
        <v>2017</v>
      </c>
      <c r="AV32">
        <v>581</v>
      </c>
      <c r="AW32" t="s">
        <v>74</v>
      </c>
      <c r="AX32" t="s">
        <v>74</v>
      </c>
      <c r="AY32" t="s">
        <v>74</v>
      </c>
      <c r="AZ32" t="s">
        <v>74</v>
      </c>
      <c r="BA32" t="s">
        <v>74</v>
      </c>
      <c r="BB32">
        <v>215</v>
      </c>
      <c r="BC32">
        <v>227</v>
      </c>
      <c r="BD32" t="s">
        <v>74</v>
      </c>
      <c r="BE32" t="s">
        <v>785</v>
      </c>
      <c r="BF32" t="str">
        <f>HYPERLINK("http://dx.doi.org/10.3354/meps12312","http://dx.doi.org/10.3354/meps12312")</f>
        <v>http://dx.doi.org/10.3354/meps12312</v>
      </c>
      <c r="BG32" t="s">
        <v>74</v>
      </c>
      <c r="BH32" t="s">
        <v>74</v>
      </c>
      <c r="BI32">
        <v>13</v>
      </c>
      <c r="BJ32" t="s">
        <v>764</v>
      </c>
      <c r="BK32" t="s">
        <v>101</v>
      </c>
      <c r="BL32" t="s">
        <v>766</v>
      </c>
      <c r="BM32" t="s">
        <v>767</v>
      </c>
      <c r="BN32" t="s">
        <v>74</v>
      </c>
      <c r="BO32" t="s">
        <v>786</v>
      </c>
      <c r="BP32" t="s">
        <v>74</v>
      </c>
      <c r="BQ32" t="s">
        <v>74</v>
      </c>
      <c r="BR32" t="s">
        <v>105</v>
      </c>
      <c r="BS32" t="s">
        <v>787</v>
      </c>
      <c r="BT32" t="str">
        <f>HYPERLINK("https%3A%2F%2Fwww.webofscience.com%2Fwos%2Fwoscc%2Ffull-record%2FWOS:000414582700015","View Full Record in Web of Science")</f>
        <v>View Full Record in Web of Science</v>
      </c>
    </row>
    <row r="33" spans="1:72" x14ac:dyDescent="0.15">
      <c r="A33" t="s">
        <v>72</v>
      </c>
      <c r="B33" t="s">
        <v>788</v>
      </c>
      <c r="C33" t="s">
        <v>74</v>
      </c>
      <c r="D33" t="s">
        <v>74</v>
      </c>
      <c r="E33" t="s">
        <v>74</v>
      </c>
      <c r="F33" t="s">
        <v>789</v>
      </c>
      <c r="G33" t="s">
        <v>74</v>
      </c>
      <c r="H33" t="s">
        <v>74</v>
      </c>
      <c r="I33" t="s">
        <v>790</v>
      </c>
      <c r="J33" t="s">
        <v>791</v>
      </c>
      <c r="K33" t="s">
        <v>74</v>
      </c>
      <c r="L33" t="s">
        <v>74</v>
      </c>
      <c r="M33" t="s">
        <v>78</v>
      </c>
      <c r="N33" t="s">
        <v>79</v>
      </c>
      <c r="O33" t="s">
        <v>74</v>
      </c>
      <c r="P33" t="s">
        <v>74</v>
      </c>
      <c r="Q33" t="s">
        <v>74</v>
      </c>
      <c r="R33" t="s">
        <v>74</v>
      </c>
      <c r="S33" t="s">
        <v>74</v>
      </c>
      <c r="T33" t="s">
        <v>792</v>
      </c>
      <c r="U33" t="s">
        <v>793</v>
      </c>
      <c r="V33" t="s">
        <v>794</v>
      </c>
      <c r="W33" t="s">
        <v>795</v>
      </c>
      <c r="X33" t="s">
        <v>796</v>
      </c>
      <c r="Y33" t="s">
        <v>797</v>
      </c>
      <c r="Z33" t="s">
        <v>798</v>
      </c>
      <c r="AA33" t="s">
        <v>799</v>
      </c>
      <c r="AB33" t="s">
        <v>800</v>
      </c>
      <c r="AC33" t="s">
        <v>801</v>
      </c>
      <c r="AD33" t="s">
        <v>802</v>
      </c>
      <c r="AE33" t="s">
        <v>803</v>
      </c>
      <c r="AF33" t="s">
        <v>74</v>
      </c>
      <c r="AG33">
        <v>68</v>
      </c>
      <c r="AH33">
        <v>8</v>
      </c>
      <c r="AI33">
        <v>9</v>
      </c>
      <c r="AJ33">
        <v>1</v>
      </c>
      <c r="AK33">
        <v>8</v>
      </c>
      <c r="AL33" t="s">
        <v>804</v>
      </c>
      <c r="AM33" t="s">
        <v>805</v>
      </c>
      <c r="AN33" t="s">
        <v>806</v>
      </c>
      <c r="AO33" t="s">
        <v>807</v>
      </c>
      <c r="AP33" t="s">
        <v>808</v>
      </c>
      <c r="AQ33" t="s">
        <v>74</v>
      </c>
      <c r="AR33" t="s">
        <v>791</v>
      </c>
      <c r="AS33" t="s">
        <v>809</v>
      </c>
      <c r="AT33" t="s">
        <v>762</v>
      </c>
      <c r="AU33">
        <v>2017</v>
      </c>
      <c r="AV33">
        <v>324</v>
      </c>
      <c r="AW33">
        <v>3</v>
      </c>
      <c r="AX33" t="s">
        <v>74</v>
      </c>
      <c r="AY33" t="s">
        <v>74</v>
      </c>
      <c r="AZ33" t="s">
        <v>74</v>
      </c>
      <c r="BA33" t="s">
        <v>74</v>
      </c>
      <c r="BB33">
        <v>201</v>
      </c>
      <c r="BC33">
        <v>238</v>
      </c>
      <c r="BD33" t="s">
        <v>74</v>
      </c>
      <c r="BE33" t="s">
        <v>810</v>
      </c>
      <c r="BF33" t="str">
        <f>HYPERLINK("http://dx.doi.org/10.11646/phytotaxa.324.3.1","http://dx.doi.org/10.11646/phytotaxa.324.3.1")</f>
        <v>http://dx.doi.org/10.11646/phytotaxa.324.3.1</v>
      </c>
      <c r="BG33" t="s">
        <v>74</v>
      </c>
      <c r="BH33" t="s">
        <v>74</v>
      </c>
      <c r="BI33">
        <v>38</v>
      </c>
      <c r="BJ33" t="s">
        <v>811</v>
      </c>
      <c r="BK33" t="s">
        <v>101</v>
      </c>
      <c r="BL33" t="s">
        <v>811</v>
      </c>
      <c r="BM33" t="s">
        <v>812</v>
      </c>
      <c r="BN33" t="s">
        <v>74</v>
      </c>
      <c r="BO33" t="s">
        <v>74</v>
      </c>
      <c r="BP33" t="s">
        <v>74</v>
      </c>
      <c r="BQ33" t="s">
        <v>74</v>
      </c>
      <c r="BR33" t="s">
        <v>105</v>
      </c>
      <c r="BS33" t="s">
        <v>813</v>
      </c>
      <c r="BT33" t="str">
        <f>HYPERLINK("https%3A%2F%2Fwww.webofscience.com%2Fwos%2Fwoscc%2Ffull-record%2FWOS:000412902500001","View Full Record in Web of Science")</f>
        <v>View Full Record in Web of Science</v>
      </c>
    </row>
    <row r="34" spans="1:72" x14ac:dyDescent="0.15">
      <c r="A34" t="s">
        <v>72</v>
      </c>
      <c r="B34" t="s">
        <v>814</v>
      </c>
      <c r="C34" t="s">
        <v>74</v>
      </c>
      <c r="D34" t="s">
        <v>74</v>
      </c>
      <c r="E34" t="s">
        <v>74</v>
      </c>
      <c r="F34" t="s">
        <v>815</v>
      </c>
      <c r="G34" t="s">
        <v>74</v>
      </c>
      <c r="H34" t="s">
        <v>74</v>
      </c>
      <c r="I34" t="s">
        <v>816</v>
      </c>
      <c r="J34" t="s">
        <v>817</v>
      </c>
      <c r="K34" t="s">
        <v>74</v>
      </c>
      <c r="L34" t="s">
        <v>74</v>
      </c>
      <c r="M34" t="s">
        <v>78</v>
      </c>
      <c r="N34" t="s">
        <v>79</v>
      </c>
      <c r="O34" t="s">
        <v>74</v>
      </c>
      <c r="P34" t="s">
        <v>74</v>
      </c>
      <c r="Q34" t="s">
        <v>74</v>
      </c>
      <c r="R34" t="s">
        <v>74</v>
      </c>
      <c r="S34" t="s">
        <v>74</v>
      </c>
      <c r="T34" t="s">
        <v>74</v>
      </c>
      <c r="U34" t="s">
        <v>818</v>
      </c>
      <c r="V34" t="s">
        <v>819</v>
      </c>
      <c r="W34" t="s">
        <v>820</v>
      </c>
      <c r="X34" t="s">
        <v>821</v>
      </c>
      <c r="Y34" t="s">
        <v>822</v>
      </c>
      <c r="Z34" t="s">
        <v>823</v>
      </c>
      <c r="AA34" t="s">
        <v>824</v>
      </c>
      <c r="AB34" t="s">
        <v>825</v>
      </c>
      <c r="AC34" t="s">
        <v>826</v>
      </c>
      <c r="AD34" t="s">
        <v>827</v>
      </c>
      <c r="AE34" t="s">
        <v>828</v>
      </c>
      <c r="AF34" t="s">
        <v>74</v>
      </c>
      <c r="AG34">
        <v>95</v>
      </c>
      <c r="AH34">
        <v>48</v>
      </c>
      <c r="AI34">
        <v>49</v>
      </c>
      <c r="AJ34">
        <v>2</v>
      </c>
      <c r="AK34">
        <v>59</v>
      </c>
      <c r="AL34" t="s">
        <v>311</v>
      </c>
      <c r="AM34" t="s">
        <v>312</v>
      </c>
      <c r="AN34" t="s">
        <v>313</v>
      </c>
      <c r="AO34" t="s">
        <v>829</v>
      </c>
      <c r="AP34" t="s">
        <v>830</v>
      </c>
      <c r="AQ34" t="s">
        <v>74</v>
      </c>
      <c r="AR34" t="s">
        <v>831</v>
      </c>
      <c r="AS34" t="s">
        <v>832</v>
      </c>
      <c r="AT34" t="s">
        <v>762</v>
      </c>
      <c r="AU34">
        <v>2017</v>
      </c>
      <c r="AV34">
        <v>17</v>
      </c>
      <c r="AW34">
        <v>19</v>
      </c>
      <c r="AX34" t="s">
        <v>74</v>
      </c>
      <c r="AY34" t="s">
        <v>74</v>
      </c>
      <c r="AZ34" t="s">
        <v>74</v>
      </c>
      <c r="BA34" t="s">
        <v>74</v>
      </c>
      <c r="BB34">
        <v>12197</v>
      </c>
      <c r="BC34">
        <v>12218</v>
      </c>
      <c r="BD34" t="s">
        <v>74</v>
      </c>
      <c r="BE34" t="s">
        <v>833</v>
      </c>
      <c r="BF34" t="str">
        <f>HYPERLINK("http://dx.doi.org/10.5194/acp-17-12197-2017","http://dx.doi.org/10.5194/acp-17-12197-2017")</f>
        <v>http://dx.doi.org/10.5194/acp-17-12197-2017</v>
      </c>
      <c r="BG34" t="s">
        <v>74</v>
      </c>
      <c r="BH34" t="s">
        <v>74</v>
      </c>
      <c r="BI34">
        <v>22</v>
      </c>
      <c r="BJ34" t="s">
        <v>834</v>
      </c>
      <c r="BK34" t="s">
        <v>101</v>
      </c>
      <c r="BL34" t="s">
        <v>835</v>
      </c>
      <c r="BM34" t="s">
        <v>836</v>
      </c>
      <c r="BN34" t="s">
        <v>74</v>
      </c>
      <c r="BO34" t="s">
        <v>837</v>
      </c>
      <c r="BP34" t="s">
        <v>74</v>
      </c>
      <c r="BQ34" t="s">
        <v>74</v>
      </c>
      <c r="BR34" t="s">
        <v>105</v>
      </c>
      <c r="BS34" t="s">
        <v>838</v>
      </c>
      <c r="BT34" t="str">
        <f>HYPERLINK("https%3A%2F%2Fwww.webofscience.com%2Fwos%2Fwoscc%2Ffull-record%2FWOS:000412937900001","View Full Record in Web of Science")</f>
        <v>View Full Record in Web of Science</v>
      </c>
    </row>
    <row r="35" spans="1:72" x14ac:dyDescent="0.15">
      <c r="A35" t="s">
        <v>72</v>
      </c>
      <c r="B35" t="s">
        <v>839</v>
      </c>
      <c r="C35" t="s">
        <v>74</v>
      </c>
      <c r="D35" t="s">
        <v>74</v>
      </c>
      <c r="E35" t="s">
        <v>74</v>
      </c>
      <c r="F35" t="s">
        <v>840</v>
      </c>
      <c r="G35" t="s">
        <v>74</v>
      </c>
      <c r="H35" t="s">
        <v>74</v>
      </c>
      <c r="I35" t="s">
        <v>841</v>
      </c>
      <c r="J35" t="s">
        <v>743</v>
      </c>
      <c r="K35" t="s">
        <v>74</v>
      </c>
      <c r="L35" t="s">
        <v>74</v>
      </c>
      <c r="M35" t="s">
        <v>78</v>
      </c>
      <c r="N35" t="s">
        <v>79</v>
      </c>
      <c r="O35" t="s">
        <v>74</v>
      </c>
      <c r="P35" t="s">
        <v>74</v>
      </c>
      <c r="Q35" t="s">
        <v>74</v>
      </c>
      <c r="R35" t="s">
        <v>74</v>
      </c>
      <c r="S35" t="s">
        <v>74</v>
      </c>
      <c r="T35" t="s">
        <v>842</v>
      </c>
      <c r="U35" t="s">
        <v>843</v>
      </c>
      <c r="V35" t="s">
        <v>844</v>
      </c>
      <c r="W35" t="s">
        <v>845</v>
      </c>
      <c r="X35" t="s">
        <v>846</v>
      </c>
      <c r="Y35" t="s">
        <v>847</v>
      </c>
      <c r="Z35" t="s">
        <v>848</v>
      </c>
      <c r="AA35" t="s">
        <v>849</v>
      </c>
      <c r="AB35" t="s">
        <v>850</v>
      </c>
      <c r="AC35" t="s">
        <v>851</v>
      </c>
      <c r="AD35" t="s">
        <v>852</v>
      </c>
      <c r="AE35" t="s">
        <v>853</v>
      </c>
      <c r="AF35" t="s">
        <v>74</v>
      </c>
      <c r="AG35">
        <v>75</v>
      </c>
      <c r="AH35">
        <v>12</v>
      </c>
      <c r="AI35">
        <v>12</v>
      </c>
      <c r="AJ35">
        <v>1</v>
      </c>
      <c r="AK35">
        <v>35</v>
      </c>
      <c r="AL35" t="s">
        <v>755</v>
      </c>
      <c r="AM35" t="s">
        <v>756</v>
      </c>
      <c r="AN35" t="s">
        <v>757</v>
      </c>
      <c r="AO35" t="s">
        <v>758</v>
      </c>
      <c r="AP35" t="s">
        <v>759</v>
      </c>
      <c r="AQ35" t="s">
        <v>74</v>
      </c>
      <c r="AR35" t="s">
        <v>760</v>
      </c>
      <c r="AS35" t="s">
        <v>761</v>
      </c>
      <c r="AT35" t="s">
        <v>762</v>
      </c>
      <c r="AU35">
        <v>2017</v>
      </c>
      <c r="AV35">
        <v>581</v>
      </c>
      <c r="AW35" t="s">
        <v>74</v>
      </c>
      <c r="AX35" t="s">
        <v>74</v>
      </c>
      <c r="AY35" t="s">
        <v>74</v>
      </c>
      <c r="AZ35" t="s">
        <v>74</v>
      </c>
      <c r="BA35" t="s">
        <v>74</v>
      </c>
      <c r="BB35">
        <v>45</v>
      </c>
      <c r="BC35">
        <v>56</v>
      </c>
      <c r="BD35" t="s">
        <v>74</v>
      </c>
      <c r="BE35" t="s">
        <v>854</v>
      </c>
      <c r="BF35" t="str">
        <f>HYPERLINK("http://dx.doi.org/10.3354/meps12308","http://dx.doi.org/10.3354/meps12308")</f>
        <v>http://dx.doi.org/10.3354/meps12308</v>
      </c>
      <c r="BG35" t="s">
        <v>74</v>
      </c>
      <c r="BH35" t="s">
        <v>74</v>
      </c>
      <c r="BI35">
        <v>12</v>
      </c>
      <c r="BJ35" t="s">
        <v>764</v>
      </c>
      <c r="BK35" t="s">
        <v>101</v>
      </c>
      <c r="BL35" t="s">
        <v>766</v>
      </c>
      <c r="BM35" t="s">
        <v>767</v>
      </c>
      <c r="BN35" t="s">
        <v>74</v>
      </c>
      <c r="BO35" t="s">
        <v>855</v>
      </c>
      <c r="BP35" t="s">
        <v>74</v>
      </c>
      <c r="BQ35" t="s">
        <v>74</v>
      </c>
      <c r="BR35" t="s">
        <v>105</v>
      </c>
      <c r="BS35" t="s">
        <v>856</v>
      </c>
      <c r="BT35" t="str">
        <f>HYPERLINK("https%3A%2F%2Fwww.webofscience.com%2Fwos%2Fwoscc%2Ffull-record%2FWOS:000414582700004","View Full Record in Web of Science")</f>
        <v>View Full Record in Web of Science</v>
      </c>
    </row>
    <row r="36" spans="1:72" x14ac:dyDescent="0.15">
      <c r="A36" t="s">
        <v>72</v>
      </c>
      <c r="B36" t="s">
        <v>857</v>
      </c>
      <c r="C36" t="s">
        <v>74</v>
      </c>
      <c r="D36" t="s">
        <v>74</v>
      </c>
      <c r="E36" t="s">
        <v>74</v>
      </c>
      <c r="F36" t="s">
        <v>858</v>
      </c>
      <c r="G36" t="s">
        <v>74</v>
      </c>
      <c r="H36" t="s">
        <v>74</v>
      </c>
      <c r="I36" t="s">
        <v>859</v>
      </c>
      <c r="J36" t="s">
        <v>860</v>
      </c>
      <c r="K36" t="s">
        <v>74</v>
      </c>
      <c r="L36" t="s">
        <v>74</v>
      </c>
      <c r="M36" t="s">
        <v>78</v>
      </c>
      <c r="N36" t="s">
        <v>79</v>
      </c>
      <c r="O36" t="s">
        <v>74</v>
      </c>
      <c r="P36" t="s">
        <v>74</v>
      </c>
      <c r="Q36" t="s">
        <v>74</v>
      </c>
      <c r="R36" t="s">
        <v>74</v>
      </c>
      <c r="S36" t="s">
        <v>74</v>
      </c>
      <c r="T36" t="s">
        <v>74</v>
      </c>
      <c r="U36" t="s">
        <v>861</v>
      </c>
      <c r="V36" t="s">
        <v>862</v>
      </c>
      <c r="W36" t="s">
        <v>863</v>
      </c>
      <c r="X36" t="s">
        <v>864</v>
      </c>
      <c r="Y36" t="s">
        <v>865</v>
      </c>
      <c r="Z36" t="s">
        <v>866</v>
      </c>
      <c r="AA36" t="s">
        <v>867</v>
      </c>
      <c r="AB36" t="s">
        <v>868</v>
      </c>
      <c r="AC36" t="s">
        <v>869</v>
      </c>
      <c r="AD36" t="s">
        <v>870</v>
      </c>
      <c r="AE36" t="s">
        <v>871</v>
      </c>
      <c r="AF36" t="s">
        <v>74</v>
      </c>
      <c r="AG36">
        <v>98</v>
      </c>
      <c r="AH36">
        <v>4</v>
      </c>
      <c r="AI36">
        <v>10</v>
      </c>
      <c r="AJ36">
        <v>0</v>
      </c>
      <c r="AK36">
        <v>22</v>
      </c>
      <c r="AL36" t="s">
        <v>872</v>
      </c>
      <c r="AM36" t="s">
        <v>873</v>
      </c>
      <c r="AN36" t="s">
        <v>874</v>
      </c>
      <c r="AO36" t="s">
        <v>875</v>
      </c>
      <c r="AP36" t="s">
        <v>74</v>
      </c>
      <c r="AQ36" t="s">
        <v>74</v>
      </c>
      <c r="AR36" t="s">
        <v>860</v>
      </c>
      <c r="AS36" t="s">
        <v>876</v>
      </c>
      <c r="AT36" t="s">
        <v>877</v>
      </c>
      <c r="AU36">
        <v>2017</v>
      </c>
      <c r="AV36">
        <v>12</v>
      </c>
      <c r="AW36">
        <v>10</v>
      </c>
      <c r="AX36" t="s">
        <v>74</v>
      </c>
      <c r="AY36" t="s">
        <v>74</v>
      </c>
      <c r="AZ36" t="s">
        <v>74</v>
      </c>
      <c r="BA36" t="s">
        <v>74</v>
      </c>
      <c r="BB36" t="s">
        <v>74</v>
      </c>
      <c r="BC36" t="s">
        <v>74</v>
      </c>
      <c r="BD36" t="s">
        <v>878</v>
      </c>
      <c r="BE36" t="s">
        <v>879</v>
      </c>
      <c r="BF36" t="str">
        <f>HYPERLINK("http://dx.doi.org/10.1371/journal.pone.0186181","http://dx.doi.org/10.1371/journal.pone.0186181")</f>
        <v>http://dx.doi.org/10.1371/journal.pone.0186181</v>
      </c>
      <c r="BG36" t="s">
        <v>74</v>
      </c>
      <c r="BH36" t="s">
        <v>74</v>
      </c>
      <c r="BI36">
        <v>24</v>
      </c>
      <c r="BJ36" t="s">
        <v>190</v>
      </c>
      <c r="BK36" t="s">
        <v>101</v>
      </c>
      <c r="BL36" t="s">
        <v>191</v>
      </c>
      <c r="BM36" t="s">
        <v>880</v>
      </c>
      <c r="BN36">
        <v>29023598</v>
      </c>
      <c r="BO36" t="s">
        <v>658</v>
      </c>
      <c r="BP36" t="s">
        <v>74</v>
      </c>
      <c r="BQ36" t="s">
        <v>74</v>
      </c>
      <c r="BR36" t="s">
        <v>105</v>
      </c>
      <c r="BS36" t="s">
        <v>881</v>
      </c>
      <c r="BT36" t="str">
        <f>HYPERLINK("https%3A%2F%2Fwww.webofscience.com%2Fwos%2Fwoscc%2Ffull-record%2FWOS:000412845100075","View Full Record in Web of Science")</f>
        <v>View Full Record in Web of Science</v>
      </c>
    </row>
    <row r="37" spans="1:72" x14ac:dyDescent="0.15">
      <c r="A37" t="s">
        <v>72</v>
      </c>
      <c r="B37" t="s">
        <v>882</v>
      </c>
      <c r="C37" t="s">
        <v>74</v>
      </c>
      <c r="D37" t="s">
        <v>74</v>
      </c>
      <c r="E37" t="s">
        <v>74</v>
      </c>
      <c r="F37" t="s">
        <v>883</v>
      </c>
      <c r="G37" t="s">
        <v>74</v>
      </c>
      <c r="H37" t="s">
        <v>74</v>
      </c>
      <c r="I37" t="s">
        <v>884</v>
      </c>
      <c r="J37" t="s">
        <v>638</v>
      </c>
      <c r="K37" t="s">
        <v>74</v>
      </c>
      <c r="L37" t="s">
        <v>74</v>
      </c>
      <c r="M37" t="s">
        <v>78</v>
      </c>
      <c r="N37" t="s">
        <v>79</v>
      </c>
      <c r="O37" t="s">
        <v>74</v>
      </c>
      <c r="P37" t="s">
        <v>74</v>
      </c>
      <c r="Q37" t="s">
        <v>74</v>
      </c>
      <c r="R37" t="s">
        <v>74</v>
      </c>
      <c r="S37" t="s">
        <v>74</v>
      </c>
      <c r="T37" t="s">
        <v>74</v>
      </c>
      <c r="U37" t="s">
        <v>885</v>
      </c>
      <c r="V37" t="s">
        <v>886</v>
      </c>
      <c r="W37" t="s">
        <v>887</v>
      </c>
      <c r="X37" t="s">
        <v>888</v>
      </c>
      <c r="Y37" t="s">
        <v>889</v>
      </c>
      <c r="Z37" t="s">
        <v>890</v>
      </c>
      <c r="AA37" t="s">
        <v>891</v>
      </c>
      <c r="AB37" t="s">
        <v>892</v>
      </c>
      <c r="AC37" t="s">
        <v>893</v>
      </c>
      <c r="AD37" t="s">
        <v>894</v>
      </c>
      <c r="AE37" t="s">
        <v>895</v>
      </c>
      <c r="AF37" t="s">
        <v>74</v>
      </c>
      <c r="AG37">
        <v>53</v>
      </c>
      <c r="AH37">
        <v>9</v>
      </c>
      <c r="AI37">
        <v>13</v>
      </c>
      <c r="AJ37">
        <v>7</v>
      </c>
      <c r="AK37">
        <v>46</v>
      </c>
      <c r="AL37" t="s">
        <v>650</v>
      </c>
      <c r="AM37" t="s">
        <v>651</v>
      </c>
      <c r="AN37" t="s">
        <v>652</v>
      </c>
      <c r="AO37" t="s">
        <v>653</v>
      </c>
      <c r="AP37" t="s">
        <v>74</v>
      </c>
      <c r="AQ37" t="s">
        <v>74</v>
      </c>
      <c r="AR37" t="s">
        <v>654</v>
      </c>
      <c r="AS37" t="s">
        <v>655</v>
      </c>
      <c r="AT37" t="s">
        <v>896</v>
      </c>
      <c r="AU37">
        <v>2017</v>
      </c>
      <c r="AV37">
        <v>7</v>
      </c>
      <c r="AW37" t="s">
        <v>74</v>
      </c>
      <c r="AX37" t="s">
        <v>74</v>
      </c>
      <c r="AY37" t="s">
        <v>74</v>
      </c>
      <c r="AZ37" t="s">
        <v>74</v>
      </c>
      <c r="BA37" t="s">
        <v>74</v>
      </c>
      <c r="BB37" t="s">
        <v>74</v>
      </c>
      <c r="BC37" t="s">
        <v>74</v>
      </c>
      <c r="BD37">
        <v>12942</v>
      </c>
      <c r="BE37" t="s">
        <v>897</v>
      </c>
      <c r="BF37" t="str">
        <f>HYPERLINK("http://dx.doi.org/10.1038/s41598-017-13380-6","http://dx.doi.org/10.1038/s41598-017-13380-6")</f>
        <v>http://dx.doi.org/10.1038/s41598-017-13380-6</v>
      </c>
      <c r="BG37" t="s">
        <v>74</v>
      </c>
      <c r="BH37" t="s">
        <v>74</v>
      </c>
      <c r="BI37">
        <v>11</v>
      </c>
      <c r="BJ37" t="s">
        <v>190</v>
      </c>
      <c r="BK37" t="s">
        <v>101</v>
      </c>
      <c r="BL37" t="s">
        <v>191</v>
      </c>
      <c r="BM37" t="s">
        <v>898</v>
      </c>
      <c r="BN37">
        <v>29021539</v>
      </c>
      <c r="BO37" t="s">
        <v>658</v>
      </c>
      <c r="BP37" t="s">
        <v>74</v>
      </c>
      <c r="BQ37" t="s">
        <v>74</v>
      </c>
      <c r="BR37" t="s">
        <v>105</v>
      </c>
      <c r="BS37" t="s">
        <v>899</v>
      </c>
      <c r="BT37" t="str">
        <f>HYPERLINK("https%3A%2F%2Fwww.webofscience.com%2Fwos%2Fwoscc%2Ffull-record%2FWOS:000412781300010","View Full Record in Web of Science")</f>
        <v>View Full Record in Web of Science</v>
      </c>
    </row>
    <row r="38" spans="1:72" x14ac:dyDescent="0.15">
      <c r="A38" t="s">
        <v>72</v>
      </c>
      <c r="B38" t="s">
        <v>900</v>
      </c>
      <c r="C38" t="s">
        <v>74</v>
      </c>
      <c r="D38" t="s">
        <v>74</v>
      </c>
      <c r="E38" t="s">
        <v>74</v>
      </c>
      <c r="F38" t="s">
        <v>901</v>
      </c>
      <c r="G38" t="s">
        <v>74</v>
      </c>
      <c r="H38" t="s">
        <v>74</v>
      </c>
      <c r="I38" t="s">
        <v>902</v>
      </c>
      <c r="J38" t="s">
        <v>903</v>
      </c>
      <c r="K38" t="s">
        <v>74</v>
      </c>
      <c r="L38" t="s">
        <v>74</v>
      </c>
      <c r="M38" t="s">
        <v>78</v>
      </c>
      <c r="N38" t="s">
        <v>79</v>
      </c>
      <c r="O38" t="s">
        <v>74</v>
      </c>
      <c r="P38" t="s">
        <v>74</v>
      </c>
      <c r="Q38" t="s">
        <v>74</v>
      </c>
      <c r="R38" t="s">
        <v>74</v>
      </c>
      <c r="S38" t="s">
        <v>74</v>
      </c>
      <c r="T38" t="s">
        <v>74</v>
      </c>
      <c r="U38" t="s">
        <v>904</v>
      </c>
      <c r="V38" t="s">
        <v>905</v>
      </c>
      <c r="W38" t="s">
        <v>906</v>
      </c>
      <c r="X38" t="s">
        <v>907</v>
      </c>
      <c r="Y38" t="s">
        <v>908</v>
      </c>
      <c r="Z38" t="s">
        <v>909</v>
      </c>
      <c r="AA38" t="s">
        <v>910</v>
      </c>
      <c r="AB38" t="s">
        <v>911</v>
      </c>
      <c r="AC38" t="s">
        <v>912</v>
      </c>
      <c r="AD38" t="s">
        <v>913</v>
      </c>
      <c r="AE38" t="s">
        <v>914</v>
      </c>
      <c r="AF38" t="s">
        <v>74</v>
      </c>
      <c r="AG38">
        <v>58</v>
      </c>
      <c r="AH38">
        <v>23</v>
      </c>
      <c r="AI38">
        <v>27</v>
      </c>
      <c r="AJ38">
        <v>0</v>
      </c>
      <c r="AK38">
        <v>14</v>
      </c>
      <c r="AL38" t="s">
        <v>311</v>
      </c>
      <c r="AM38" t="s">
        <v>312</v>
      </c>
      <c r="AN38" t="s">
        <v>313</v>
      </c>
      <c r="AO38" t="s">
        <v>915</v>
      </c>
      <c r="AP38" t="s">
        <v>916</v>
      </c>
      <c r="AQ38" t="s">
        <v>74</v>
      </c>
      <c r="AR38" t="s">
        <v>917</v>
      </c>
      <c r="AS38" t="s">
        <v>918</v>
      </c>
      <c r="AT38" t="s">
        <v>896</v>
      </c>
      <c r="AU38">
        <v>2017</v>
      </c>
      <c r="AV38">
        <v>13</v>
      </c>
      <c r="AW38">
        <v>10</v>
      </c>
      <c r="AX38" t="s">
        <v>74</v>
      </c>
      <c r="AY38" t="s">
        <v>74</v>
      </c>
      <c r="AZ38" t="s">
        <v>74</v>
      </c>
      <c r="BA38" t="s">
        <v>74</v>
      </c>
      <c r="BB38">
        <v>1323</v>
      </c>
      <c r="BC38">
        <v>1338</v>
      </c>
      <c r="BD38" t="s">
        <v>74</v>
      </c>
      <c r="BE38" t="s">
        <v>919</v>
      </c>
      <c r="BF38" t="str">
        <f>HYPERLINK("http://dx.doi.org/10.5194/cp-13-1323-2017","http://dx.doi.org/10.5194/cp-13-1323-2017")</f>
        <v>http://dx.doi.org/10.5194/cp-13-1323-2017</v>
      </c>
      <c r="BG38" t="s">
        <v>74</v>
      </c>
      <c r="BH38" t="s">
        <v>74</v>
      </c>
      <c r="BI38">
        <v>16</v>
      </c>
      <c r="BJ38" t="s">
        <v>920</v>
      </c>
      <c r="BK38" t="s">
        <v>101</v>
      </c>
      <c r="BL38" t="s">
        <v>921</v>
      </c>
      <c r="BM38" t="s">
        <v>922</v>
      </c>
      <c r="BN38" t="s">
        <v>74</v>
      </c>
      <c r="BO38" t="s">
        <v>923</v>
      </c>
      <c r="BP38" t="s">
        <v>74</v>
      </c>
      <c r="BQ38" t="s">
        <v>74</v>
      </c>
      <c r="BR38" t="s">
        <v>105</v>
      </c>
      <c r="BS38" t="s">
        <v>924</v>
      </c>
      <c r="BT38" t="str">
        <f>HYPERLINK("https%3A%2F%2Fwww.webofscience.com%2Fwos%2Fwoscc%2Ffull-record%2FWOS:000412736400001","View Full Record in Web of Science")</f>
        <v>View Full Record in Web of Science</v>
      </c>
    </row>
    <row r="39" spans="1:72" x14ac:dyDescent="0.15">
      <c r="A39" t="s">
        <v>72</v>
      </c>
      <c r="B39" t="s">
        <v>925</v>
      </c>
      <c r="C39" t="s">
        <v>74</v>
      </c>
      <c r="D39" t="s">
        <v>74</v>
      </c>
      <c r="E39" t="s">
        <v>74</v>
      </c>
      <c r="F39" t="s">
        <v>926</v>
      </c>
      <c r="G39" t="s">
        <v>74</v>
      </c>
      <c r="H39" t="s">
        <v>74</v>
      </c>
      <c r="I39" t="s">
        <v>927</v>
      </c>
      <c r="J39" t="s">
        <v>928</v>
      </c>
      <c r="K39" t="s">
        <v>74</v>
      </c>
      <c r="L39" t="s">
        <v>74</v>
      </c>
      <c r="M39" t="s">
        <v>78</v>
      </c>
      <c r="N39" t="s">
        <v>79</v>
      </c>
      <c r="O39" t="s">
        <v>74</v>
      </c>
      <c r="P39" t="s">
        <v>74</v>
      </c>
      <c r="Q39" t="s">
        <v>74</v>
      </c>
      <c r="R39" t="s">
        <v>74</v>
      </c>
      <c r="S39" t="s">
        <v>74</v>
      </c>
      <c r="T39" t="s">
        <v>929</v>
      </c>
      <c r="U39" t="s">
        <v>930</v>
      </c>
      <c r="V39" t="s">
        <v>931</v>
      </c>
      <c r="W39" t="s">
        <v>932</v>
      </c>
      <c r="X39" t="s">
        <v>933</v>
      </c>
      <c r="Y39" t="s">
        <v>934</v>
      </c>
      <c r="Z39" t="s">
        <v>935</v>
      </c>
      <c r="AA39" t="s">
        <v>936</v>
      </c>
      <c r="AB39" t="s">
        <v>937</v>
      </c>
      <c r="AC39" t="s">
        <v>938</v>
      </c>
      <c r="AD39" t="s">
        <v>939</v>
      </c>
      <c r="AE39" t="s">
        <v>940</v>
      </c>
      <c r="AF39" t="s">
        <v>74</v>
      </c>
      <c r="AG39">
        <v>18</v>
      </c>
      <c r="AH39">
        <v>20</v>
      </c>
      <c r="AI39">
        <v>21</v>
      </c>
      <c r="AJ39">
        <v>1</v>
      </c>
      <c r="AK39">
        <v>28</v>
      </c>
      <c r="AL39" t="s">
        <v>371</v>
      </c>
      <c r="AM39" t="s">
        <v>372</v>
      </c>
      <c r="AN39" t="s">
        <v>373</v>
      </c>
      <c r="AO39" t="s">
        <v>941</v>
      </c>
      <c r="AP39" t="s">
        <v>942</v>
      </c>
      <c r="AQ39" t="s">
        <v>74</v>
      </c>
      <c r="AR39" t="s">
        <v>943</v>
      </c>
      <c r="AS39" t="s">
        <v>944</v>
      </c>
      <c r="AT39" t="s">
        <v>945</v>
      </c>
      <c r="AU39">
        <v>2017</v>
      </c>
      <c r="AV39">
        <v>259</v>
      </c>
      <c r="AW39" t="s">
        <v>74</v>
      </c>
      <c r="AX39" t="s">
        <v>74</v>
      </c>
      <c r="AY39" t="s">
        <v>74</v>
      </c>
      <c r="AZ39" t="s">
        <v>74</v>
      </c>
      <c r="BA39" t="s">
        <v>74</v>
      </c>
      <c r="BB39">
        <v>15</v>
      </c>
      <c r="BC39">
        <v>18</v>
      </c>
      <c r="BD39" t="s">
        <v>74</v>
      </c>
      <c r="BE39" t="s">
        <v>946</v>
      </c>
      <c r="BF39" t="str">
        <f>HYPERLINK("http://dx.doi.org/10.1016/j.jbiotec.2017.08.013","http://dx.doi.org/10.1016/j.jbiotec.2017.08.013")</f>
        <v>http://dx.doi.org/10.1016/j.jbiotec.2017.08.013</v>
      </c>
      <c r="BG39" t="s">
        <v>74</v>
      </c>
      <c r="BH39" t="s">
        <v>74</v>
      </c>
      <c r="BI39">
        <v>4</v>
      </c>
      <c r="BJ39" t="s">
        <v>947</v>
      </c>
      <c r="BK39" t="s">
        <v>101</v>
      </c>
      <c r="BL39" t="s">
        <v>947</v>
      </c>
      <c r="BM39" t="s">
        <v>948</v>
      </c>
      <c r="BN39">
        <v>28818601</v>
      </c>
      <c r="BO39" t="s">
        <v>74</v>
      </c>
      <c r="BP39" t="s">
        <v>74</v>
      </c>
      <c r="BQ39" t="s">
        <v>74</v>
      </c>
      <c r="BR39" t="s">
        <v>105</v>
      </c>
      <c r="BS39" t="s">
        <v>949</v>
      </c>
      <c r="BT39" t="str">
        <f>HYPERLINK("https%3A%2F%2Fwww.webofscience.com%2Fwos%2Fwoscc%2Ffull-record%2FWOS:000412035000003","View Full Record in Web of Science")</f>
        <v>View Full Record in Web of Science</v>
      </c>
    </row>
    <row r="40" spans="1:72" x14ac:dyDescent="0.15">
      <c r="A40" t="s">
        <v>72</v>
      </c>
      <c r="B40" t="s">
        <v>950</v>
      </c>
      <c r="C40" t="s">
        <v>74</v>
      </c>
      <c r="D40" t="s">
        <v>74</v>
      </c>
      <c r="E40" t="s">
        <v>74</v>
      </c>
      <c r="F40" t="s">
        <v>951</v>
      </c>
      <c r="G40" t="s">
        <v>74</v>
      </c>
      <c r="H40" t="s">
        <v>74</v>
      </c>
      <c r="I40" t="s">
        <v>952</v>
      </c>
      <c r="J40" t="s">
        <v>953</v>
      </c>
      <c r="K40" t="s">
        <v>74</v>
      </c>
      <c r="L40" t="s">
        <v>74</v>
      </c>
      <c r="M40" t="s">
        <v>78</v>
      </c>
      <c r="N40" t="s">
        <v>79</v>
      </c>
      <c r="O40" t="s">
        <v>74</v>
      </c>
      <c r="P40" t="s">
        <v>74</v>
      </c>
      <c r="Q40" t="s">
        <v>74</v>
      </c>
      <c r="R40" t="s">
        <v>74</v>
      </c>
      <c r="S40" t="s">
        <v>74</v>
      </c>
      <c r="T40" t="s">
        <v>74</v>
      </c>
      <c r="U40" t="s">
        <v>954</v>
      </c>
      <c r="V40" t="s">
        <v>955</v>
      </c>
      <c r="W40" t="s">
        <v>956</v>
      </c>
      <c r="X40" t="s">
        <v>957</v>
      </c>
      <c r="Y40" t="s">
        <v>958</v>
      </c>
      <c r="Z40" t="s">
        <v>959</v>
      </c>
      <c r="AA40" t="s">
        <v>960</v>
      </c>
      <c r="AB40" t="s">
        <v>961</v>
      </c>
      <c r="AC40" t="s">
        <v>962</v>
      </c>
      <c r="AD40" t="s">
        <v>963</v>
      </c>
      <c r="AE40" t="s">
        <v>964</v>
      </c>
      <c r="AF40" t="s">
        <v>74</v>
      </c>
      <c r="AG40">
        <v>53</v>
      </c>
      <c r="AH40">
        <v>40</v>
      </c>
      <c r="AI40">
        <v>48</v>
      </c>
      <c r="AJ40">
        <v>3</v>
      </c>
      <c r="AK40">
        <v>34</v>
      </c>
      <c r="AL40" t="s">
        <v>181</v>
      </c>
      <c r="AM40" t="s">
        <v>182</v>
      </c>
      <c r="AN40" t="s">
        <v>183</v>
      </c>
      <c r="AO40" t="s">
        <v>965</v>
      </c>
      <c r="AP40" t="s">
        <v>74</v>
      </c>
      <c r="AQ40" t="s">
        <v>74</v>
      </c>
      <c r="AR40" t="s">
        <v>966</v>
      </c>
      <c r="AS40" t="s">
        <v>967</v>
      </c>
      <c r="AT40" t="s">
        <v>945</v>
      </c>
      <c r="AU40">
        <v>2017</v>
      </c>
      <c r="AV40">
        <v>8</v>
      </c>
      <c r="AW40" t="s">
        <v>74</v>
      </c>
      <c r="AX40" t="s">
        <v>74</v>
      </c>
      <c r="AY40" t="s">
        <v>74</v>
      </c>
      <c r="AZ40" t="s">
        <v>74</v>
      </c>
      <c r="BA40" t="s">
        <v>74</v>
      </c>
      <c r="BB40" t="s">
        <v>74</v>
      </c>
      <c r="BC40" t="s">
        <v>74</v>
      </c>
      <c r="BD40">
        <v>832</v>
      </c>
      <c r="BE40" t="s">
        <v>968</v>
      </c>
      <c r="BF40" t="str">
        <f>HYPERLINK("http://dx.doi.org/10.1038/s41467-017-00890-0","http://dx.doi.org/10.1038/s41467-017-00890-0")</f>
        <v>http://dx.doi.org/10.1038/s41467-017-00890-0</v>
      </c>
      <c r="BG40" t="s">
        <v>74</v>
      </c>
      <c r="BH40" t="s">
        <v>74</v>
      </c>
      <c r="BI40">
        <v>8</v>
      </c>
      <c r="BJ40" t="s">
        <v>190</v>
      </c>
      <c r="BK40" t="s">
        <v>101</v>
      </c>
      <c r="BL40" t="s">
        <v>191</v>
      </c>
      <c r="BM40" t="s">
        <v>969</v>
      </c>
      <c r="BN40">
        <v>29018199</v>
      </c>
      <c r="BO40" t="s">
        <v>267</v>
      </c>
      <c r="BP40" t="s">
        <v>74</v>
      </c>
      <c r="BQ40" t="s">
        <v>74</v>
      </c>
      <c r="BR40" t="s">
        <v>105</v>
      </c>
      <c r="BS40" t="s">
        <v>970</v>
      </c>
      <c r="BT40" t="str">
        <f>HYPERLINK("https%3A%2F%2Fwww.webofscience.com%2Fwos%2Fwoscc%2Ffull-record%2FWOS:000412603600017","View Full Record in Web of Science")</f>
        <v>View Full Record in Web of Science</v>
      </c>
    </row>
    <row r="41" spans="1:72" x14ac:dyDescent="0.15">
      <c r="A41" t="s">
        <v>72</v>
      </c>
      <c r="B41" t="s">
        <v>971</v>
      </c>
      <c r="C41" t="s">
        <v>74</v>
      </c>
      <c r="D41" t="s">
        <v>74</v>
      </c>
      <c r="E41" t="s">
        <v>74</v>
      </c>
      <c r="F41" t="s">
        <v>972</v>
      </c>
      <c r="G41" t="s">
        <v>74</v>
      </c>
      <c r="H41" t="s">
        <v>74</v>
      </c>
      <c r="I41" t="s">
        <v>973</v>
      </c>
      <c r="J41" t="s">
        <v>953</v>
      </c>
      <c r="K41" t="s">
        <v>74</v>
      </c>
      <c r="L41" t="s">
        <v>74</v>
      </c>
      <c r="M41" t="s">
        <v>78</v>
      </c>
      <c r="N41" t="s">
        <v>79</v>
      </c>
      <c r="O41" t="s">
        <v>74</v>
      </c>
      <c r="P41" t="s">
        <v>74</v>
      </c>
      <c r="Q41" t="s">
        <v>74</v>
      </c>
      <c r="R41" t="s">
        <v>74</v>
      </c>
      <c r="S41" t="s">
        <v>74</v>
      </c>
      <c r="T41" t="s">
        <v>74</v>
      </c>
      <c r="U41" t="s">
        <v>974</v>
      </c>
      <c r="V41" t="s">
        <v>975</v>
      </c>
      <c r="W41" t="s">
        <v>976</v>
      </c>
      <c r="X41" t="s">
        <v>977</v>
      </c>
      <c r="Y41" t="s">
        <v>978</v>
      </c>
      <c r="Z41" t="s">
        <v>979</v>
      </c>
      <c r="AA41" t="s">
        <v>980</v>
      </c>
      <c r="AB41" t="s">
        <v>981</v>
      </c>
      <c r="AC41" t="s">
        <v>982</v>
      </c>
      <c r="AD41" t="s">
        <v>983</v>
      </c>
      <c r="AE41" t="s">
        <v>984</v>
      </c>
      <c r="AF41" t="s">
        <v>74</v>
      </c>
      <c r="AG41">
        <v>49</v>
      </c>
      <c r="AH41">
        <v>72</v>
      </c>
      <c r="AI41">
        <v>78</v>
      </c>
      <c r="AJ41">
        <v>3</v>
      </c>
      <c r="AK41">
        <v>36</v>
      </c>
      <c r="AL41" t="s">
        <v>181</v>
      </c>
      <c r="AM41" t="s">
        <v>182</v>
      </c>
      <c r="AN41" t="s">
        <v>183</v>
      </c>
      <c r="AO41" t="s">
        <v>965</v>
      </c>
      <c r="AP41" t="s">
        <v>74</v>
      </c>
      <c r="AQ41" t="s">
        <v>74</v>
      </c>
      <c r="AR41" t="s">
        <v>966</v>
      </c>
      <c r="AS41" t="s">
        <v>967</v>
      </c>
      <c r="AT41" t="s">
        <v>945</v>
      </c>
      <c r="AU41">
        <v>2017</v>
      </c>
      <c r="AV41">
        <v>8</v>
      </c>
      <c r="AW41" t="s">
        <v>74</v>
      </c>
      <c r="AX41" t="s">
        <v>74</v>
      </c>
      <c r="AY41" t="s">
        <v>74</v>
      </c>
      <c r="AZ41" t="s">
        <v>74</v>
      </c>
      <c r="BA41" t="s">
        <v>74</v>
      </c>
      <c r="BB41" t="s">
        <v>74</v>
      </c>
      <c r="BC41" t="s">
        <v>74</v>
      </c>
      <c r="BD41">
        <v>843</v>
      </c>
      <c r="BE41" t="s">
        <v>985</v>
      </c>
      <c r="BF41" t="str">
        <f>HYPERLINK("http://dx.doi.org/10.1038/s41467-017-00821-z","http://dx.doi.org/10.1038/s41467-017-00821-z")</f>
        <v>http://dx.doi.org/10.1038/s41467-017-00821-z</v>
      </c>
      <c r="BG41" t="s">
        <v>74</v>
      </c>
      <c r="BH41" t="s">
        <v>74</v>
      </c>
      <c r="BI41">
        <v>7</v>
      </c>
      <c r="BJ41" t="s">
        <v>190</v>
      </c>
      <c r="BK41" t="s">
        <v>101</v>
      </c>
      <c r="BL41" t="s">
        <v>191</v>
      </c>
      <c r="BM41" t="s">
        <v>986</v>
      </c>
      <c r="BN41">
        <v>29018198</v>
      </c>
      <c r="BO41" t="s">
        <v>658</v>
      </c>
      <c r="BP41" t="s">
        <v>74</v>
      </c>
      <c r="BQ41" t="s">
        <v>74</v>
      </c>
      <c r="BR41" t="s">
        <v>105</v>
      </c>
      <c r="BS41" t="s">
        <v>987</v>
      </c>
      <c r="BT41" t="str">
        <f>HYPERLINK("https%3A%2F%2Fwww.webofscience.com%2Fwos%2Fwoscc%2Ffull-record%2FWOS:000412603700006","View Full Record in Web of Science")</f>
        <v>View Full Record in Web of Science</v>
      </c>
    </row>
    <row r="42" spans="1:72" x14ac:dyDescent="0.15">
      <c r="A42" t="s">
        <v>72</v>
      </c>
      <c r="B42" t="s">
        <v>988</v>
      </c>
      <c r="C42" t="s">
        <v>74</v>
      </c>
      <c r="D42" t="s">
        <v>74</v>
      </c>
      <c r="E42" t="s">
        <v>74</v>
      </c>
      <c r="F42" t="s">
        <v>989</v>
      </c>
      <c r="G42" t="s">
        <v>74</v>
      </c>
      <c r="H42" t="s">
        <v>74</v>
      </c>
      <c r="I42" t="s">
        <v>990</v>
      </c>
      <c r="J42" t="s">
        <v>464</v>
      </c>
      <c r="K42" t="s">
        <v>74</v>
      </c>
      <c r="L42" t="s">
        <v>74</v>
      </c>
      <c r="M42" t="s">
        <v>78</v>
      </c>
      <c r="N42" t="s">
        <v>79</v>
      </c>
      <c r="O42" t="s">
        <v>74</v>
      </c>
      <c r="P42" t="s">
        <v>74</v>
      </c>
      <c r="Q42" t="s">
        <v>74</v>
      </c>
      <c r="R42" t="s">
        <v>74</v>
      </c>
      <c r="S42" t="s">
        <v>74</v>
      </c>
      <c r="T42" t="s">
        <v>991</v>
      </c>
      <c r="U42" t="s">
        <v>992</v>
      </c>
      <c r="V42" t="s">
        <v>993</v>
      </c>
      <c r="W42" t="s">
        <v>994</v>
      </c>
      <c r="X42" t="s">
        <v>995</v>
      </c>
      <c r="Y42" t="s">
        <v>996</v>
      </c>
      <c r="Z42" t="s">
        <v>997</v>
      </c>
      <c r="AA42" t="s">
        <v>998</v>
      </c>
      <c r="AB42" t="s">
        <v>999</v>
      </c>
      <c r="AC42" t="s">
        <v>1000</v>
      </c>
      <c r="AD42" t="s">
        <v>1001</v>
      </c>
      <c r="AE42" t="s">
        <v>1002</v>
      </c>
      <c r="AF42" t="s">
        <v>74</v>
      </c>
      <c r="AG42">
        <v>46</v>
      </c>
      <c r="AH42">
        <v>68</v>
      </c>
      <c r="AI42">
        <v>72</v>
      </c>
      <c r="AJ42">
        <v>2</v>
      </c>
      <c r="AK42">
        <v>26</v>
      </c>
      <c r="AL42" t="s">
        <v>477</v>
      </c>
      <c r="AM42" t="s">
        <v>92</v>
      </c>
      <c r="AN42" t="s">
        <v>478</v>
      </c>
      <c r="AO42" t="s">
        <v>479</v>
      </c>
      <c r="AP42" t="s">
        <v>74</v>
      </c>
      <c r="AQ42" t="s">
        <v>74</v>
      </c>
      <c r="AR42" t="s">
        <v>480</v>
      </c>
      <c r="AS42" t="s">
        <v>481</v>
      </c>
      <c r="AT42" t="s">
        <v>945</v>
      </c>
      <c r="AU42">
        <v>2017</v>
      </c>
      <c r="AV42">
        <v>114</v>
      </c>
      <c r="AW42">
        <v>41</v>
      </c>
      <c r="AX42" t="s">
        <v>74</v>
      </c>
      <c r="AY42" t="s">
        <v>74</v>
      </c>
      <c r="AZ42" t="s">
        <v>74</v>
      </c>
      <c r="BA42" t="s">
        <v>74</v>
      </c>
      <c r="BB42">
        <v>10858</v>
      </c>
      <c r="BC42">
        <v>10863</v>
      </c>
      <c r="BD42" t="s">
        <v>74</v>
      </c>
      <c r="BE42" t="s">
        <v>1003</v>
      </c>
      <c r="BF42" t="str">
        <f>HYPERLINK("http://dx.doi.org/10.1073/pnas.1707633114","http://dx.doi.org/10.1073/pnas.1707633114")</f>
        <v>http://dx.doi.org/10.1073/pnas.1707633114</v>
      </c>
      <c r="BG42" t="s">
        <v>74</v>
      </c>
      <c r="BH42" t="s">
        <v>74</v>
      </c>
      <c r="BI42">
        <v>6</v>
      </c>
      <c r="BJ42" t="s">
        <v>190</v>
      </c>
      <c r="BK42" t="s">
        <v>101</v>
      </c>
      <c r="BL42" t="s">
        <v>191</v>
      </c>
      <c r="BM42" t="s">
        <v>1004</v>
      </c>
      <c r="BN42">
        <v>28973875</v>
      </c>
      <c r="BO42" t="s">
        <v>122</v>
      </c>
      <c r="BP42" t="s">
        <v>74</v>
      </c>
      <c r="BQ42" t="s">
        <v>74</v>
      </c>
      <c r="BR42" t="s">
        <v>105</v>
      </c>
      <c r="BS42" t="s">
        <v>1005</v>
      </c>
      <c r="BT42" t="str">
        <f>HYPERLINK("https%3A%2F%2Fwww.webofscience.com%2Fwos%2Fwoscc%2Ffull-record%2FWOS:000412653900047","View Full Record in Web of Science")</f>
        <v>View Full Record in Web of Science</v>
      </c>
    </row>
    <row r="43" spans="1:72" x14ac:dyDescent="0.15">
      <c r="A43" t="s">
        <v>72</v>
      </c>
      <c r="B43" t="s">
        <v>1006</v>
      </c>
      <c r="C43" t="s">
        <v>74</v>
      </c>
      <c r="D43" t="s">
        <v>74</v>
      </c>
      <c r="E43" t="s">
        <v>74</v>
      </c>
      <c r="F43" t="s">
        <v>1007</v>
      </c>
      <c r="G43" t="s">
        <v>74</v>
      </c>
      <c r="H43" t="s">
        <v>74</v>
      </c>
      <c r="I43" t="s">
        <v>1008</v>
      </c>
      <c r="J43" t="s">
        <v>1009</v>
      </c>
      <c r="K43" t="s">
        <v>74</v>
      </c>
      <c r="L43" t="s">
        <v>74</v>
      </c>
      <c r="M43" t="s">
        <v>78</v>
      </c>
      <c r="N43" t="s">
        <v>79</v>
      </c>
      <c r="O43" t="s">
        <v>74</v>
      </c>
      <c r="P43" t="s">
        <v>74</v>
      </c>
      <c r="Q43" t="s">
        <v>74</v>
      </c>
      <c r="R43" t="s">
        <v>74</v>
      </c>
      <c r="S43" t="s">
        <v>74</v>
      </c>
      <c r="T43" t="s">
        <v>1010</v>
      </c>
      <c r="U43" t="s">
        <v>1011</v>
      </c>
      <c r="V43" t="s">
        <v>1012</v>
      </c>
      <c r="W43" t="s">
        <v>1013</v>
      </c>
      <c r="X43" t="s">
        <v>1014</v>
      </c>
      <c r="Y43" t="s">
        <v>1015</v>
      </c>
      <c r="Z43" t="s">
        <v>1016</v>
      </c>
      <c r="AA43" t="s">
        <v>74</v>
      </c>
      <c r="AB43" t="s">
        <v>74</v>
      </c>
      <c r="AC43" t="s">
        <v>74</v>
      </c>
      <c r="AD43" t="s">
        <v>74</v>
      </c>
      <c r="AE43" t="s">
        <v>74</v>
      </c>
      <c r="AF43" t="s">
        <v>74</v>
      </c>
      <c r="AG43">
        <v>44</v>
      </c>
      <c r="AH43">
        <v>7</v>
      </c>
      <c r="AI43">
        <v>7</v>
      </c>
      <c r="AJ43">
        <v>0</v>
      </c>
      <c r="AK43">
        <v>16</v>
      </c>
      <c r="AL43" t="s">
        <v>1017</v>
      </c>
      <c r="AM43" t="s">
        <v>1018</v>
      </c>
      <c r="AN43" t="s">
        <v>1019</v>
      </c>
      <c r="AO43" t="s">
        <v>1020</v>
      </c>
      <c r="AP43" t="s">
        <v>1021</v>
      </c>
      <c r="AQ43" t="s">
        <v>74</v>
      </c>
      <c r="AR43" t="s">
        <v>1022</v>
      </c>
      <c r="AS43" t="s">
        <v>1023</v>
      </c>
      <c r="AT43" t="s">
        <v>1024</v>
      </c>
      <c r="AU43">
        <v>2017</v>
      </c>
      <c r="AV43">
        <v>76</v>
      </c>
      <c r="AW43" t="s">
        <v>74</v>
      </c>
      <c r="AX43" t="s">
        <v>74</v>
      </c>
      <c r="AY43" t="s">
        <v>74</v>
      </c>
      <c r="AZ43" t="s">
        <v>74</v>
      </c>
      <c r="BA43" t="s">
        <v>74</v>
      </c>
      <c r="BB43" t="s">
        <v>74</v>
      </c>
      <c r="BC43" t="s">
        <v>74</v>
      </c>
      <c r="BD43">
        <v>1379306</v>
      </c>
      <c r="BE43" t="s">
        <v>1025</v>
      </c>
      <c r="BF43" t="str">
        <f>HYPERLINK("http://dx.doi.org/10.1080/22423982.2017.1379306","http://dx.doi.org/10.1080/22423982.2017.1379306")</f>
        <v>http://dx.doi.org/10.1080/22423982.2017.1379306</v>
      </c>
      <c r="BG43" t="s">
        <v>74</v>
      </c>
      <c r="BH43" t="s">
        <v>74</v>
      </c>
      <c r="BI43">
        <v>7</v>
      </c>
      <c r="BJ43" t="s">
        <v>1026</v>
      </c>
      <c r="BK43" t="s">
        <v>765</v>
      </c>
      <c r="BL43" t="s">
        <v>1026</v>
      </c>
      <c r="BM43" t="s">
        <v>1027</v>
      </c>
      <c r="BN43">
        <v>28990466</v>
      </c>
      <c r="BO43" t="s">
        <v>658</v>
      </c>
      <c r="BP43" t="s">
        <v>74</v>
      </c>
      <c r="BQ43" t="s">
        <v>74</v>
      </c>
      <c r="BR43" t="s">
        <v>105</v>
      </c>
      <c r="BS43" t="s">
        <v>1028</v>
      </c>
      <c r="BT43" t="str">
        <f>HYPERLINK("https%3A%2F%2Fwww.webofscience.com%2Fwos%2Fwoscc%2Ffull-record%2FWOS:000417204300001","View Full Record in Web of Science")</f>
        <v>View Full Record in Web of Science</v>
      </c>
    </row>
    <row r="44" spans="1:72" x14ac:dyDescent="0.15">
      <c r="A44" t="s">
        <v>72</v>
      </c>
      <c r="B44" t="s">
        <v>1029</v>
      </c>
      <c r="C44" t="s">
        <v>74</v>
      </c>
      <c r="D44" t="s">
        <v>74</v>
      </c>
      <c r="E44" t="s">
        <v>74</v>
      </c>
      <c r="F44" t="s">
        <v>1030</v>
      </c>
      <c r="G44" t="s">
        <v>74</v>
      </c>
      <c r="H44" t="s">
        <v>74</v>
      </c>
      <c r="I44" t="s">
        <v>1031</v>
      </c>
      <c r="J44" t="s">
        <v>1032</v>
      </c>
      <c r="K44" t="s">
        <v>74</v>
      </c>
      <c r="L44" t="s">
        <v>74</v>
      </c>
      <c r="M44" t="s">
        <v>78</v>
      </c>
      <c r="N44" t="s">
        <v>273</v>
      </c>
      <c r="O44" t="s">
        <v>74</v>
      </c>
      <c r="P44" t="s">
        <v>74</v>
      </c>
      <c r="Q44" t="s">
        <v>74</v>
      </c>
      <c r="R44" t="s">
        <v>74</v>
      </c>
      <c r="S44" t="s">
        <v>74</v>
      </c>
      <c r="T44" t="s">
        <v>1033</v>
      </c>
      <c r="U44" t="s">
        <v>1034</v>
      </c>
      <c r="V44" t="s">
        <v>1035</v>
      </c>
      <c r="W44" t="s">
        <v>1036</v>
      </c>
      <c r="X44" t="s">
        <v>1037</v>
      </c>
      <c r="Y44" t="s">
        <v>1038</v>
      </c>
      <c r="Z44" t="s">
        <v>1039</v>
      </c>
      <c r="AA44" t="s">
        <v>74</v>
      </c>
      <c r="AB44" t="s">
        <v>74</v>
      </c>
      <c r="AC44" t="s">
        <v>1040</v>
      </c>
      <c r="AD44" t="s">
        <v>913</v>
      </c>
      <c r="AE44" t="s">
        <v>1041</v>
      </c>
      <c r="AF44" t="s">
        <v>74</v>
      </c>
      <c r="AG44">
        <v>91</v>
      </c>
      <c r="AH44">
        <v>51</v>
      </c>
      <c r="AI44">
        <v>55</v>
      </c>
      <c r="AJ44">
        <v>5</v>
      </c>
      <c r="AK44">
        <v>30</v>
      </c>
      <c r="AL44" t="s">
        <v>450</v>
      </c>
      <c r="AM44" t="s">
        <v>451</v>
      </c>
      <c r="AN44" t="s">
        <v>452</v>
      </c>
      <c r="AO44" t="s">
        <v>1042</v>
      </c>
      <c r="AP44" t="s">
        <v>74</v>
      </c>
      <c r="AQ44" t="s">
        <v>74</v>
      </c>
      <c r="AR44" t="s">
        <v>1043</v>
      </c>
      <c r="AS44" t="s">
        <v>1044</v>
      </c>
      <c r="AT44" t="s">
        <v>1045</v>
      </c>
      <c r="AU44">
        <v>2017</v>
      </c>
      <c r="AV44">
        <v>5</v>
      </c>
      <c r="AW44" t="s">
        <v>74</v>
      </c>
      <c r="AX44" t="s">
        <v>74</v>
      </c>
      <c r="AY44" t="s">
        <v>74</v>
      </c>
      <c r="AZ44" t="s">
        <v>74</v>
      </c>
      <c r="BA44" t="s">
        <v>74</v>
      </c>
      <c r="BB44" t="s">
        <v>74</v>
      </c>
      <c r="BC44" t="s">
        <v>74</v>
      </c>
      <c r="BD44">
        <v>121</v>
      </c>
      <c r="BE44" t="s">
        <v>1046</v>
      </c>
      <c r="BF44" t="str">
        <f>HYPERLINK("http://dx.doi.org/10.3389/fevo.2017.00121","http://dx.doi.org/10.3389/fevo.2017.00121")</f>
        <v>http://dx.doi.org/10.3389/fevo.2017.00121</v>
      </c>
      <c r="BG44" t="s">
        <v>74</v>
      </c>
      <c r="BH44" t="s">
        <v>74</v>
      </c>
      <c r="BI44">
        <v>8</v>
      </c>
      <c r="BJ44" t="s">
        <v>1047</v>
      </c>
      <c r="BK44" t="s">
        <v>101</v>
      </c>
      <c r="BL44" t="s">
        <v>1048</v>
      </c>
      <c r="BM44" t="s">
        <v>1049</v>
      </c>
      <c r="BN44" t="s">
        <v>74</v>
      </c>
      <c r="BO44" t="s">
        <v>658</v>
      </c>
      <c r="BP44" t="s">
        <v>74</v>
      </c>
      <c r="BQ44" t="s">
        <v>74</v>
      </c>
      <c r="BR44" t="s">
        <v>105</v>
      </c>
      <c r="BS44" t="s">
        <v>1050</v>
      </c>
      <c r="BT44" t="str">
        <f>HYPERLINK("https%3A%2F%2Fwww.webofscience.com%2Fwos%2Fwoscc%2Ffull-record%2FWOS:000451594300002","View Full Record in Web of Science")</f>
        <v>View Full Record in Web of Science</v>
      </c>
    </row>
    <row r="45" spans="1:72" x14ac:dyDescent="0.15">
      <c r="A45" t="s">
        <v>72</v>
      </c>
      <c r="B45" t="s">
        <v>1051</v>
      </c>
      <c r="C45" t="s">
        <v>74</v>
      </c>
      <c r="D45" t="s">
        <v>74</v>
      </c>
      <c r="E45" t="s">
        <v>74</v>
      </c>
      <c r="F45" t="s">
        <v>1052</v>
      </c>
      <c r="G45" t="s">
        <v>74</v>
      </c>
      <c r="H45" t="s">
        <v>74</v>
      </c>
      <c r="I45" t="s">
        <v>1053</v>
      </c>
      <c r="J45" t="s">
        <v>1054</v>
      </c>
      <c r="K45" t="s">
        <v>74</v>
      </c>
      <c r="L45" t="s">
        <v>74</v>
      </c>
      <c r="M45" t="s">
        <v>78</v>
      </c>
      <c r="N45" t="s">
        <v>79</v>
      </c>
      <c r="O45" t="s">
        <v>74</v>
      </c>
      <c r="P45" t="s">
        <v>74</v>
      </c>
      <c r="Q45" t="s">
        <v>74</v>
      </c>
      <c r="R45" t="s">
        <v>74</v>
      </c>
      <c r="S45" t="s">
        <v>74</v>
      </c>
      <c r="T45" t="s">
        <v>1055</v>
      </c>
      <c r="U45" t="s">
        <v>1056</v>
      </c>
      <c r="V45" t="s">
        <v>1057</v>
      </c>
      <c r="W45" t="s">
        <v>1058</v>
      </c>
      <c r="X45" t="s">
        <v>1059</v>
      </c>
      <c r="Y45" t="s">
        <v>1060</v>
      </c>
      <c r="Z45" t="s">
        <v>1061</v>
      </c>
      <c r="AA45" t="s">
        <v>1062</v>
      </c>
      <c r="AB45" t="s">
        <v>1063</v>
      </c>
      <c r="AC45" t="s">
        <v>1064</v>
      </c>
      <c r="AD45" t="s">
        <v>1065</v>
      </c>
      <c r="AE45" t="s">
        <v>1066</v>
      </c>
      <c r="AF45" t="s">
        <v>74</v>
      </c>
      <c r="AG45">
        <v>72</v>
      </c>
      <c r="AH45">
        <v>12</v>
      </c>
      <c r="AI45">
        <v>12</v>
      </c>
      <c r="AJ45">
        <v>1</v>
      </c>
      <c r="AK45">
        <v>10</v>
      </c>
      <c r="AL45" t="s">
        <v>311</v>
      </c>
      <c r="AM45" t="s">
        <v>312</v>
      </c>
      <c r="AN45" t="s">
        <v>313</v>
      </c>
      <c r="AO45" t="s">
        <v>1067</v>
      </c>
      <c r="AP45" t="s">
        <v>1068</v>
      </c>
      <c r="AQ45" t="s">
        <v>74</v>
      </c>
      <c r="AR45" t="s">
        <v>1069</v>
      </c>
      <c r="AS45" t="s">
        <v>1070</v>
      </c>
      <c r="AT45" t="s">
        <v>1071</v>
      </c>
      <c r="AU45">
        <v>2017</v>
      </c>
      <c r="AV45">
        <v>35</v>
      </c>
      <c r="AW45">
        <v>5</v>
      </c>
      <c r="AX45" t="s">
        <v>74</v>
      </c>
      <c r="AY45" t="s">
        <v>74</v>
      </c>
      <c r="AZ45" t="s">
        <v>74</v>
      </c>
      <c r="BA45" t="s">
        <v>74</v>
      </c>
      <c r="BB45">
        <v>1113</v>
      </c>
      <c r="BC45">
        <v>1129</v>
      </c>
      <c r="BD45" t="s">
        <v>74</v>
      </c>
      <c r="BE45" t="s">
        <v>1072</v>
      </c>
      <c r="BF45" t="str">
        <f>HYPERLINK("http://dx.doi.org/10.5194/angeo-35-1113-2017","http://dx.doi.org/10.5194/angeo-35-1113-2017")</f>
        <v>http://dx.doi.org/10.5194/angeo-35-1113-2017</v>
      </c>
      <c r="BG45" t="s">
        <v>74</v>
      </c>
      <c r="BH45" t="s">
        <v>74</v>
      </c>
      <c r="BI45">
        <v>17</v>
      </c>
      <c r="BJ45" t="s">
        <v>1073</v>
      </c>
      <c r="BK45" t="s">
        <v>101</v>
      </c>
      <c r="BL45" t="s">
        <v>1074</v>
      </c>
      <c r="BM45" t="s">
        <v>1075</v>
      </c>
      <c r="BN45" t="s">
        <v>74</v>
      </c>
      <c r="BO45" t="s">
        <v>322</v>
      </c>
      <c r="BP45" t="s">
        <v>74</v>
      </c>
      <c r="BQ45" t="s">
        <v>74</v>
      </c>
      <c r="BR45" t="s">
        <v>105</v>
      </c>
      <c r="BS45" t="s">
        <v>1076</v>
      </c>
      <c r="BT45" t="str">
        <f>HYPERLINK("https%3A%2F%2Fwww.webofscience.com%2Fwos%2Fwoscc%2Ffull-record%2FWOS:000412321400001","View Full Record in Web of Science")</f>
        <v>View Full Record in Web of Science</v>
      </c>
    </row>
    <row r="46" spans="1:72" x14ac:dyDescent="0.15">
      <c r="A46" t="s">
        <v>72</v>
      </c>
      <c r="B46" t="s">
        <v>1077</v>
      </c>
      <c r="C46" t="s">
        <v>74</v>
      </c>
      <c r="D46" t="s">
        <v>74</v>
      </c>
      <c r="E46" t="s">
        <v>74</v>
      </c>
      <c r="F46" t="s">
        <v>1078</v>
      </c>
      <c r="G46" t="s">
        <v>74</v>
      </c>
      <c r="H46" t="s">
        <v>74</v>
      </c>
      <c r="I46" t="s">
        <v>1079</v>
      </c>
      <c r="J46" t="s">
        <v>860</v>
      </c>
      <c r="K46" t="s">
        <v>74</v>
      </c>
      <c r="L46" t="s">
        <v>74</v>
      </c>
      <c r="M46" t="s">
        <v>78</v>
      </c>
      <c r="N46" t="s">
        <v>79</v>
      </c>
      <c r="O46" t="s">
        <v>74</v>
      </c>
      <c r="P46" t="s">
        <v>74</v>
      </c>
      <c r="Q46" t="s">
        <v>74</v>
      </c>
      <c r="R46" t="s">
        <v>74</v>
      </c>
      <c r="S46" t="s">
        <v>74</v>
      </c>
      <c r="T46" t="s">
        <v>74</v>
      </c>
      <c r="U46" t="s">
        <v>1080</v>
      </c>
      <c r="V46" t="s">
        <v>1081</v>
      </c>
      <c r="W46" t="s">
        <v>1082</v>
      </c>
      <c r="X46" t="s">
        <v>1083</v>
      </c>
      <c r="Y46" t="s">
        <v>1084</v>
      </c>
      <c r="Z46" t="s">
        <v>1085</v>
      </c>
      <c r="AA46" t="s">
        <v>1086</v>
      </c>
      <c r="AB46" t="s">
        <v>1087</v>
      </c>
      <c r="AC46" t="s">
        <v>1088</v>
      </c>
      <c r="AD46" t="s">
        <v>1089</v>
      </c>
      <c r="AE46" t="s">
        <v>1090</v>
      </c>
      <c r="AF46" t="s">
        <v>74</v>
      </c>
      <c r="AG46">
        <v>55</v>
      </c>
      <c r="AH46">
        <v>7</v>
      </c>
      <c r="AI46">
        <v>7</v>
      </c>
      <c r="AJ46">
        <v>1</v>
      </c>
      <c r="AK46">
        <v>8</v>
      </c>
      <c r="AL46" t="s">
        <v>872</v>
      </c>
      <c r="AM46" t="s">
        <v>873</v>
      </c>
      <c r="AN46" t="s">
        <v>874</v>
      </c>
      <c r="AO46" t="s">
        <v>875</v>
      </c>
      <c r="AP46" t="s">
        <v>74</v>
      </c>
      <c r="AQ46" t="s">
        <v>74</v>
      </c>
      <c r="AR46" t="s">
        <v>860</v>
      </c>
      <c r="AS46" t="s">
        <v>876</v>
      </c>
      <c r="AT46" t="s">
        <v>1071</v>
      </c>
      <c r="AU46">
        <v>2017</v>
      </c>
      <c r="AV46">
        <v>12</v>
      </c>
      <c r="AW46">
        <v>10</v>
      </c>
      <c r="AX46" t="s">
        <v>74</v>
      </c>
      <c r="AY46" t="s">
        <v>74</v>
      </c>
      <c r="AZ46" t="s">
        <v>74</v>
      </c>
      <c r="BA46" t="s">
        <v>74</v>
      </c>
      <c r="BB46" t="s">
        <v>74</v>
      </c>
      <c r="BC46" t="s">
        <v>74</v>
      </c>
      <c r="BD46" t="s">
        <v>1091</v>
      </c>
      <c r="BE46" t="s">
        <v>1092</v>
      </c>
      <c r="BF46" t="str">
        <f>HYPERLINK("http://dx.doi.org/10.1371/journal.pone.0185707","http://dx.doi.org/10.1371/journal.pone.0185707")</f>
        <v>http://dx.doi.org/10.1371/journal.pone.0185707</v>
      </c>
      <c r="BG46" t="s">
        <v>74</v>
      </c>
      <c r="BH46" t="s">
        <v>74</v>
      </c>
      <c r="BI46">
        <v>20</v>
      </c>
      <c r="BJ46" t="s">
        <v>190</v>
      </c>
      <c r="BK46" t="s">
        <v>101</v>
      </c>
      <c r="BL46" t="s">
        <v>191</v>
      </c>
      <c r="BM46" t="s">
        <v>1093</v>
      </c>
      <c r="BN46">
        <v>28982174</v>
      </c>
      <c r="BO46" t="s">
        <v>1094</v>
      </c>
      <c r="BP46" t="s">
        <v>74</v>
      </c>
      <c r="BQ46" t="s">
        <v>74</v>
      </c>
      <c r="BR46" t="s">
        <v>105</v>
      </c>
      <c r="BS46" t="s">
        <v>1095</v>
      </c>
      <c r="BT46" t="str">
        <f>HYPERLINK("https%3A%2F%2Fwww.webofscience.com%2Fwos%2Fwoscc%2Ffull-record%2FWOS:000412360300060","View Full Record in Web of Science")</f>
        <v>View Full Record in Web of Science</v>
      </c>
    </row>
    <row r="47" spans="1:72" x14ac:dyDescent="0.15">
      <c r="A47" t="s">
        <v>72</v>
      </c>
      <c r="B47" t="s">
        <v>1096</v>
      </c>
      <c r="C47" t="s">
        <v>74</v>
      </c>
      <c r="D47" t="s">
        <v>74</v>
      </c>
      <c r="E47" t="s">
        <v>74</v>
      </c>
      <c r="F47" t="s">
        <v>1097</v>
      </c>
      <c r="G47" t="s">
        <v>74</v>
      </c>
      <c r="H47" t="s">
        <v>74</v>
      </c>
      <c r="I47" t="s">
        <v>1098</v>
      </c>
      <c r="J47" t="s">
        <v>860</v>
      </c>
      <c r="K47" t="s">
        <v>74</v>
      </c>
      <c r="L47" t="s">
        <v>74</v>
      </c>
      <c r="M47" t="s">
        <v>78</v>
      </c>
      <c r="N47" t="s">
        <v>79</v>
      </c>
      <c r="O47" t="s">
        <v>74</v>
      </c>
      <c r="P47" t="s">
        <v>74</v>
      </c>
      <c r="Q47" t="s">
        <v>74</v>
      </c>
      <c r="R47" t="s">
        <v>74</v>
      </c>
      <c r="S47" t="s">
        <v>74</v>
      </c>
      <c r="T47" t="s">
        <v>74</v>
      </c>
      <c r="U47" t="s">
        <v>1099</v>
      </c>
      <c r="V47" t="s">
        <v>1100</v>
      </c>
      <c r="W47" t="s">
        <v>1101</v>
      </c>
      <c r="X47" t="s">
        <v>1102</v>
      </c>
      <c r="Y47" t="s">
        <v>1103</v>
      </c>
      <c r="Z47" t="s">
        <v>1104</v>
      </c>
      <c r="AA47" t="s">
        <v>1105</v>
      </c>
      <c r="AB47" t="s">
        <v>1106</v>
      </c>
      <c r="AC47" t="s">
        <v>1107</v>
      </c>
      <c r="AD47" t="s">
        <v>1108</v>
      </c>
      <c r="AE47" t="s">
        <v>1109</v>
      </c>
      <c r="AF47" t="s">
        <v>74</v>
      </c>
      <c r="AG47">
        <v>93</v>
      </c>
      <c r="AH47">
        <v>7</v>
      </c>
      <c r="AI47">
        <v>7</v>
      </c>
      <c r="AJ47">
        <v>1</v>
      </c>
      <c r="AK47">
        <v>20</v>
      </c>
      <c r="AL47" t="s">
        <v>872</v>
      </c>
      <c r="AM47" t="s">
        <v>873</v>
      </c>
      <c r="AN47" t="s">
        <v>874</v>
      </c>
      <c r="AO47" t="s">
        <v>875</v>
      </c>
      <c r="AP47" t="s">
        <v>74</v>
      </c>
      <c r="AQ47" t="s">
        <v>74</v>
      </c>
      <c r="AR47" t="s">
        <v>860</v>
      </c>
      <c r="AS47" t="s">
        <v>876</v>
      </c>
      <c r="AT47" t="s">
        <v>1071</v>
      </c>
      <c r="AU47">
        <v>2017</v>
      </c>
      <c r="AV47">
        <v>12</v>
      </c>
      <c r="AW47">
        <v>10</v>
      </c>
      <c r="AX47" t="s">
        <v>74</v>
      </c>
      <c r="AY47" t="s">
        <v>74</v>
      </c>
      <c r="AZ47" t="s">
        <v>74</v>
      </c>
      <c r="BA47" t="s">
        <v>74</v>
      </c>
      <c r="BB47" t="s">
        <v>74</v>
      </c>
      <c r="BC47" t="s">
        <v>74</v>
      </c>
      <c r="BD47" t="s">
        <v>1110</v>
      </c>
      <c r="BE47" t="s">
        <v>1111</v>
      </c>
      <c r="BF47" t="str">
        <f>HYPERLINK("http://dx.doi.org/10.1371/journal.pone.0186140","http://dx.doi.org/10.1371/journal.pone.0186140")</f>
        <v>http://dx.doi.org/10.1371/journal.pone.0186140</v>
      </c>
      <c r="BG47" t="s">
        <v>74</v>
      </c>
      <c r="BH47" t="s">
        <v>74</v>
      </c>
      <c r="BI47">
        <v>20</v>
      </c>
      <c r="BJ47" t="s">
        <v>190</v>
      </c>
      <c r="BK47" t="s">
        <v>101</v>
      </c>
      <c r="BL47" t="s">
        <v>191</v>
      </c>
      <c r="BM47" t="s">
        <v>1093</v>
      </c>
      <c r="BN47">
        <v>28982192</v>
      </c>
      <c r="BO47" t="s">
        <v>1112</v>
      </c>
      <c r="BP47" t="s">
        <v>74</v>
      </c>
      <c r="BQ47" t="s">
        <v>74</v>
      </c>
      <c r="BR47" t="s">
        <v>105</v>
      </c>
      <c r="BS47" t="s">
        <v>1113</v>
      </c>
      <c r="BT47" t="str">
        <f>HYPERLINK("https%3A%2F%2Fwww.webofscience.com%2Fwos%2Fwoscc%2Ffull-record%2FWOS:000412360300128","View Full Record in Web of Science")</f>
        <v>View Full Record in Web of Science</v>
      </c>
    </row>
    <row r="48" spans="1:72" x14ac:dyDescent="0.15">
      <c r="A48" t="s">
        <v>72</v>
      </c>
      <c r="B48" t="s">
        <v>1114</v>
      </c>
      <c r="C48" t="s">
        <v>74</v>
      </c>
      <c r="D48" t="s">
        <v>74</v>
      </c>
      <c r="E48" t="s">
        <v>74</v>
      </c>
      <c r="F48" t="s">
        <v>1115</v>
      </c>
      <c r="G48" t="s">
        <v>74</v>
      </c>
      <c r="H48" t="s">
        <v>74</v>
      </c>
      <c r="I48" t="s">
        <v>1116</v>
      </c>
      <c r="J48" t="s">
        <v>903</v>
      </c>
      <c r="K48" t="s">
        <v>74</v>
      </c>
      <c r="L48" t="s">
        <v>74</v>
      </c>
      <c r="M48" t="s">
        <v>78</v>
      </c>
      <c r="N48" t="s">
        <v>79</v>
      </c>
      <c r="O48" t="s">
        <v>74</v>
      </c>
      <c r="P48" t="s">
        <v>74</v>
      </c>
      <c r="Q48" t="s">
        <v>74</v>
      </c>
      <c r="R48" t="s">
        <v>74</v>
      </c>
      <c r="S48" t="s">
        <v>74</v>
      </c>
      <c r="T48" t="s">
        <v>74</v>
      </c>
      <c r="U48" t="s">
        <v>1117</v>
      </c>
      <c r="V48" t="s">
        <v>1118</v>
      </c>
      <c r="W48" t="s">
        <v>1119</v>
      </c>
      <c r="X48" t="s">
        <v>1120</v>
      </c>
      <c r="Y48" t="s">
        <v>1121</v>
      </c>
      <c r="Z48" t="s">
        <v>1122</v>
      </c>
      <c r="AA48" t="s">
        <v>1123</v>
      </c>
      <c r="AB48" t="s">
        <v>1124</v>
      </c>
      <c r="AC48" t="s">
        <v>1125</v>
      </c>
      <c r="AD48" t="s">
        <v>1126</v>
      </c>
      <c r="AE48" t="s">
        <v>1127</v>
      </c>
      <c r="AF48" t="s">
        <v>74</v>
      </c>
      <c r="AG48">
        <v>103</v>
      </c>
      <c r="AH48">
        <v>13</v>
      </c>
      <c r="AI48">
        <v>14</v>
      </c>
      <c r="AJ48">
        <v>0</v>
      </c>
      <c r="AK48">
        <v>12</v>
      </c>
      <c r="AL48" t="s">
        <v>311</v>
      </c>
      <c r="AM48" t="s">
        <v>312</v>
      </c>
      <c r="AN48" t="s">
        <v>313</v>
      </c>
      <c r="AO48" t="s">
        <v>915</v>
      </c>
      <c r="AP48" t="s">
        <v>916</v>
      </c>
      <c r="AQ48" t="s">
        <v>74</v>
      </c>
      <c r="AR48" t="s">
        <v>917</v>
      </c>
      <c r="AS48" t="s">
        <v>918</v>
      </c>
      <c r="AT48" t="s">
        <v>1128</v>
      </c>
      <c r="AU48">
        <v>2017</v>
      </c>
      <c r="AV48">
        <v>13</v>
      </c>
      <c r="AW48">
        <v>10</v>
      </c>
      <c r="AX48" t="s">
        <v>74</v>
      </c>
      <c r="AY48" t="s">
        <v>74</v>
      </c>
      <c r="AZ48" t="s">
        <v>74</v>
      </c>
      <c r="BA48" t="s">
        <v>74</v>
      </c>
      <c r="BB48">
        <v>1301</v>
      </c>
      <c r="BC48">
        <v>1322</v>
      </c>
      <c r="BD48" t="s">
        <v>74</v>
      </c>
      <c r="BE48" t="s">
        <v>1129</v>
      </c>
      <c r="BF48" t="str">
        <f>HYPERLINK("http://dx.doi.org/10.5194/cp-13-1301-2017","http://dx.doi.org/10.5194/cp-13-1301-2017")</f>
        <v>http://dx.doi.org/10.5194/cp-13-1301-2017</v>
      </c>
      <c r="BG48" t="s">
        <v>74</v>
      </c>
      <c r="BH48" t="s">
        <v>74</v>
      </c>
      <c r="BI48">
        <v>22</v>
      </c>
      <c r="BJ48" t="s">
        <v>920</v>
      </c>
      <c r="BK48" t="s">
        <v>101</v>
      </c>
      <c r="BL48" t="s">
        <v>921</v>
      </c>
      <c r="BM48" t="s">
        <v>1130</v>
      </c>
      <c r="BN48" t="s">
        <v>74</v>
      </c>
      <c r="BO48" t="s">
        <v>1131</v>
      </c>
      <c r="BP48" t="s">
        <v>74</v>
      </c>
      <c r="BQ48" t="s">
        <v>74</v>
      </c>
      <c r="BR48" t="s">
        <v>105</v>
      </c>
      <c r="BS48" t="s">
        <v>1132</v>
      </c>
      <c r="BT48" t="str">
        <f>HYPERLINK("https%3A%2F%2Fwww.webofscience.com%2Fwos%2Fwoscc%2Ffull-record%2FWOS:000412369300001","View Full Record in Web of Science")</f>
        <v>View Full Record in Web of Science</v>
      </c>
    </row>
    <row r="49" spans="1:72" x14ac:dyDescent="0.15">
      <c r="A49" t="s">
        <v>72</v>
      </c>
      <c r="B49" t="s">
        <v>1133</v>
      </c>
      <c r="C49" t="s">
        <v>74</v>
      </c>
      <c r="D49" t="s">
        <v>74</v>
      </c>
      <c r="E49" t="s">
        <v>74</v>
      </c>
      <c r="F49" t="s">
        <v>1134</v>
      </c>
      <c r="G49" t="s">
        <v>74</v>
      </c>
      <c r="H49" t="s">
        <v>74</v>
      </c>
      <c r="I49" t="s">
        <v>1135</v>
      </c>
      <c r="J49" t="s">
        <v>953</v>
      </c>
      <c r="K49" t="s">
        <v>74</v>
      </c>
      <c r="L49" t="s">
        <v>74</v>
      </c>
      <c r="M49" t="s">
        <v>78</v>
      </c>
      <c r="N49" t="s">
        <v>79</v>
      </c>
      <c r="O49" t="s">
        <v>74</v>
      </c>
      <c r="P49" t="s">
        <v>74</v>
      </c>
      <c r="Q49" t="s">
        <v>74</v>
      </c>
      <c r="R49" t="s">
        <v>74</v>
      </c>
      <c r="S49" t="s">
        <v>74</v>
      </c>
      <c r="T49" t="s">
        <v>74</v>
      </c>
      <c r="U49" t="s">
        <v>1136</v>
      </c>
      <c r="V49" t="s">
        <v>1137</v>
      </c>
      <c r="W49" t="s">
        <v>1138</v>
      </c>
      <c r="X49" t="s">
        <v>1139</v>
      </c>
      <c r="Y49" t="s">
        <v>1140</v>
      </c>
      <c r="Z49" t="s">
        <v>1141</v>
      </c>
      <c r="AA49" t="s">
        <v>1142</v>
      </c>
      <c r="AB49" t="s">
        <v>1143</v>
      </c>
      <c r="AC49" t="s">
        <v>1144</v>
      </c>
      <c r="AD49" t="s">
        <v>1145</v>
      </c>
      <c r="AE49" t="s">
        <v>1146</v>
      </c>
      <c r="AF49" t="s">
        <v>74</v>
      </c>
      <c r="AG49">
        <v>51</v>
      </c>
      <c r="AH49">
        <v>52</v>
      </c>
      <c r="AI49">
        <v>54</v>
      </c>
      <c r="AJ49">
        <v>1</v>
      </c>
      <c r="AK49">
        <v>16</v>
      </c>
      <c r="AL49" t="s">
        <v>650</v>
      </c>
      <c r="AM49" t="s">
        <v>651</v>
      </c>
      <c r="AN49" t="s">
        <v>652</v>
      </c>
      <c r="AO49" t="s">
        <v>74</v>
      </c>
      <c r="AP49" t="s">
        <v>965</v>
      </c>
      <c r="AQ49" t="s">
        <v>74</v>
      </c>
      <c r="AR49" t="s">
        <v>966</v>
      </c>
      <c r="AS49" t="s">
        <v>967</v>
      </c>
      <c r="AT49" t="s">
        <v>1147</v>
      </c>
      <c r="AU49">
        <v>2017</v>
      </c>
      <c r="AV49">
        <v>8</v>
      </c>
      <c r="AW49" t="s">
        <v>74</v>
      </c>
      <c r="AX49" t="s">
        <v>74</v>
      </c>
      <c r="AY49" t="s">
        <v>74</v>
      </c>
      <c r="AZ49" t="s">
        <v>74</v>
      </c>
      <c r="BA49" t="s">
        <v>74</v>
      </c>
      <c r="BB49" t="s">
        <v>74</v>
      </c>
      <c r="BC49" t="s">
        <v>74</v>
      </c>
      <c r="BD49">
        <v>640</v>
      </c>
      <c r="BE49" t="s">
        <v>1148</v>
      </c>
      <c r="BF49" t="str">
        <f>HYPERLINK("http://dx.doi.org/10.1038/s41467-017-00513-8","http://dx.doi.org/10.1038/s41467-017-00513-8")</f>
        <v>http://dx.doi.org/10.1038/s41467-017-00513-8</v>
      </c>
      <c r="BG49" t="s">
        <v>74</v>
      </c>
      <c r="BH49" t="s">
        <v>74</v>
      </c>
      <c r="BI49">
        <v>9</v>
      </c>
      <c r="BJ49" t="s">
        <v>190</v>
      </c>
      <c r="BK49" t="s">
        <v>101</v>
      </c>
      <c r="BL49" t="s">
        <v>191</v>
      </c>
      <c r="BM49" t="s">
        <v>1149</v>
      </c>
      <c r="BN49">
        <v>28974682</v>
      </c>
      <c r="BO49" t="s">
        <v>658</v>
      </c>
      <c r="BP49" t="s">
        <v>74</v>
      </c>
      <c r="BQ49" t="s">
        <v>74</v>
      </c>
      <c r="BR49" t="s">
        <v>105</v>
      </c>
      <c r="BS49" t="s">
        <v>1150</v>
      </c>
      <c r="BT49" t="str">
        <f>HYPERLINK("https%3A%2F%2Fwww.webofscience.com%2Fwos%2Fwoscc%2Ffull-record%2FWOS:000412133200001","View Full Record in Web of Science")</f>
        <v>View Full Record in Web of Science</v>
      </c>
    </row>
    <row r="50" spans="1:72" x14ac:dyDescent="0.15">
      <c r="A50" t="s">
        <v>72</v>
      </c>
      <c r="B50" t="s">
        <v>1151</v>
      </c>
      <c r="C50" t="s">
        <v>74</v>
      </c>
      <c r="D50" t="s">
        <v>74</v>
      </c>
      <c r="E50" t="s">
        <v>74</v>
      </c>
      <c r="F50" t="s">
        <v>1152</v>
      </c>
      <c r="G50" t="s">
        <v>74</v>
      </c>
      <c r="H50" t="s">
        <v>74</v>
      </c>
      <c r="I50" t="s">
        <v>1153</v>
      </c>
      <c r="J50" t="s">
        <v>464</v>
      </c>
      <c r="K50" t="s">
        <v>74</v>
      </c>
      <c r="L50" t="s">
        <v>74</v>
      </c>
      <c r="M50" t="s">
        <v>78</v>
      </c>
      <c r="N50" t="s">
        <v>79</v>
      </c>
      <c r="O50" t="s">
        <v>74</v>
      </c>
      <c r="P50" t="s">
        <v>74</v>
      </c>
      <c r="Q50" t="s">
        <v>74</v>
      </c>
      <c r="R50" t="s">
        <v>74</v>
      </c>
      <c r="S50" t="s">
        <v>74</v>
      </c>
      <c r="T50" t="s">
        <v>1154</v>
      </c>
      <c r="U50" t="s">
        <v>1155</v>
      </c>
      <c r="V50" t="s">
        <v>1156</v>
      </c>
      <c r="W50" t="s">
        <v>1157</v>
      </c>
      <c r="X50" t="s">
        <v>1158</v>
      </c>
      <c r="Y50" t="s">
        <v>1159</v>
      </c>
      <c r="Z50" t="s">
        <v>1160</v>
      </c>
      <c r="AA50" t="s">
        <v>1161</v>
      </c>
      <c r="AB50" t="s">
        <v>1162</v>
      </c>
      <c r="AC50" t="s">
        <v>1163</v>
      </c>
      <c r="AD50" t="s">
        <v>1164</v>
      </c>
      <c r="AE50" t="s">
        <v>1165</v>
      </c>
      <c r="AF50" t="s">
        <v>74</v>
      </c>
      <c r="AG50">
        <v>72</v>
      </c>
      <c r="AH50">
        <v>36</v>
      </c>
      <c r="AI50">
        <v>36</v>
      </c>
      <c r="AJ50">
        <v>2</v>
      </c>
      <c r="AK50">
        <v>24</v>
      </c>
      <c r="AL50" t="s">
        <v>477</v>
      </c>
      <c r="AM50" t="s">
        <v>92</v>
      </c>
      <c r="AN50" t="s">
        <v>478</v>
      </c>
      <c r="AO50" t="s">
        <v>479</v>
      </c>
      <c r="AP50" t="s">
        <v>74</v>
      </c>
      <c r="AQ50" t="s">
        <v>74</v>
      </c>
      <c r="AR50" t="s">
        <v>480</v>
      </c>
      <c r="AS50" t="s">
        <v>481</v>
      </c>
      <c r="AT50" t="s">
        <v>1147</v>
      </c>
      <c r="AU50">
        <v>2017</v>
      </c>
      <c r="AV50">
        <v>114</v>
      </c>
      <c r="AW50">
        <v>40</v>
      </c>
      <c r="AX50" t="s">
        <v>74</v>
      </c>
      <c r="AY50" t="s">
        <v>74</v>
      </c>
      <c r="AZ50" t="s">
        <v>74</v>
      </c>
      <c r="BA50" t="s">
        <v>74</v>
      </c>
      <c r="BB50" t="s">
        <v>1166</v>
      </c>
      <c r="BC50" t="s">
        <v>1167</v>
      </c>
      <c r="BD50" t="s">
        <v>74</v>
      </c>
      <c r="BE50" t="s">
        <v>1168</v>
      </c>
      <c r="BF50" t="str">
        <f>HYPERLINK("http://dx.doi.org/10.1073/pnas.1700564114","http://dx.doi.org/10.1073/pnas.1700564114")</f>
        <v>http://dx.doi.org/10.1073/pnas.1700564114</v>
      </c>
      <c r="BG50" t="s">
        <v>74</v>
      </c>
      <c r="BH50" t="s">
        <v>74</v>
      </c>
      <c r="BI50">
        <v>10</v>
      </c>
      <c r="BJ50" t="s">
        <v>190</v>
      </c>
      <c r="BK50" t="s">
        <v>101</v>
      </c>
      <c r="BL50" t="s">
        <v>191</v>
      </c>
      <c r="BM50" t="s">
        <v>1169</v>
      </c>
      <c r="BN50">
        <v>28923925</v>
      </c>
      <c r="BO50" t="s">
        <v>1170</v>
      </c>
      <c r="BP50" t="s">
        <v>74</v>
      </c>
      <c r="BQ50" t="s">
        <v>74</v>
      </c>
      <c r="BR50" t="s">
        <v>105</v>
      </c>
      <c r="BS50" t="s">
        <v>1171</v>
      </c>
      <c r="BT50" t="str">
        <f>HYPERLINK("https%3A%2F%2Fwww.webofscience.com%2Fwos%2Fwoscc%2Ffull-record%2FWOS:000412130500027","View Full Record in Web of Science")</f>
        <v>View Full Record in Web of Science</v>
      </c>
    </row>
    <row r="51" spans="1:72" x14ac:dyDescent="0.15">
      <c r="A51" t="s">
        <v>72</v>
      </c>
      <c r="B51" t="s">
        <v>1172</v>
      </c>
      <c r="C51" t="s">
        <v>74</v>
      </c>
      <c r="D51" t="s">
        <v>74</v>
      </c>
      <c r="E51" t="s">
        <v>74</v>
      </c>
      <c r="F51" t="s">
        <v>1173</v>
      </c>
      <c r="G51" t="s">
        <v>74</v>
      </c>
      <c r="H51" t="s">
        <v>74</v>
      </c>
      <c r="I51" t="s">
        <v>1174</v>
      </c>
      <c r="J51" t="s">
        <v>489</v>
      </c>
      <c r="K51" t="s">
        <v>74</v>
      </c>
      <c r="L51" t="s">
        <v>74</v>
      </c>
      <c r="M51" t="s">
        <v>78</v>
      </c>
      <c r="N51" t="s">
        <v>79</v>
      </c>
      <c r="O51" t="s">
        <v>74</v>
      </c>
      <c r="P51" t="s">
        <v>74</v>
      </c>
      <c r="Q51" t="s">
        <v>74</v>
      </c>
      <c r="R51" t="s">
        <v>74</v>
      </c>
      <c r="S51" t="s">
        <v>74</v>
      </c>
      <c r="T51" t="s">
        <v>1175</v>
      </c>
      <c r="U51" t="s">
        <v>1176</v>
      </c>
      <c r="V51" t="s">
        <v>1177</v>
      </c>
      <c r="W51" t="s">
        <v>1178</v>
      </c>
      <c r="X51" t="s">
        <v>1179</v>
      </c>
      <c r="Y51" t="s">
        <v>1180</v>
      </c>
      <c r="Z51" t="s">
        <v>1181</v>
      </c>
      <c r="AA51" t="s">
        <v>1182</v>
      </c>
      <c r="AB51" t="s">
        <v>1183</v>
      </c>
      <c r="AC51" t="s">
        <v>1184</v>
      </c>
      <c r="AD51" t="s">
        <v>1185</v>
      </c>
      <c r="AE51" t="s">
        <v>1186</v>
      </c>
      <c r="AF51" t="s">
        <v>74</v>
      </c>
      <c r="AG51">
        <v>121</v>
      </c>
      <c r="AH51">
        <v>33</v>
      </c>
      <c r="AI51">
        <v>33</v>
      </c>
      <c r="AJ51">
        <v>1</v>
      </c>
      <c r="AK51">
        <v>23</v>
      </c>
      <c r="AL51" t="s">
        <v>371</v>
      </c>
      <c r="AM51" t="s">
        <v>372</v>
      </c>
      <c r="AN51" t="s">
        <v>373</v>
      </c>
      <c r="AO51" t="s">
        <v>504</v>
      </c>
      <c r="AP51" t="s">
        <v>505</v>
      </c>
      <c r="AQ51" t="s">
        <v>74</v>
      </c>
      <c r="AR51" t="s">
        <v>489</v>
      </c>
      <c r="AS51" t="s">
        <v>506</v>
      </c>
      <c r="AT51" t="s">
        <v>1187</v>
      </c>
      <c r="AU51">
        <v>2017</v>
      </c>
      <c r="AV51">
        <v>716</v>
      </c>
      <c r="AW51" t="s">
        <v>74</v>
      </c>
      <c r="AX51" t="s">
        <v>74</v>
      </c>
      <c r="AY51" t="s">
        <v>74</v>
      </c>
      <c r="AZ51" t="s">
        <v>1188</v>
      </c>
      <c r="BA51" t="s">
        <v>74</v>
      </c>
      <c r="BB51">
        <v>225</v>
      </c>
      <c r="BC51">
        <v>240</v>
      </c>
      <c r="BD51" t="s">
        <v>74</v>
      </c>
      <c r="BE51" t="s">
        <v>1189</v>
      </c>
      <c r="BF51" t="str">
        <f>HYPERLINK("http://dx.doi.org/10.1016/j.tecto.2016.05.036","http://dx.doi.org/10.1016/j.tecto.2016.05.036")</f>
        <v>http://dx.doi.org/10.1016/j.tecto.2016.05.036</v>
      </c>
      <c r="BG51" t="s">
        <v>74</v>
      </c>
      <c r="BH51" t="s">
        <v>74</v>
      </c>
      <c r="BI51">
        <v>16</v>
      </c>
      <c r="BJ51" t="s">
        <v>509</v>
      </c>
      <c r="BK51" t="s">
        <v>101</v>
      </c>
      <c r="BL51" t="s">
        <v>509</v>
      </c>
      <c r="BM51" t="s">
        <v>1190</v>
      </c>
      <c r="BN51" t="s">
        <v>74</v>
      </c>
      <c r="BO51" t="s">
        <v>74</v>
      </c>
      <c r="BP51" t="s">
        <v>74</v>
      </c>
      <c r="BQ51" t="s">
        <v>74</v>
      </c>
      <c r="BR51" t="s">
        <v>105</v>
      </c>
      <c r="BS51" t="s">
        <v>1191</v>
      </c>
      <c r="BT51" t="str">
        <f>HYPERLINK("https%3A%2F%2Fwww.webofscience.com%2Fwos%2Fwoscc%2Ffull-record%2FWOS:000416195400016","View Full Record in Web of Science")</f>
        <v>View Full Record in Web of Science</v>
      </c>
    </row>
    <row r="52" spans="1:72" x14ac:dyDescent="0.15">
      <c r="A52" t="s">
        <v>72</v>
      </c>
      <c r="B52" t="s">
        <v>1192</v>
      </c>
      <c r="C52" t="s">
        <v>74</v>
      </c>
      <c r="D52" t="s">
        <v>74</v>
      </c>
      <c r="E52" t="s">
        <v>74</v>
      </c>
      <c r="F52" t="s">
        <v>1193</v>
      </c>
      <c r="G52" t="s">
        <v>74</v>
      </c>
      <c r="H52" t="s">
        <v>74</v>
      </c>
      <c r="I52" t="s">
        <v>1194</v>
      </c>
      <c r="J52" t="s">
        <v>1195</v>
      </c>
      <c r="K52" t="s">
        <v>74</v>
      </c>
      <c r="L52" t="s">
        <v>74</v>
      </c>
      <c r="M52" t="s">
        <v>78</v>
      </c>
      <c r="N52" t="s">
        <v>79</v>
      </c>
      <c r="O52" t="s">
        <v>74</v>
      </c>
      <c r="P52" t="s">
        <v>74</v>
      </c>
      <c r="Q52" t="s">
        <v>74</v>
      </c>
      <c r="R52" t="s">
        <v>74</v>
      </c>
      <c r="S52" t="s">
        <v>74</v>
      </c>
      <c r="T52" t="s">
        <v>1196</v>
      </c>
      <c r="U52" t="s">
        <v>1197</v>
      </c>
      <c r="V52" t="s">
        <v>1198</v>
      </c>
      <c r="W52" t="s">
        <v>1199</v>
      </c>
      <c r="X52" t="s">
        <v>1200</v>
      </c>
      <c r="Y52" t="s">
        <v>1201</v>
      </c>
      <c r="Z52" t="s">
        <v>1202</v>
      </c>
      <c r="AA52" t="s">
        <v>1203</v>
      </c>
      <c r="AB52" t="s">
        <v>1204</v>
      </c>
      <c r="AC52" t="s">
        <v>1205</v>
      </c>
      <c r="AD52" t="s">
        <v>1206</v>
      </c>
      <c r="AE52" t="s">
        <v>1207</v>
      </c>
      <c r="AF52" t="s">
        <v>74</v>
      </c>
      <c r="AG52">
        <v>18</v>
      </c>
      <c r="AH52">
        <v>3</v>
      </c>
      <c r="AI52">
        <v>3</v>
      </c>
      <c r="AJ52">
        <v>0</v>
      </c>
      <c r="AK52">
        <v>11</v>
      </c>
      <c r="AL52" t="s">
        <v>1208</v>
      </c>
      <c r="AM52" t="s">
        <v>1209</v>
      </c>
      <c r="AN52" t="s">
        <v>1210</v>
      </c>
      <c r="AO52" t="s">
        <v>1211</v>
      </c>
      <c r="AP52" t="s">
        <v>74</v>
      </c>
      <c r="AQ52" t="s">
        <v>74</v>
      </c>
      <c r="AR52" t="s">
        <v>1195</v>
      </c>
      <c r="AS52" t="s">
        <v>1212</v>
      </c>
      <c r="AT52" t="s">
        <v>1213</v>
      </c>
      <c r="AU52">
        <v>2017</v>
      </c>
      <c r="AV52">
        <v>132</v>
      </c>
      <c r="AW52">
        <v>4</v>
      </c>
      <c r="AX52" t="s">
        <v>74</v>
      </c>
      <c r="AY52" t="s">
        <v>74</v>
      </c>
      <c r="AZ52" t="s">
        <v>74</v>
      </c>
      <c r="BA52" t="s">
        <v>74</v>
      </c>
      <c r="BB52">
        <v>831</v>
      </c>
      <c r="BC52">
        <v>837</v>
      </c>
      <c r="BD52" t="s">
        <v>74</v>
      </c>
      <c r="BE52" t="s">
        <v>1214</v>
      </c>
      <c r="BF52" t="str">
        <f>HYPERLINK("http://dx.doi.org/10.5248/132.831","http://dx.doi.org/10.5248/132.831")</f>
        <v>http://dx.doi.org/10.5248/132.831</v>
      </c>
      <c r="BG52" t="s">
        <v>74</v>
      </c>
      <c r="BH52" t="s">
        <v>74</v>
      </c>
      <c r="BI52">
        <v>7</v>
      </c>
      <c r="BJ52" t="s">
        <v>1215</v>
      </c>
      <c r="BK52" t="s">
        <v>101</v>
      </c>
      <c r="BL52" t="s">
        <v>1215</v>
      </c>
      <c r="BM52" t="s">
        <v>1216</v>
      </c>
      <c r="BN52" t="s">
        <v>74</v>
      </c>
      <c r="BO52" t="s">
        <v>74</v>
      </c>
      <c r="BP52" t="s">
        <v>74</v>
      </c>
      <c r="BQ52" t="s">
        <v>74</v>
      </c>
      <c r="BR52" t="s">
        <v>105</v>
      </c>
      <c r="BS52" t="s">
        <v>1217</v>
      </c>
      <c r="BT52" t="str">
        <f>HYPERLINK("https%3A%2F%2Fwww.webofscience.com%2Fwos%2Fwoscc%2Ffull-record%2FWOS:000424340600013","View Full Record in Web of Science")</f>
        <v>View Full Record in Web of Science</v>
      </c>
    </row>
    <row r="53" spans="1:72" x14ac:dyDescent="0.15">
      <c r="A53" t="s">
        <v>72</v>
      </c>
      <c r="B53" t="s">
        <v>1218</v>
      </c>
      <c r="C53" t="s">
        <v>74</v>
      </c>
      <c r="D53" t="s">
        <v>74</v>
      </c>
      <c r="E53" t="s">
        <v>74</v>
      </c>
      <c r="F53" t="s">
        <v>1219</v>
      </c>
      <c r="G53" t="s">
        <v>74</v>
      </c>
      <c r="H53" t="s">
        <v>74</v>
      </c>
      <c r="I53" t="s">
        <v>1220</v>
      </c>
      <c r="J53" t="s">
        <v>1221</v>
      </c>
      <c r="K53" t="s">
        <v>74</v>
      </c>
      <c r="L53" t="s">
        <v>74</v>
      </c>
      <c r="M53" t="s">
        <v>78</v>
      </c>
      <c r="N53" t="s">
        <v>79</v>
      </c>
      <c r="O53" t="s">
        <v>74</v>
      </c>
      <c r="P53" t="s">
        <v>74</v>
      </c>
      <c r="Q53" t="s">
        <v>74</v>
      </c>
      <c r="R53" t="s">
        <v>74</v>
      </c>
      <c r="S53" t="s">
        <v>74</v>
      </c>
      <c r="T53" t="s">
        <v>74</v>
      </c>
      <c r="U53" t="s">
        <v>1222</v>
      </c>
      <c r="V53" t="s">
        <v>1223</v>
      </c>
      <c r="W53" t="s">
        <v>1224</v>
      </c>
      <c r="X53" t="s">
        <v>1225</v>
      </c>
      <c r="Y53" t="s">
        <v>1226</v>
      </c>
      <c r="Z53" t="s">
        <v>1227</v>
      </c>
      <c r="AA53" t="s">
        <v>1228</v>
      </c>
      <c r="AB53" t="s">
        <v>1229</v>
      </c>
      <c r="AC53" t="s">
        <v>1230</v>
      </c>
      <c r="AD53" t="s">
        <v>1231</v>
      </c>
      <c r="AE53" t="s">
        <v>1232</v>
      </c>
      <c r="AF53" t="s">
        <v>74</v>
      </c>
      <c r="AG53">
        <v>75</v>
      </c>
      <c r="AH53">
        <v>35</v>
      </c>
      <c r="AI53">
        <v>35</v>
      </c>
      <c r="AJ53">
        <v>0</v>
      </c>
      <c r="AK53">
        <v>6</v>
      </c>
      <c r="AL53" t="s">
        <v>91</v>
      </c>
      <c r="AM53" t="s">
        <v>92</v>
      </c>
      <c r="AN53" t="s">
        <v>93</v>
      </c>
      <c r="AO53" t="s">
        <v>1233</v>
      </c>
      <c r="AP53" t="s">
        <v>1234</v>
      </c>
      <c r="AQ53" t="s">
        <v>74</v>
      </c>
      <c r="AR53" t="s">
        <v>1235</v>
      </c>
      <c r="AS53" t="s">
        <v>1236</v>
      </c>
      <c r="AT53" t="s">
        <v>1237</v>
      </c>
      <c r="AU53">
        <v>2017</v>
      </c>
      <c r="AV53">
        <v>122</v>
      </c>
      <c r="AW53">
        <v>10</v>
      </c>
      <c r="AX53" t="s">
        <v>74</v>
      </c>
      <c r="AY53" t="s">
        <v>74</v>
      </c>
      <c r="AZ53" t="s">
        <v>74</v>
      </c>
      <c r="BA53" t="s">
        <v>74</v>
      </c>
      <c r="BB53">
        <v>10304</v>
      </c>
      <c r="BC53">
        <v>10317</v>
      </c>
      <c r="BD53" t="s">
        <v>74</v>
      </c>
      <c r="BE53" t="s">
        <v>1238</v>
      </c>
      <c r="BF53" t="str">
        <f>HYPERLINK("http://dx.doi.org/10.1002/2017JA024197","http://dx.doi.org/10.1002/2017JA024197")</f>
        <v>http://dx.doi.org/10.1002/2017JA024197</v>
      </c>
      <c r="BG53" t="s">
        <v>74</v>
      </c>
      <c r="BH53" t="s">
        <v>74</v>
      </c>
      <c r="BI53">
        <v>14</v>
      </c>
      <c r="BJ53" t="s">
        <v>349</v>
      </c>
      <c r="BK53" t="s">
        <v>101</v>
      </c>
      <c r="BL53" t="s">
        <v>349</v>
      </c>
      <c r="BM53" t="s">
        <v>1239</v>
      </c>
      <c r="BN53" t="s">
        <v>74</v>
      </c>
      <c r="BO53" t="s">
        <v>1240</v>
      </c>
      <c r="BP53" t="s">
        <v>74</v>
      </c>
      <c r="BQ53" t="s">
        <v>74</v>
      </c>
      <c r="BR53" t="s">
        <v>105</v>
      </c>
      <c r="BS53" t="s">
        <v>1241</v>
      </c>
      <c r="BT53" t="str">
        <f>HYPERLINK("https%3A%2F%2Fwww.webofscience.com%2Fwos%2Fwoscc%2Ffull-record%2FWOS:000419937800038","View Full Record in Web of Science")</f>
        <v>View Full Record in Web of Science</v>
      </c>
    </row>
    <row r="54" spans="1:72" x14ac:dyDescent="0.15">
      <c r="A54" t="s">
        <v>72</v>
      </c>
      <c r="B54" t="s">
        <v>1242</v>
      </c>
      <c r="C54" t="s">
        <v>74</v>
      </c>
      <c r="D54" t="s">
        <v>74</v>
      </c>
      <c r="E54" t="s">
        <v>74</v>
      </c>
      <c r="F54" t="s">
        <v>1243</v>
      </c>
      <c r="G54" t="s">
        <v>74</v>
      </c>
      <c r="H54" t="s">
        <v>74</v>
      </c>
      <c r="I54" t="s">
        <v>1244</v>
      </c>
      <c r="J54" t="s">
        <v>1221</v>
      </c>
      <c r="K54" t="s">
        <v>74</v>
      </c>
      <c r="L54" t="s">
        <v>74</v>
      </c>
      <c r="M54" t="s">
        <v>78</v>
      </c>
      <c r="N54" t="s">
        <v>79</v>
      </c>
      <c r="O54" t="s">
        <v>74</v>
      </c>
      <c r="P54" t="s">
        <v>74</v>
      </c>
      <c r="Q54" t="s">
        <v>74</v>
      </c>
      <c r="R54" t="s">
        <v>74</v>
      </c>
      <c r="S54" t="s">
        <v>74</v>
      </c>
      <c r="T54" t="s">
        <v>74</v>
      </c>
      <c r="U54" t="s">
        <v>1245</v>
      </c>
      <c r="V54" t="s">
        <v>1246</v>
      </c>
      <c r="W54" t="s">
        <v>1247</v>
      </c>
      <c r="X54" t="s">
        <v>1248</v>
      </c>
      <c r="Y54" t="s">
        <v>1249</v>
      </c>
      <c r="Z54" t="s">
        <v>1250</v>
      </c>
      <c r="AA54" t="s">
        <v>1251</v>
      </c>
      <c r="AB54" t="s">
        <v>1252</v>
      </c>
      <c r="AC54" t="s">
        <v>1253</v>
      </c>
      <c r="AD54" t="s">
        <v>1254</v>
      </c>
      <c r="AE54" t="s">
        <v>1255</v>
      </c>
      <c r="AF54" t="s">
        <v>74</v>
      </c>
      <c r="AG54">
        <v>52</v>
      </c>
      <c r="AH54">
        <v>19</v>
      </c>
      <c r="AI54">
        <v>19</v>
      </c>
      <c r="AJ54">
        <v>0</v>
      </c>
      <c r="AK54">
        <v>12</v>
      </c>
      <c r="AL54" t="s">
        <v>91</v>
      </c>
      <c r="AM54" t="s">
        <v>92</v>
      </c>
      <c r="AN54" t="s">
        <v>93</v>
      </c>
      <c r="AO54" t="s">
        <v>1233</v>
      </c>
      <c r="AP54" t="s">
        <v>1234</v>
      </c>
      <c r="AQ54" t="s">
        <v>74</v>
      </c>
      <c r="AR54" t="s">
        <v>1235</v>
      </c>
      <c r="AS54" t="s">
        <v>1236</v>
      </c>
      <c r="AT54" t="s">
        <v>1237</v>
      </c>
      <c r="AU54">
        <v>2017</v>
      </c>
      <c r="AV54">
        <v>122</v>
      </c>
      <c r="AW54">
        <v>10</v>
      </c>
      <c r="AX54" t="s">
        <v>74</v>
      </c>
      <c r="AY54" t="s">
        <v>74</v>
      </c>
      <c r="AZ54" t="s">
        <v>74</v>
      </c>
      <c r="BA54" t="s">
        <v>74</v>
      </c>
      <c r="BB54">
        <v>10548</v>
      </c>
      <c r="BC54">
        <v>10562</v>
      </c>
      <c r="BD54" t="s">
        <v>74</v>
      </c>
      <c r="BE54" t="s">
        <v>1256</v>
      </c>
      <c r="BF54" t="str">
        <f>HYPERLINK("http://dx.doi.org/10.1002/2017JA024156","http://dx.doi.org/10.1002/2017JA024156")</f>
        <v>http://dx.doi.org/10.1002/2017JA024156</v>
      </c>
      <c r="BG54" t="s">
        <v>74</v>
      </c>
      <c r="BH54" t="s">
        <v>74</v>
      </c>
      <c r="BI54">
        <v>15</v>
      </c>
      <c r="BJ54" t="s">
        <v>349</v>
      </c>
      <c r="BK54" t="s">
        <v>101</v>
      </c>
      <c r="BL54" t="s">
        <v>349</v>
      </c>
      <c r="BM54" t="s">
        <v>1239</v>
      </c>
      <c r="BN54" t="s">
        <v>74</v>
      </c>
      <c r="BO54" t="s">
        <v>74</v>
      </c>
      <c r="BP54" t="s">
        <v>74</v>
      </c>
      <c r="BQ54" t="s">
        <v>74</v>
      </c>
      <c r="BR54" t="s">
        <v>105</v>
      </c>
      <c r="BS54" t="s">
        <v>1257</v>
      </c>
      <c r="BT54" t="str">
        <f>HYPERLINK("https%3A%2F%2Fwww.webofscience.com%2Fwos%2Fwoscc%2Ffull-record%2FWOS:000419937800055","View Full Record in Web of Science")</f>
        <v>View Full Record in Web of Science</v>
      </c>
    </row>
    <row r="55" spans="1:72" x14ac:dyDescent="0.15">
      <c r="A55" t="s">
        <v>72</v>
      </c>
      <c r="B55" t="s">
        <v>1258</v>
      </c>
      <c r="C55" t="s">
        <v>74</v>
      </c>
      <c r="D55" t="s">
        <v>74</v>
      </c>
      <c r="E55" t="s">
        <v>74</v>
      </c>
      <c r="F55" t="s">
        <v>1259</v>
      </c>
      <c r="G55" t="s">
        <v>74</v>
      </c>
      <c r="H55" t="s">
        <v>74</v>
      </c>
      <c r="I55" t="s">
        <v>1260</v>
      </c>
      <c r="J55" t="s">
        <v>1261</v>
      </c>
      <c r="K55" t="s">
        <v>74</v>
      </c>
      <c r="L55" t="s">
        <v>74</v>
      </c>
      <c r="M55" t="s">
        <v>78</v>
      </c>
      <c r="N55" t="s">
        <v>79</v>
      </c>
      <c r="O55" t="s">
        <v>74</v>
      </c>
      <c r="P55" t="s">
        <v>74</v>
      </c>
      <c r="Q55" t="s">
        <v>74</v>
      </c>
      <c r="R55" t="s">
        <v>74</v>
      </c>
      <c r="S55" t="s">
        <v>74</v>
      </c>
      <c r="T55" t="s">
        <v>1262</v>
      </c>
      <c r="U55" t="s">
        <v>1263</v>
      </c>
      <c r="V55" t="s">
        <v>1264</v>
      </c>
      <c r="W55" t="s">
        <v>1265</v>
      </c>
      <c r="X55" t="s">
        <v>1266</v>
      </c>
      <c r="Y55" t="s">
        <v>1267</v>
      </c>
      <c r="Z55" t="s">
        <v>1268</v>
      </c>
      <c r="AA55" t="s">
        <v>74</v>
      </c>
      <c r="AB55" t="s">
        <v>1269</v>
      </c>
      <c r="AC55" t="s">
        <v>74</v>
      </c>
      <c r="AD55" t="s">
        <v>74</v>
      </c>
      <c r="AE55" t="s">
        <v>74</v>
      </c>
      <c r="AF55" t="s">
        <v>74</v>
      </c>
      <c r="AG55">
        <v>27</v>
      </c>
      <c r="AH55">
        <v>5</v>
      </c>
      <c r="AI55">
        <v>5</v>
      </c>
      <c r="AJ55">
        <v>1</v>
      </c>
      <c r="AK55">
        <v>9</v>
      </c>
      <c r="AL55" t="s">
        <v>1270</v>
      </c>
      <c r="AM55" t="s">
        <v>286</v>
      </c>
      <c r="AN55" t="s">
        <v>1271</v>
      </c>
      <c r="AO55" t="s">
        <v>1272</v>
      </c>
      <c r="AP55" t="s">
        <v>1273</v>
      </c>
      <c r="AQ55" t="s">
        <v>74</v>
      </c>
      <c r="AR55" t="s">
        <v>1274</v>
      </c>
      <c r="AS55" t="s">
        <v>1275</v>
      </c>
      <c r="AT55" t="s">
        <v>1237</v>
      </c>
      <c r="AU55">
        <v>2017</v>
      </c>
      <c r="AV55">
        <v>63</v>
      </c>
      <c r="AW55">
        <v>241</v>
      </c>
      <c r="AX55" t="s">
        <v>74</v>
      </c>
      <c r="AY55" t="s">
        <v>74</v>
      </c>
      <c r="AZ55" t="s">
        <v>74</v>
      </c>
      <c r="BA55" t="s">
        <v>74</v>
      </c>
      <c r="BB55">
        <v>838</v>
      </c>
      <c r="BC55">
        <v>846</v>
      </c>
      <c r="BD55" t="s">
        <v>74</v>
      </c>
      <c r="BE55" t="s">
        <v>1276</v>
      </c>
      <c r="BF55" t="str">
        <f>HYPERLINK("http://dx.doi.org/10.1017/jog.2017.49","http://dx.doi.org/10.1017/jog.2017.49")</f>
        <v>http://dx.doi.org/10.1017/jog.2017.49</v>
      </c>
      <c r="BG55" t="s">
        <v>74</v>
      </c>
      <c r="BH55" t="s">
        <v>74</v>
      </c>
      <c r="BI55">
        <v>9</v>
      </c>
      <c r="BJ55" t="s">
        <v>319</v>
      </c>
      <c r="BK55" t="s">
        <v>101</v>
      </c>
      <c r="BL55" t="s">
        <v>320</v>
      </c>
      <c r="BM55" t="s">
        <v>1277</v>
      </c>
      <c r="BN55" t="s">
        <v>74</v>
      </c>
      <c r="BO55" t="s">
        <v>1278</v>
      </c>
      <c r="BP55" t="s">
        <v>74</v>
      </c>
      <c r="BQ55" t="s">
        <v>74</v>
      </c>
      <c r="BR55" t="s">
        <v>105</v>
      </c>
      <c r="BS55" t="s">
        <v>1279</v>
      </c>
      <c r="BT55" t="str">
        <f>HYPERLINK("https%3A%2F%2Fwww.webofscience.com%2Fwos%2Fwoscc%2Ffull-record%2FWOS:000418851100007","View Full Record in Web of Science")</f>
        <v>View Full Record in Web of Science</v>
      </c>
    </row>
    <row r="56" spans="1:72" x14ac:dyDescent="0.15">
      <c r="A56" t="s">
        <v>72</v>
      </c>
      <c r="B56" t="s">
        <v>1280</v>
      </c>
      <c r="C56" t="s">
        <v>74</v>
      </c>
      <c r="D56" t="s">
        <v>74</v>
      </c>
      <c r="E56" t="s">
        <v>74</v>
      </c>
      <c r="F56" t="s">
        <v>1281</v>
      </c>
      <c r="G56" t="s">
        <v>74</v>
      </c>
      <c r="H56" t="s">
        <v>74</v>
      </c>
      <c r="I56" t="s">
        <v>1282</v>
      </c>
      <c r="J56" t="s">
        <v>1283</v>
      </c>
      <c r="K56" t="s">
        <v>74</v>
      </c>
      <c r="L56" t="s">
        <v>74</v>
      </c>
      <c r="M56" t="s">
        <v>78</v>
      </c>
      <c r="N56" t="s">
        <v>79</v>
      </c>
      <c r="O56" t="s">
        <v>74</v>
      </c>
      <c r="P56" t="s">
        <v>74</v>
      </c>
      <c r="Q56" t="s">
        <v>74</v>
      </c>
      <c r="R56" t="s">
        <v>74</v>
      </c>
      <c r="S56" t="s">
        <v>74</v>
      </c>
      <c r="T56" t="s">
        <v>74</v>
      </c>
      <c r="U56" t="s">
        <v>1284</v>
      </c>
      <c r="V56" t="s">
        <v>1285</v>
      </c>
      <c r="W56" t="s">
        <v>1286</v>
      </c>
      <c r="X56" t="s">
        <v>1287</v>
      </c>
      <c r="Y56" t="s">
        <v>1288</v>
      </c>
      <c r="Z56" t="s">
        <v>1289</v>
      </c>
      <c r="AA56" t="s">
        <v>1290</v>
      </c>
      <c r="AB56" t="s">
        <v>1291</v>
      </c>
      <c r="AC56" t="s">
        <v>74</v>
      </c>
      <c r="AD56" t="s">
        <v>74</v>
      </c>
      <c r="AE56" t="s">
        <v>74</v>
      </c>
      <c r="AF56" t="s">
        <v>74</v>
      </c>
      <c r="AG56">
        <v>73</v>
      </c>
      <c r="AH56">
        <v>14</v>
      </c>
      <c r="AI56">
        <v>14</v>
      </c>
      <c r="AJ56">
        <v>0</v>
      </c>
      <c r="AK56">
        <v>0</v>
      </c>
      <c r="AL56" t="s">
        <v>1292</v>
      </c>
      <c r="AM56" t="s">
        <v>1293</v>
      </c>
      <c r="AN56" t="s">
        <v>1294</v>
      </c>
      <c r="AO56" t="s">
        <v>1295</v>
      </c>
      <c r="AP56" t="s">
        <v>74</v>
      </c>
      <c r="AQ56" t="s">
        <v>74</v>
      </c>
      <c r="AR56" t="s">
        <v>1283</v>
      </c>
      <c r="AS56" t="s">
        <v>1296</v>
      </c>
      <c r="AT56" t="s">
        <v>1237</v>
      </c>
      <c r="AU56">
        <v>2017</v>
      </c>
      <c r="AV56">
        <v>13</v>
      </c>
      <c r="AW56">
        <v>5</v>
      </c>
      <c r="AX56" t="s">
        <v>74</v>
      </c>
      <c r="AY56" t="s">
        <v>74</v>
      </c>
      <c r="AZ56" t="s">
        <v>74</v>
      </c>
      <c r="BA56" t="s">
        <v>74</v>
      </c>
      <c r="BB56">
        <v>1729</v>
      </c>
      <c r="BC56">
        <v>1746</v>
      </c>
      <c r="BD56" t="s">
        <v>74</v>
      </c>
      <c r="BE56" t="s">
        <v>1297</v>
      </c>
      <c r="BF56" t="str">
        <f>HYPERLINK("http://dx.doi.org/10.1130/GES01500.1","http://dx.doi.org/10.1130/GES01500.1")</f>
        <v>http://dx.doi.org/10.1130/GES01500.1</v>
      </c>
      <c r="BG56" t="s">
        <v>74</v>
      </c>
      <c r="BH56" t="s">
        <v>74</v>
      </c>
      <c r="BI56">
        <v>18</v>
      </c>
      <c r="BJ56" t="s">
        <v>100</v>
      </c>
      <c r="BK56" t="s">
        <v>101</v>
      </c>
      <c r="BL56" t="s">
        <v>102</v>
      </c>
      <c r="BM56" t="s">
        <v>1298</v>
      </c>
      <c r="BN56" t="s">
        <v>74</v>
      </c>
      <c r="BO56" t="s">
        <v>267</v>
      </c>
      <c r="BP56" t="s">
        <v>74</v>
      </c>
      <c r="BQ56" t="s">
        <v>74</v>
      </c>
      <c r="BR56" t="s">
        <v>105</v>
      </c>
      <c r="BS56" t="s">
        <v>1299</v>
      </c>
      <c r="BT56" t="str">
        <f>HYPERLINK("https%3A%2F%2Fwww.webofscience.com%2Fwos%2Fwoscc%2Ffull-record%2FWOS:000418430700018","View Full Record in Web of Science")</f>
        <v>View Full Record in Web of Science</v>
      </c>
    </row>
    <row r="57" spans="1:72" x14ac:dyDescent="0.15">
      <c r="A57" t="s">
        <v>72</v>
      </c>
      <c r="B57" t="s">
        <v>1300</v>
      </c>
      <c r="C57" t="s">
        <v>74</v>
      </c>
      <c r="D57" t="s">
        <v>74</v>
      </c>
      <c r="E57" t="s">
        <v>74</v>
      </c>
      <c r="F57" t="s">
        <v>1301</v>
      </c>
      <c r="G57" t="s">
        <v>74</v>
      </c>
      <c r="H57" t="s">
        <v>74</v>
      </c>
      <c r="I57" t="s">
        <v>1302</v>
      </c>
      <c r="J57" t="s">
        <v>1303</v>
      </c>
      <c r="K57" t="s">
        <v>74</v>
      </c>
      <c r="L57" t="s">
        <v>74</v>
      </c>
      <c r="M57" t="s">
        <v>78</v>
      </c>
      <c r="N57" t="s">
        <v>79</v>
      </c>
      <c r="O57" t="s">
        <v>74</v>
      </c>
      <c r="P57" t="s">
        <v>74</v>
      </c>
      <c r="Q57" t="s">
        <v>74</v>
      </c>
      <c r="R57" t="s">
        <v>74</v>
      </c>
      <c r="S57" t="s">
        <v>74</v>
      </c>
      <c r="T57" t="s">
        <v>1304</v>
      </c>
      <c r="U57" t="s">
        <v>1305</v>
      </c>
      <c r="V57" t="s">
        <v>1306</v>
      </c>
      <c r="W57" t="s">
        <v>1307</v>
      </c>
      <c r="X57" t="s">
        <v>1308</v>
      </c>
      <c r="Y57" t="s">
        <v>1309</v>
      </c>
      <c r="Z57" t="s">
        <v>1310</v>
      </c>
      <c r="AA57" t="s">
        <v>1311</v>
      </c>
      <c r="AB57" t="s">
        <v>1312</v>
      </c>
      <c r="AC57" t="s">
        <v>1313</v>
      </c>
      <c r="AD57" t="s">
        <v>1313</v>
      </c>
      <c r="AE57" t="s">
        <v>1314</v>
      </c>
      <c r="AF57" t="s">
        <v>74</v>
      </c>
      <c r="AG57">
        <v>70</v>
      </c>
      <c r="AH57">
        <v>7</v>
      </c>
      <c r="AI57">
        <v>7</v>
      </c>
      <c r="AJ57">
        <v>4</v>
      </c>
      <c r="AK57">
        <v>33</v>
      </c>
      <c r="AL57" t="s">
        <v>728</v>
      </c>
      <c r="AM57" t="s">
        <v>729</v>
      </c>
      <c r="AN57" t="s">
        <v>730</v>
      </c>
      <c r="AO57" t="s">
        <v>1315</v>
      </c>
      <c r="AP57" t="s">
        <v>1316</v>
      </c>
      <c r="AQ57" t="s">
        <v>74</v>
      </c>
      <c r="AR57" t="s">
        <v>1317</v>
      </c>
      <c r="AS57" t="s">
        <v>1318</v>
      </c>
      <c r="AT57" t="s">
        <v>1237</v>
      </c>
      <c r="AU57">
        <v>2017</v>
      </c>
      <c r="AV57">
        <v>131</v>
      </c>
      <c r="AW57" t="s">
        <v>74</v>
      </c>
      <c r="AX57" t="s">
        <v>74</v>
      </c>
      <c r="AY57" t="s">
        <v>74</v>
      </c>
      <c r="AZ57" t="s">
        <v>74</v>
      </c>
      <c r="BA57" t="s">
        <v>74</v>
      </c>
      <c r="BB57">
        <v>80</v>
      </c>
      <c r="BC57">
        <v>89</v>
      </c>
      <c r="BD57" t="s">
        <v>74</v>
      </c>
      <c r="BE57" t="s">
        <v>1319</v>
      </c>
      <c r="BF57" t="str">
        <f>HYPERLINK("http://dx.doi.org/10.1016/j.marenvres.2017.09.014","http://dx.doi.org/10.1016/j.marenvres.2017.09.014")</f>
        <v>http://dx.doi.org/10.1016/j.marenvres.2017.09.014</v>
      </c>
      <c r="BG57" t="s">
        <v>74</v>
      </c>
      <c r="BH57" t="s">
        <v>74</v>
      </c>
      <c r="BI57">
        <v>10</v>
      </c>
      <c r="BJ57" t="s">
        <v>1320</v>
      </c>
      <c r="BK57" t="s">
        <v>101</v>
      </c>
      <c r="BL57" t="s">
        <v>1321</v>
      </c>
      <c r="BM57" t="s">
        <v>1322</v>
      </c>
      <c r="BN57">
        <v>28943068</v>
      </c>
      <c r="BO57" t="s">
        <v>74</v>
      </c>
      <c r="BP57" t="s">
        <v>74</v>
      </c>
      <c r="BQ57" t="s">
        <v>74</v>
      </c>
      <c r="BR57" t="s">
        <v>105</v>
      </c>
      <c r="BS57" t="s">
        <v>1323</v>
      </c>
      <c r="BT57" t="str">
        <f>HYPERLINK("https%3A%2F%2Fwww.webofscience.com%2Fwos%2Fwoscc%2Ffull-record%2FWOS:000418222400008","View Full Record in Web of Science")</f>
        <v>View Full Record in Web of Science</v>
      </c>
    </row>
    <row r="58" spans="1:72" x14ac:dyDescent="0.15">
      <c r="A58" t="s">
        <v>72</v>
      </c>
      <c r="B58" t="s">
        <v>1324</v>
      </c>
      <c r="C58" t="s">
        <v>74</v>
      </c>
      <c r="D58" t="s">
        <v>74</v>
      </c>
      <c r="E58" t="s">
        <v>74</v>
      </c>
      <c r="F58" t="s">
        <v>1325</v>
      </c>
      <c r="G58" t="s">
        <v>74</v>
      </c>
      <c r="H58" t="s">
        <v>74</v>
      </c>
      <c r="I58" t="s">
        <v>1326</v>
      </c>
      <c r="J58" t="s">
        <v>1327</v>
      </c>
      <c r="K58" t="s">
        <v>74</v>
      </c>
      <c r="L58" t="s">
        <v>74</v>
      </c>
      <c r="M58" t="s">
        <v>78</v>
      </c>
      <c r="N58" t="s">
        <v>52</v>
      </c>
      <c r="O58" t="s">
        <v>1328</v>
      </c>
      <c r="P58" t="s">
        <v>1329</v>
      </c>
      <c r="Q58" t="s">
        <v>1330</v>
      </c>
      <c r="R58" t="s">
        <v>74</v>
      </c>
      <c r="S58" t="s">
        <v>74</v>
      </c>
      <c r="T58" t="s">
        <v>74</v>
      </c>
      <c r="U58" t="s">
        <v>74</v>
      </c>
      <c r="V58" t="s">
        <v>74</v>
      </c>
      <c r="W58" t="s">
        <v>1331</v>
      </c>
      <c r="X58" t="s">
        <v>1332</v>
      </c>
      <c r="Y58" t="s">
        <v>74</v>
      </c>
      <c r="Z58" t="s">
        <v>74</v>
      </c>
      <c r="AA58" t="s">
        <v>1333</v>
      </c>
      <c r="AB58" t="s">
        <v>1334</v>
      </c>
      <c r="AC58" t="s">
        <v>1335</v>
      </c>
      <c r="AD58" t="s">
        <v>1336</v>
      </c>
      <c r="AE58" t="s">
        <v>1337</v>
      </c>
      <c r="AF58" t="s">
        <v>74</v>
      </c>
      <c r="AG58">
        <v>0</v>
      </c>
      <c r="AH58">
        <v>0</v>
      </c>
      <c r="AI58">
        <v>0</v>
      </c>
      <c r="AJ58">
        <v>0</v>
      </c>
      <c r="AK58">
        <v>1</v>
      </c>
      <c r="AL58" t="s">
        <v>1338</v>
      </c>
      <c r="AM58" t="s">
        <v>1339</v>
      </c>
      <c r="AN58" t="s">
        <v>1340</v>
      </c>
      <c r="AO58" t="s">
        <v>1341</v>
      </c>
      <c r="AP58" t="s">
        <v>1342</v>
      </c>
      <c r="AQ58" t="s">
        <v>74</v>
      </c>
      <c r="AR58" t="s">
        <v>1343</v>
      </c>
      <c r="AS58" t="s">
        <v>1344</v>
      </c>
      <c r="AT58" t="s">
        <v>1237</v>
      </c>
      <c r="AU58">
        <v>2017</v>
      </c>
      <c r="AV58">
        <v>52</v>
      </c>
      <c r="AW58" t="s">
        <v>74</v>
      </c>
      <c r="AX58" t="s">
        <v>74</v>
      </c>
      <c r="AY58">
        <v>4</v>
      </c>
      <c r="AZ58" t="s">
        <v>1188</v>
      </c>
      <c r="BA58" t="s">
        <v>1345</v>
      </c>
      <c r="BB58">
        <v>92</v>
      </c>
      <c r="BC58">
        <v>92</v>
      </c>
      <c r="BD58" t="s">
        <v>74</v>
      </c>
      <c r="BE58" t="s">
        <v>74</v>
      </c>
      <c r="BF58" t="s">
        <v>74</v>
      </c>
      <c r="BG58" t="s">
        <v>74</v>
      </c>
      <c r="BH58" t="s">
        <v>74</v>
      </c>
      <c r="BI58">
        <v>1</v>
      </c>
      <c r="BJ58" t="s">
        <v>1346</v>
      </c>
      <c r="BK58" t="s">
        <v>1347</v>
      </c>
      <c r="BL58" t="s">
        <v>1348</v>
      </c>
      <c r="BM58" t="s">
        <v>1349</v>
      </c>
      <c r="BN58" t="s">
        <v>74</v>
      </c>
      <c r="BO58" t="s">
        <v>74</v>
      </c>
      <c r="BP58" t="s">
        <v>74</v>
      </c>
      <c r="BQ58" t="s">
        <v>74</v>
      </c>
      <c r="BR58" t="s">
        <v>105</v>
      </c>
      <c r="BS58" t="s">
        <v>1350</v>
      </c>
      <c r="BT58" t="str">
        <f>HYPERLINK("https%3A%2F%2Fwww.webofscience.com%2Fwos%2Fwoscc%2Ffull-record%2FWOS:000417905500055","View Full Record in Web of Science")</f>
        <v>View Full Record in Web of Science</v>
      </c>
    </row>
    <row r="59" spans="1:72" x14ac:dyDescent="0.15">
      <c r="A59" t="s">
        <v>72</v>
      </c>
      <c r="B59" t="s">
        <v>1351</v>
      </c>
      <c r="C59" t="s">
        <v>74</v>
      </c>
      <c r="D59" t="s">
        <v>74</v>
      </c>
      <c r="E59" t="s">
        <v>74</v>
      </c>
      <c r="F59" t="s">
        <v>1352</v>
      </c>
      <c r="G59" t="s">
        <v>74</v>
      </c>
      <c r="H59" t="s">
        <v>74</v>
      </c>
      <c r="I59" t="s">
        <v>1353</v>
      </c>
      <c r="J59" t="s">
        <v>1354</v>
      </c>
      <c r="K59" t="s">
        <v>74</v>
      </c>
      <c r="L59" t="s">
        <v>74</v>
      </c>
      <c r="M59" t="s">
        <v>78</v>
      </c>
      <c r="N59" t="s">
        <v>79</v>
      </c>
      <c r="O59" t="s">
        <v>74</v>
      </c>
      <c r="P59" t="s">
        <v>74</v>
      </c>
      <c r="Q59" t="s">
        <v>74</v>
      </c>
      <c r="R59" t="s">
        <v>74</v>
      </c>
      <c r="S59" t="s">
        <v>74</v>
      </c>
      <c r="T59" t="s">
        <v>74</v>
      </c>
      <c r="U59" t="s">
        <v>1355</v>
      </c>
      <c r="V59" t="s">
        <v>1356</v>
      </c>
      <c r="W59" t="s">
        <v>1357</v>
      </c>
      <c r="X59" t="s">
        <v>1358</v>
      </c>
      <c r="Y59" t="s">
        <v>1359</v>
      </c>
      <c r="Z59" t="s">
        <v>1360</v>
      </c>
      <c r="AA59" t="s">
        <v>1361</v>
      </c>
      <c r="AB59" t="s">
        <v>1362</v>
      </c>
      <c r="AC59" t="s">
        <v>1363</v>
      </c>
      <c r="AD59" t="s">
        <v>1364</v>
      </c>
      <c r="AE59" t="s">
        <v>1365</v>
      </c>
      <c r="AF59" t="s">
        <v>74</v>
      </c>
      <c r="AG59">
        <v>54</v>
      </c>
      <c r="AH59">
        <v>10</v>
      </c>
      <c r="AI59">
        <v>10</v>
      </c>
      <c r="AJ59">
        <v>1</v>
      </c>
      <c r="AK59">
        <v>9</v>
      </c>
      <c r="AL59" t="s">
        <v>1366</v>
      </c>
      <c r="AM59" t="s">
        <v>1367</v>
      </c>
      <c r="AN59" t="s">
        <v>1368</v>
      </c>
      <c r="AO59" t="s">
        <v>1369</v>
      </c>
      <c r="AP59" t="s">
        <v>1370</v>
      </c>
      <c r="AQ59" t="s">
        <v>74</v>
      </c>
      <c r="AR59" t="s">
        <v>1371</v>
      </c>
      <c r="AS59" t="s">
        <v>1372</v>
      </c>
      <c r="AT59" t="s">
        <v>1237</v>
      </c>
      <c r="AU59">
        <v>2017</v>
      </c>
      <c r="AV59">
        <v>74</v>
      </c>
      <c r="AW59">
        <v>10</v>
      </c>
      <c r="AX59" t="s">
        <v>74</v>
      </c>
      <c r="AY59" t="s">
        <v>74</v>
      </c>
      <c r="AZ59" t="s">
        <v>74</v>
      </c>
      <c r="BA59" t="s">
        <v>74</v>
      </c>
      <c r="BB59">
        <v>3433</v>
      </c>
      <c r="BC59">
        <v>3449</v>
      </c>
      <c r="BD59" t="s">
        <v>74</v>
      </c>
      <c r="BE59" t="s">
        <v>1373</v>
      </c>
      <c r="BF59" t="str">
        <f>HYPERLINK("http://dx.doi.org/10.1175/JAS-D-17-0084.1","http://dx.doi.org/10.1175/JAS-D-17-0084.1")</f>
        <v>http://dx.doi.org/10.1175/JAS-D-17-0084.1</v>
      </c>
      <c r="BG59" t="s">
        <v>74</v>
      </c>
      <c r="BH59" t="s">
        <v>74</v>
      </c>
      <c r="BI59">
        <v>17</v>
      </c>
      <c r="BJ59" t="s">
        <v>162</v>
      </c>
      <c r="BK59" t="s">
        <v>101</v>
      </c>
      <c r="BL59" t="s">
        <v>162</v>
      </c>
      <c r="BM59" t="s">
        <v>1374</v>
      </c>
      <c r="BN59" t="s">
        <v>74</v>
      </c>
      <c r="BO59" t="s">
        <v>1375</v>
      </c>
      <c r="BP59" t="s">
        <v>74</v>
      </c>
      <c r="BQ59" t="s">
        <v>74</v>
      </c>
      <c r="BR59" t="s">
        <v>105</v>
      </c>
      <c r="BS59" t="s">
        <v>1376</v>
      </c>
      <c r="BT59" t="str">
        <f>HYPERLINK("https%3A%2F%2Fwww.webofscience.com%2Fwos%2Fwoscc%2Ffull-record%2FWOS:000417993900007","View Full Record in Web of Science")</f>
        <v>View Full Record in Web of Science</v>
      </c>
    </row>
    <row r="60" spans="1:72" x14ac:dyDescent="0.15">
      <c r="A60" t="s">
        <v>72</v>
      </c>
      <c r="B60" t="s">
        <v>1377</v>
      </c>
      <c r="C60" t="s">
        <v>74</v>
      </c>
      <c r="D60" t="s">
        <v>74</v>
      </c>
      <c r="E60" t="s">
        <v>74</v>
      </c>
      <c r="F60" t="s">
        <v>1378</v>
      </c>
      <c r="G60" t="s">
        <v>74</v>
      </c>
      <c r="H60" t="s">
        <v>74</v>
      </c>
      <c r="I60" t="s">
        <v>1379</v>
      </c>
      <c r="J60" t="s">
        <v>1380</v>
      </c>
      <c r="K60" t="s">
        <v>74</v>
      </c>
      <c r="L60" t="s">
        <v>74</v>
      </c>
      <c r="M60" t="s">
        <v>78</v>
      </c>
      <c r="N60" t="s">
        <v>79</v>
      </c>
      <c r="O60" t="s">
        <v>74</v>
      </c>
      <c r="P60" t="s">
        <v>74</v>
      </c>
      <c r="Q60" t="s">
        <v>74</v>
      </c>
      <c r="R60" t="s">
        <v>74</v>
      </c>
      <c r="S60" t="s">
        <v>74</v>
      </c>
      <c r="T60" t="s">
        <v>1381</v>
      </c>
      <c r="U60" t="s">
        <v>1382</v>
      </c>
      <c r="V60" t="s">
        <v>1383</v>
      </c>
      <c r="W60" t="s">
        <v>1384</v>
      </c>
      <c r="X60" t="s">
        <v>1385</v>
      </c>
      <c r="Y60" t="s">
        <v>1386</v>
      </c>
      <c r="Z60" t="s">
        <v>1387</v>
      </c>
      <c r="AA60" t="s">
        <v>1388</v>
      </c>
      <c r="AB60" t="s">
        <v>1389</v>
      </c>
      <c r="AC60" t="s">
        <v>1390</v>
      </c>
      <c r="AD60" t="s">
        <v>1391</v>
      </c>
      <c r="AE60" t="s">
        <v>74</v>
      </c>
      <c r="AF60" t="s">
        <v>74</v>
      </c>
      <c r="AG60">
        <v>28</v>
      </c>
      <c r="AH60">
        <v>20</v>
      </c>
      <c r="AI60">
        <v>22</v>
      </c>
      <c r="AJ60">
        <v>5</v>
      </c>
      <c r="AK60">
        <v>24</v>
      </c>
      <c r="AL60" t="s">
        <v>1392</v>
      </c>
      <c r="AM60" t="s">
        <v>1393</v>
      </c>
      <c r="AN60" t="s">
        <v>1394</v>
      </c>
      <c r="AO60" t="s">
        <v>1395</v>
      </c>
      <c r="AP60" t="s">
        <v>1396</v>
      </c>
      <c r="AQ60" t="s">
        <v>74</v>
      </c>
      <c r="AR60" t="s">
        <v>1397</v>
      </c>
      <c r="AS60" t="s">
        <v>1398</v>
      </c>
      <c r="AT60" t="s">
        <v>1237</v>
      </c>
      <c r="AU60">
        <v>2017</v>
      </c>
      <c r="AV60">
        <v>55</v>
      </c>
      <c r="AW60">
        <v>10</v>
      </c>
      <c r="AX60" t="s">
        <v>74</v>
      </c>
      <c r="AY60" t="s">
        <v>74</v>
      </c>
      <c r="AZ60" t="s">
        <v>74</v>
      </c>
      <c r="BA60" t="s">
        <v>74</v>
      </c>
      <c r="BB60">
        <v>5440</v>
      </c>
      <c r="BC60">
        <v>5454</v>
      </c>
      <c r="BD60" t="s">
        <v>74</v>
      </c>
      <c r="BE60" t="s">
        <v>1399</v>
      </c>
      <c r="BF60" t="str">
        <f>HYPERLINK("http://dx.doi.org/10.1109/TGRS.2017.2702126","http://dx.doi.org/10.1109/TGRS.2017.2702126")</f>
        <v>http://dx.doi.org/10.1109/TGRS.2017.2702126</v>
      </c>
      <c r="BG60" t="s">
        <v>74</v>
      </c>
      <c r="BH60" t="s">
        <v>74</v>
      </c>
      <c r="BI60">
        <v>15</v>
      </c>
      <c r="BJ60" t="s">
        <v>1400</v>
      </c>
      <c r="BK60" t="s">
        <v>101</v>
      </c>
      <c r="BL60" t="s">
        <v>1401</v>
      </c>
      <c r="BM60" t="s">
        <v>1402</v>
      </c>
      <c r="BN60">
        <v>30166745</v>
      </c>
      <c r="BO60" t="s">
        <v>193</v>
      </c>
      <c r="BP60" t="s">
        <v>74</v>
      </c>
      <c r="BQ60" t="s">
        <v>74</v>
      </c>
      <c r="BR60" t="s">
        <v>105</v>
      </c>
      <c r="BS60" t="s">
        <v>1403</v>
      </c>
      <c r="BT60" t="str">
        <f>HYPERLINK("https%3A%2F%2Fwww.webofscience.com%2Fwos%2Fwoscc%2Ffull-record%2FWOS:000413653200002","View Full Record in Web of Science")</f>
        <v>View Full Record in Web of Science</v>
      </c>
    </row>
    <row r="61" spans="1:72" x14ac:dyDescent="0.15">
      <c r="A61" t="s">
        <v>72</v>
      </c>
      <c r="B61" t="s">
        <v>1404</v>
      </c>
      <c r="C61" t="s">
        <v>74</v>
      </c>
      <c r="D61" t="s">
        <v>74</v>
      </c>
      <c r="E61" t="s">
        <v>74</v>
      </c>
      <c r="F61" t="s">
        <v>1405</v>
      </c>
      <c r="G61" t="s">
        <v>74</v>
      </c>
      <c r="H61" t="s">
        <v>74</v>
      </c>
      <c r="I61" t="s">
        <v>1406</v>
      </c>
      <c r="J61" t="s">
        <v>1380</v>
      </c>
      <c r="K61" t="s">
        <v>74</v>
      </c>
      <c r="L61" t="s">
        <v>74</v>
      </c>
      <c r="M61" t="s">
        <v>78</v>
      </c>
      <c r="N61" t="s">
        <v>79</v>
      </c>
      <c r="O61" t="s">
        <v>74</v>
      </c>
      <c r="P61" t="s">
        <v>74</v>
      </c>
      <c r="Q61" t="s">
        <v>74</v>
      </c>
      <c r="R61" t="s">
        <v>74</v>
      </c>
      <c r="S61" t="s">
        <v>74</v>
      </c>
      <c r="T61" t="s">
        <v>1407</v>
      </c>
      <c r="U61" t="s">
        <v>1408</v>
      </c>
      <c r="V61" t="s">
        <v>1409</v>
      </c>
      <c r="W61" t="s">
        <v>1410</v>
      </c>
      <c r="X61" t="s">
        <v>1411</v>
      </c>
      <c r="Y61" t="s">
        <v>1412</v>
      </c>
      <c r="Z61" t="s">
        <v>1413</v>
      </c>
      <c r="AA61" t="s">
        <v>1414</v>
      </c>
      <c r="AB61" t="s">
        <v>1415</v>
      </c>
      <c r="AC61" t="s">
        <v>1416</v>
      </c>
      <c r="AD61" t="s">
        <v>1417</v>
      </c>
      <c r="AE61" t="s">
        <v>1418</v>
      </c>
      <c r="AF61" t="s">
        <v>74</v>
      </c>
      <c r="AG61">
        <v>38</v>
      </c>
      <c r="AH61">
        <v>27</v>
      </c>
      <c r="AI61">
        <v>32</v>
      </c>
      <c r="AJ61">
        <v>2</v>
      </c>
      <c r="AK61">
        <v>23</v>
      </c>
      <c r="AL61" t="s">
        <v>1392</v>
      </c>
      <c r="AM61" t="s">
        <v>1393</v>
      </c>
      <c r="AN61" t="s">
        <v>1394</v>
      </c>
      <c r="AO61" t="s">
        <v>1395</v>
      </c>
      <c r="AP61" t="s">
        <v>1396</v>
      </c>
      <c r="AQ61" t="s">
        <v>74</v>
      </c>
      <c r="AR61" t="s">
        <v>1397</v>
      </c>
      <c r="AS61" t="s">
        <v>1398</v>
      </c>
      <c r="AT61" t="s">
        <v>1237</v>
      </c>
      <c r="AU61">
        <v>2017</v>
      </c>
      <c r="AV61">
        <v>55</v>
      </c>
      <c r="AW61">
        <v>10</v>
      </c>
      <c r="AX61" t="s">
        <v>74</v>
      </c>
      <c r="AY61" t="s">
        <v>74</v>
      </c>
      <c r="AZ61" t="s">
        <v>74</v>
      </c>
      <c r="BA61" t="s">
        <v>74</v>
      </c>
      <c r="BB61">
        <v>5494</v>
      </c>
      <c r="BC61">
        <v>5505</v>
      </c>
      <c r="BD61" t="s">
        <v>74</v>
      </c>
      <c r="BE61" t="s">
        <v>1419</v>
      </c>
      <c r="BF61" t="str">
        <f>HYPERLINK("http://dx.doi.org/10.1109/TGRS.2017.2709303","http://dx.doi.org/10.1109/TGRS.2017.2709303")</f>
        <v>http://dx.doi.org/10.1109/TGRS.2017.2709303</v>
      </c>
      <c r="BG61" t="s">
        <v>74</v>
      </c>
      <c r="BH61" t="s">
        <v>74</v>
      </c>
      <c r="BI61">
        <v>12</v>
      </c>
      <c r="BJ61" t="s">
        <v>1400</v>
      </c>
      <c r="BK61" t="s">
        <v>101</v>
      </c>
      <c r="BL61" t="s">
        <v>1401</v>
      </c>
      <c r="BM61" t="s">
        <v>1402</v>
      </c>
      <c r="BN61" t="s">
        <v>74</v>
      </c>
      <c r="BO61" t="s">
        <v>74</v>
      </c>
      <c r="BP61" t="s">
        <v>74</v>
      </c>
      <c r="BQ61" t="s">
        <v>74</v>
      </c>
      <c r="BR61" t="s">
        <v>105</v>
      </c>
      <c r="BS61" t="s">
        <v>1420</v>
      </c>
      <c r="BT61" t="str">
        <f>HYPERLINK("https%3A%2F%2Fwww.webofscience.com%2Fwos%2Fwoscc%2Ffull-record%2FWOS:000413653200006","View Full Record in Web of Science")</f>
        <v>View Full Record in Web of Science</v>
      </c>
    </row>
    <row r="62" spans="1:72" x14ac:dyDescent="0.15">
      <c r="A62" t="s">
        <v>72</v>
      </c>
      <c r="B62" t="s">
        <v>1421</v>
      </c>
      <c r="C62" t="s">
        <v>74</v>
      </c>
      <c r="D62" t="s">
        <v>74</v>
      </c>
      <c r="E62" t="s">
        <v>74</v>
      </c>
      <c r="F62" t="s">
        <v>1422</v>
      </c>
      <c r="G62" t="s">
        <v>74</v>
      </c>
      <c r="H62" t="s">
        <v>74</v>
      </c>
      <c r="I62" t="s">
        <v>1423</v>
      </c>
      <c r="J62" t="s">
        <v>1380</v>
      </c>
      <c r="K62" t="s">
        <v>74</v>
      </c>
      <c r="L62" t="s">
        <v>74</v>
      </c>
      <c r="M62" t="s">
        <v>78</v>
      </c>
      <c r="N62" t="s">
        <v>79</v>
      </c>
      <c r="O62" t="s">
        <v>74</v>
      </c>
      <c r="P62" t="s">
        <v>74</v>
      </c>
      <c r="Q62" t="s">
        <v>74</v>
      </c>
      <c r="R62" t="s">
        <v>74</v>
      </c>
      <c r="S62" t="s">
        <v>74</v>
      </c>
      <c r="T62" t="s">
        <v>1424</v>
      </c>
      <c r="U62" t="s">
        <v>1425</v>
      </c>
      <c r="V62" t="s">
        <v>1426</v>
      </c>
      <c r="W62" t="s">
        <v>1427</v>
      </c>
      <c r="X62" t="s">
        <v>1428</v>
      </c>
      <c r="Y62" t="s">
        <v>1429</v>
      </c>
      <c r="Z62" t="s">
        <v>1430</v>
      </c>
      <c r="AA62" t="s">
        <v>1431</v>
      </c>
      <c r="AB62" t="s">
        <v>1432</v>
      </c>
      <c r="AC62" t="s">
        <v>1433</v>
      </c>
      <c r="AD62" t="s">
        <v>1434</v>
      </c>
      <c r="AE62" t="s">
        <v>1435</v>
      </c>
      <c r="AF62" t="s">
        <v>74</v>
      </c>
      <c r="AG62">
        <v>40</v>
      </c>
      <c r="AH62">
        <v>11</v>
      </c>
      <c r="AI62">
        <v>12</v>
      </c>
      <c r="AJ62">
        <v>1</v>
      </c>
      <c r="AK62">
        <v>15</v>
      </c>
      <c r="AL62" t="s">
        <v>1392</v>
      </c>
      <c r="AM62" t="s">
        <v>1393</v>
      </c>
      <c r="AN62" t="s">
        <v>1394</v>
      </c>
      <c r="AO62" t="s">
        <v>1395</v>
      </c>
      <c r="AP62" t="s">
        <v>1396</v>
      </c>
      <c r="AQ62" t="s">
        <v>74</v>
      </c>
      <c r="AR62" t="s">
        <v>1397</v>
      </c>
      <c r="AS62" t="s">
        <v>1398</v>
      </c>
      <c r="AT62" t="s">
        <v>1237</v>
      </c>
      <c r="AU62">
        <v>2017</v>
      </c>
      <c r="AV62">
        <v>55</v>
      </c>
      <c r="AW62">
        <v>10</v>
      </c>
      <c r="AX62" t="s">
        <v>74</v>
      </c>
      <c r="AY62" t="s">
        <v>74</v>
      </c>
      <c r="AZ62" t="s">
        <v>74</v>
      </c>
      <c r="BA62" t="s">
        <v>74</v>
      </c>
      <c r="BB62">
        <v>5515</v>
      </c>
      <c r="BC62">
        <v>5524</v>
      </c>
      <c r="BD62" t="s">
        <v>74</v>
      </c>
      <c r="BE62" t="s">
        <v>1436</v>
      </c>
      <c r="BF62" t="str">
        <f>HYPERLINK("http://dx.doi.org/10.1109/TGRS.2017.2709783","http://dx.doi.org/10.1109/TGRS.2017.2709783")</f>
        <v>http://dx.doi.org/10.1109/TGRS.2017.2709783</v>
      </c>
      <c r="BG62" t="s">
        <v>74</v>
      </c>
      <c r="BH62" t="s">
        <v>74</v>
      </c>
      <c r="BI62">
        <v>10</v>
      </c>
      <c r="BJ62" t="s">
        <v>1400</v>
      </c>
      <c r="BK62" t="s">
        <v>101</v>
      </c>
      <c r="BL62" t="s">
        <v>1401</v>
      </c>
      <c r="BM62" t="s">
        <v>1402</v>
      </c>
      <c r="BN62" t="s">
        <v>74</v>
      </c>
      <c r="BO62" t="s">
        <v>511</v>
      </c>
      <c r="BP62" t="s">
        <v>74</v>
      </c>
      <c r="BQ62" t="s">
        <v>74</v>
      </c>
      <c r="BR62" t="s">
        <v>105</v>
      </c>
      <c r="BS62" t="s">
        <v>1437</v>
      </c>
      <c r="BT62" t="str">
        <f>HYPERLINK("https%3A%2F%2Fwww.webofscience.com%2Fwos%2Fwoscc%2Ffull-record%2FWOS:000413653200008","View Full Record in Web of Science")</f>
        <v>View Full Record in Web of Science</v>
      </c>
    </row>
    <row r="63" spans="1:72" x14ac:dyDescent="0.15">
      <c r="A63" t="s">
        <v>72</v>
      </c>
      <c r="B63" t="s">
        <v>1438</v>
      </c>
      <c r="C63" t="s">
        <v>74</v>
      </c>
      <c r="D63" t="s">
        <v>74</v>
      </c>
      <c r="E63" t="s">
        <v>74</v>
      </c>
      <c r="F63" t="s">
        <v>1439</v>
      </c>
      <c r="G63" t="s">
        <v>74</v>
      </c>
      <c r="H63" t="s">
        <v>74</v>
      </c>
      <c r="I63" t="s">
        <v>1440</v>
      </c>
      <c r="J63" t="s">
        <v>1441</v>
      </c>
      <c r="K63" t="s">
        <v>74</v>
      </c>
      <c r="L63" t="s">
        <v>74</v>
      </c>
      <c r="M63" t="s">
        <v>78</v>
      </c>
      <c r="N63" t="s">
        <v>79</v>
      </c>
      <c r="O63" t="s">
        <v>74</v>
      </c>
      <c r="P63" t="s">
        <v>74</v>
      </c>
      <c r="Q63" t="s">
        <v>74</v>
      </c>
      <c r="R63" t="s">
        <v>74</v>
      </c>
      <c r="S63" t="s">
        <v>74</v>
      </c>
      <c r="T63" t="s">
        <v>1442</v>
      </c>
      <c r="U63" t="s">
        <v>1443</v>
      </c>
      <c r="V63" t="s">
        <v>1444</v>
      </c>
      <c r="W63" t="s">
        <v>1445</v>
      </c>
      <c r="X63" t="s">
        <v>1446</v>
      </c>
      <c r="Y63" t="s">
        <v>1447</v>
      </c>
      <c r="Z63" t="s">
        <v>1448</v>
      </c>
      <c r="AA63" t="s">
        <v>1449</v>
      </c>
      <c r="AB63" t="s">
        <v>1450</v>
      </c>
      <c r="AC63" t="s">
        <v>1451</v>
      </c>
      <c r="AD63" t="s">
        <v>1452</v>
      </c>
      <c r="AE63" t="s">
        <v>1453</v>
      </c>
      <c r="AF63" t="s">
        <v>74</v>
      </c>
      <c r="AG63">
        <v>66</v>
      </c>
      <c r="AH63">
        <v>28</v>
      </c>
      <c r="AI63">
        <v>32</v>
      </c>
      <c r="AJ63">
        <v>1</v>
      </c>
      <c r="AK63">
        <v>24</v>
      </c>
      <c r="AL63" t="s">
        <v>91</v>
      </c>
      <c r="AM63" t="s">
        <v>92</v>
      </c>
      <c r="AN63" t="s">
        <v>93</v>
      </c>
      <c r="AO63" t="s">
        <v>1454</v>
      </c>
      <c r="AP63" t="s">
        <v>1455</v>
      </c>
      <c r="AQ63" t="s">
        <v>74</v>
      </c>
      <c r="AR63" t="s">
        <v>1456</v>
      </c>
      <c r="AS63" t="s">
        <v>1457</v>
      </c>
      <c r="AT63" t="s">
        <v>1237</v>
      </c>
      <c r="AU63">
        <v>2017</v>
      </c>
      <c r="AV63">
        <v>122</v>
      </c>
      <c r="AW63">
        <v>10</v>
      </c>
      <c r="AX63" t="s">
        <v>74</v>
      </c>
      <c r="AY63" t="s">
        <v>74</v>
      </c>
      <c r="AZ63" t="s">
        <v>74</v>
      </c>
      <c r="BA63" t="s">
        <v>74</v>
      </c>
      <c r="BB63">
        <v>8079</v>
      </c>
      <c r="BC63">
        <v>8101</v>
      </c>
      <c r="BD63" t="s">
        <v>74</v>
      </c>
      <c r="BE63" t="s">
        <v>1458</v>
      </c>
      <c r="BF63" t="str">
        <f>HYPERLINK("http://dx.doi.org/10.1002/2017JC012849","http://dx.doi.org/10.1002/2017JC012849")</f>
        <v>http://dx.doi.org/10.1002/2017JC012849</v>
      </c>
      <c r="BG63" t="s">
        <v>74</v>
      </c>
      <c r="BH63" t="s">
        <v>74</v>
      </c>
      <c r="BI63">
        <v>23</v>
      </c>
      <c r="BJ63" t="s">
        <v>1459</v>
      </c>
      <c r="BK63" t="s">
        <v>101</v>
      </c>
      <c r="BL63" t="s">
        <v>1459</v>
      </c>
      <c r="BM63" t="s">
        <v>1460</v>
      </c>
      <c r="BN63" t="s">
        <v>74</v>
      </c>
      <c r="BO63" t="s">
        <v>1170</v>
      </c>
      <c r="BP63" t="s">
        <v>74</v>
      </c>
      <c r="BQ63" t="s">
        <v>74</v>
      </c>
      <c r="BR63" t="s">
        <v>105</v>
      </c>
      <c r="BS63" t="s">
        <v>1461</v>
      </c>
      <c r="BT63" t="str">
        <f>HYPERLINK("https%3A%2F%2Fwww.webofscience.com%2Fwos%2Fwoscc%2Ffull-record%2FWOS:000415893300017","View Full Record in Web of Science")</f>
        <v>View Full Record in Web of Science</v>
      </c>
    </row>
    <row r="64" spans="1:72" x14ac:dyDescent="0.15">
      <c r="A64" t="s">
        <v>72</v>
      </c>
      <c r="B64" t="s">
        <v>1462</v>
      </c>
      <c r="C64" t="s">
        <v>74</v>
      </c>
      <c r="D64" t="s">
        <v>74</v>
      </c>
      <c r="E64" t="s">
        <v>74</v>
      </c>
      <c r="F64" t="s">
        <v>1463</v>
      </c>
      <c r="G64" t="s">
        <v>74</v>
      </c>
      <c r="H64" t="s">
        <v>74</v>
      </c>
      <c r="I64" t="s">
        <v>1464</v>
      </c>
      <c r="J64" t="s">
        <v>1441</v>
      </c>
      <c r="K64" t="s">
        <v>74</v>
      </c>
      <c r="L64" t="s">
        <v>74</v>
      </c>
      <c r="M64" t="s">
        <v>78</v>
      </c>
      <c r="N64" t="s">
        <v>79</v>
      </c>
      <c r="O64" t="s">
        <v>74</v>
      </c>
      <c r="P64" t="s">
        <v>74</v>
      </c>
      <c r="Q64" t="s">
        <v>74</v>
      </c>
      <c r="R64" t="s">
        <v>74</v>
      </c>
      <c r="S64" t="s">
        <v>74</v>
      </c>
      <c r="T64" t="s">
        <v>1465</v>
      </c>
      <c r="U64" t="s">
        <v>1466</v>
      </c>
      <c r="V64" t="s">
        <v>1467</v>
      </c>
      <c r="W64" t="s">
        <v>1468</v>
      </c>
      <c r="X64" t="s">
        <v>1469</v>
      </c>
      <c r="Y64" t="s">
        <v>1470</v>
      </c>
      <c r="Z64" t="s">
        <v>1471</v>
      </c>
      <c r="AA64" t="s">
        <v>74</v>
      </c>
      <c r="AB64" t="s">
        <v>1472</v>
      </c>
      <c r="AC64" t="s">
        <v>1473</v>
      </c>
      <c r="AD64" t="s">
        <v>1474</v>
      </c>
      <c r="AE64" t="s">
        <v>1475</v>
      </c>
      <c r="AF64" t="s">
        <v>74</v>
      </c>
      <c r="AG64">
        <v>72</v>
      </c>
      <c r="AH64">
        <v>21</v>
      </c>
      <c r="AI64">
        <v>24</v>
      </c>
      <c r="AJ64">
        <v>2</v>
      </c>
      <c r="AK64">
        <v>30</v>
      </c>
      <c r="AL64" t="s">
        <v>91</v>
      </c>
      <c r="AM64" t="s">
        <v>92</v>
      </c>
      <c r="AN64" t="s">
        <v>93</v>
      </c>
      <c r="AO64" t="s">
        <v>1454</v>
      </c>
      <c r="AP64" t="s">
        <v>1455</v>
      </c>
      <c r="AQ64" t="s">
        <v>74</v>
      </c>
      <c r="AR64" t="s">
        <v>1456</v>
      </c>
      <c r="AS64" t="s">
        <v>1457</v>
      </c>
      <c r="AT64" t="s">
        <v>1237</v>
      </c>
      <c r="AU64">
        <v>2017</v>
      </c>
      <c r="AV64">
        <v>122</v>
      </c>
      <c r="AW64">
        <v>10</v>
      </c>
      <c r="AX64" t="s">
        <v>74</v>
      </c>
      <c r="AY64" t="s">
        <v>74</v>
      </c>
      <c r="AZ64" t="s">
        <v>74</v>
      </c>
      <c r="BA64" t="s">
        <v>74</v>
      </c>
      <c r="BB64">
        <v>8167</v>
      </c>
      <c r="BC64">
        <v>8181</v>
      </c>
      <c r="BD64" t="s">
        <v>74</v>
      </c>
      <c r="BE64" t="s">
        <v>1476</v>
      </c>
      <c r="BF64" t="str">
        <f>HYPERLINK("http://dx.doi.org/10.1002/2017JC012853","http://dx.doi.org/10.1002/2017JC012853")</f>
        <v>http://dx.doi.org/10.1002/2017JC012853</v>
      </c>
      <c r="BG64" t="s">
        <v>74</v>
      </c>
      <c r="BH64" t="s">
        <v>74</v>
      </c>
      <c r="BI64">
        <v>15</v>
      </c>
      <c r="BJ64" t="s">
        <v>1459</v>
      </c>
      <c r="BK64" t="s">
        <v>101</v>
      </c>
      <c r="BL64" t="s">
        <v>1459</v>
      </c>
      <c r="BM64" t="s">
        <v>1460</v>
      </c>
      <c r="BN64" t="s">
        <v>74</v>
      </c>
      <c r="BO64" t="s">
        <v>104</v>
      </c>
      <c r="BP64" t="s">
        <v>74</v>
      </c>
      <c r="BQ64" t="s">
        <v>74</v>
      </c>
      <c r="BR64" t="s">
        <v>105</v>
      </c>
      <c r="BS64" t="s">
        <v>1477</v>
      </c>
      <c r="BT64" t="str">
        <f>HYPERLINK("https%3A%2F%2Fwww.webofscience.com%2Fwos%2Fwoscc%2Ffull-record%2FWOS:000415893300021","View Full Record in Web of Science")</f>
        <v>View Full Record in Web of Science</v>
      </c>
    </row>
    <row r="65" spans="1:72" x14ac:dyDescent="0.15">
      <c r="A65" t="s">
        <v>72</v>
      </c>
      <c r="B65" t="s">
        <v>1478</v>
      </c>
      <c r="C65" t="s">
        <v>74</v>
      </c>
      <c r="D65" t="s">
        <v>74</v>
      </c>
      <c r="E65" t="s">
        <v>74</v>
      </c>
      <c r="F65" t="s">
        <v>1479</v>
      </c>
      <c r="G65" t="s">
        <v>74</v>
      </c>
      <c r="H65" t="s">
        <v>74</v>
      </c>
      <c r="I65" t="s">
        <v>1480</v>
      </c>
      <c r="J65" t="s">
        <v>1441</v>
      </c>
      <c r="K65" t="s">
        <v>74</v>
      </c>
      <c r="L65" t="s">
        <v>74</v>
      </c>
      <c r="M65" t="s">
        <v>78</v>
      </c>
      <c r="N65" t="s">
        <v>79</v>
      </c>
      <c r="O65" t="s">
        <v>74</v>
      </c>
      <c r="P65" t="s">
        <v>74</v>
      </c>
      <c r="Q65" t="s">
        <v>74</v>
      </c>
      <c r="R65" t="s">
        <v>74</v>
      </c>
      <c r="S65" t="s">
        <v>74</v>
      </c>
      <c r="T65" t="s">
        <v>1481</v>
      </c>
      <c r="U65" t="s">
        <v>1482</v>
      </c>
      <c r="V65" t="s">
        <v>1483</v>
      </c>
      <c r="W65" t="s">
        <v>1484</v>
      </c>
      <c r="X65" t="s">
        <v>1485</v>
      </c>
      <c r="Y65" t="s">
        <v>1486</v>
      </c>
      <c r="Z65" t="s">
        <v>1487</v>
      </c>
      <c r="AA65" t="s">
        <v>1488</v>
      </c>
      <c r="AB65" t="s">
        <v>1489</v>
      </c>
      <c r="AC65" t="s">
        <v>1490</v>
      </c>
      <c r="AD65" t="s">
        <v>1491</v>
      </c>
      <c r="AE65" t="s">
        <v>1492</v>
      </c>
      <c r="AF65" t="s">
        <v>74</v>
      </c>
      <c r="AG65">
        <v>45</v>
      </c>
      <c r="AH65">
        <v>44</v>
      </c>
      <c r="AI65">
        <v>50</v>
      </c>
      <c r="AJ65">
        <v>3</v>
      </c>
      <c r="AK65">
        <v>28</v>
      </c>
      <c r="AL65" t="s">
        <v>91</v>
      </c>
      <c r="AM65" t="s">
        <v>92</v>
      </c>
      <c r="AN65" t="s">
        <v>93</v>
      </c>
      <c r="AO65" t="s">
        <v>1454</v>
      </c>
      <c r="AP65" t="s">
        <v>1455</v>
      </c>
      <c r="AQ65" t="s">
        <v>74</v>
      </c>
      <c r="AR65" t="s">
        <v>1456</v>
      </c>
      <c r="AS65" t="s">
        <v>1457</v>
      </c>
      <c r="AT65" t="s">
        <v>1237</v>
      </c>
      <c r="AU65">
        <v>2017</v>
      </c>
      <c r="AV65">
        <v>122</v>
      </c>
      <c r="AW65">
        <v>10</v>
      </c>
      <c r="AX65" t="s">
        <v>74</v>
      </c>
      <c r="AY65" t="s">
        <v>74</v>
      </c>
      <c r="AZ65" t="s">
        <v>74</v>
      </c>
      <c r="BA65" t="s">
        <v>74</v>
      </c>
      <c r="BB65">
        <v>8208</v>
      </c>
      <c r="BC65">
        <v>8224</v>
      </c>
      <c r="BD65" t="s">
        <v>74</v>
      </c>
      <c r="BE65" t="s">
        <v>1493</v>
      </c>
      <c r="BF65" t="str">
        <f>HYPERLINK("http://dx.doi.org/10.1002/2017JC012985","http://dx.doi.org/10.1002/2017JC012985")</f>
        <v>http://dx.doi.org/10.1002/2017JC012985</v>
      </c>
      <c r="BG65" t="s">
        <v>74</v>
      </c>
      <c r="BH65" t="s">
        <v>74</v>
      </c>
      <c r="BI65">
        <v>17</v>
      </c>
      <c r="BJ65" t="s">
        <v>1459</v>
      </c>
      <c r="BK65" t="s">
        <v>101</v>
      </c>
      <c r="BL65" t="s">
        <v>1459</v>
      </c>
      <c r="BM65" t="s">
        <v>1460</v>
      </c>
      <c r="BN65" t="s">
        <v>74</v>
      </c>
      <c r="BO65" t="s">
        <v>1170</v>
      </c>
      <c r="BP65" t="s">
        <v>74</v>
      </c>
      <c r="BQ65" t="s">
        <v>74</v>
      </c>
      <c r="BR65" t="s">
        <v>105</v>
      </c>
      <c r="BS65" t="s">
        <v>1494</v>
      </c>
      <c r="BT65" t="str">
        <f>HYPERLINK("https%3A%2F%2Fwww.webofscience.com%2Fwos%2Fwoscc%2Ffull-record%2FWOS:000415893300024","View Full Record in Web of Science")</f>
        <v>View Full Record in Web of Science</v>
      </c>
    </row>
    <row r="66" spans="1:72" x14ac:dyDescent="0.15">
      <c r="A66" t="s">
        <v>72</v>
      </c>
      <c r="B66" t="s">
        <v>1495</v>
      </c>
      <c r="C66" t="s">
        <v>74</v>
      </c>
      <c r="D66" t="s">
        <v>74</v>
      </c>
      <c r="E66" t="s">
        <v>74</v>
      </c>
      <c r="F66" t="s">
        <v>1496</v>
      </c>
      <c r="G66" t="s">
        <v>74</v>
      </c>
      <c r="H66" t="s">
        <v>74</v>
      </c>
      <c r="I66" t="s">
        <v>1497</v>
      </c>
      <c r="J66" t="s">
        <v>1498</v>
      </c>
      <c r="K66" t="s">
        <v>74</v>
      </c>
      <c r="L66" t="s">
        <v>74</v>
      </c>
      <c r="M66" t="s">
        <v>78</v>
      </c>
      <c r="N66" t="s">
        <v>79</v>
      </c>
      <c r="O66" t="s">
        <v>74</v>
      </c>
      <c r="P66" t="s">
        <v>74</v>
      </c>
      <c r="Q66" t="s">
        <v>74</v>
      </c>
      <c r="R66" t="s">
        <v>74</v>
      </c>
      <c r="S66" t="s">
        <v>74</v>
      </c>
      <c r="T66" t="s">
        <v>1499</v>
      </c>
      <c r="U66" t="s">
        <v>1500</v>
      </c>
      <c r="V66" t="s">
        <v>1501</v>
      </c>
      <c r="W66" t="s">
        <v>1502</v>
      </c>
      <c r="X66" t="s">
        <v>1503</v>
      </c>
      <c r="Y66" t="s">
        <v>1504</v>
      </c>
      <c r="Z66" t="s">
        <v>1505</v>
      </c>
      <c r="AA66" t="s">
        <v>1506</v>
      </c>
      <c r="AB66" t="s">
        <v>1507</v>
      </c>
      <c r="AC66" t="s">
        <v>1508</v>
      </c>
      <c r="AD66" t="s">
        <v>1509</v>
      </c>
      <c r="AE66" t="s">
        <v>1510</v>
      </c>
      <c r="AF66" t="s">
        <v>74</v>
      </c>
      <c r="AG66">
        <v>59</v>
      </c>
      <c r="AH66">
        <v>18</v>
      </c>
      <c r="AI66">
        <v>19</v>
      </c>
      <c r="AJ66">
        <v>0</v>
      </c>
      <c r="AK66">
        <v>12</v>
      </c>
      <c r="AL66" t="s">
        <v>91</v>
      </c>
      <c r="AM66" t="s">
        <v>92</v>
      </c>
      <c r="AN66" t="s">
        <v>93</v>
      </c>
      <c r="AO66" t="s">
        <v>1511</v>
      </c>
      <c r="AP66" t="s">
        <v>1512</v>
      </c>
      <c r="AQ66" t="s">
        <v>74</v>
      </c>
      <c r="AR66" t="s">
        <v>1513</v>
      </c>
      <c r="AS66" t="s">
        <v>1514</v>
      </c>
      <c r="AT66" t="s">
        <v>1237</v>
      </c>
      <c r="AU66">
        <v>2017</v>
      </c>
      <c r="AV66">
        <v>122</v>
      </c>
      <c r="AW66">
        <v>10</v>
      </c>
      <c r="AX66" t="s">
        <v>74</v>
      </c>
      <c r="AY66" t="s">
        <v>74</v>
      </c>
      <c r="AZ66" t="s">
        <v>74</v>
      </c>
      <c r="BA66" t="s">
        <v>74</v>
      </c>
      <c r="BB66">
        <v>1827</v>
      </c>
      <c r="BC66">
        <v>1844</v>
      </c>
      <c r="BD66" t="s">
        <v>74</v>
      </c>
      <c r="BE66" t="s">
        <v>1515</v>
      </c>
      <c r="BF66" t="str">
        <f>HYPERLINK("http://dx.doi.org/10.1002/2017JF004259","http://dx.doi.org/10.1002/2017JF004259")</f>
        <v>http://dx.doi.org/10.1002/2017JF004259</v>
      </c>
      <c r="BG66" t="s">
        <v>74</v>
      </c>
      <c r="BH66" t="s">
        <v>74</v>
      </c>
      <c r="BI66">
        <v>18</v>
      </c>
      <c r="BJ66" t="s">
        <v>100</v>
      </c>
      <c r="BK66" t="s">
        <v>101</v>
      </c>
      <c r="BL66" t="s">
        <v>102</v>
      </c>
      <c r="BM66" t="s">
        <v>1516</v>
      </c>
      <c r="BN66" t="s">
        <v>74</v>
      </c>
      <c r="BO66" t="s">
        <v>74</v>
      </c>
      <c r="BP66" t="s">
        <v>74</v>
      </c>
      <c r="BQ66" t="s">
        <v>74</v>
      </c>
      <c r="BR66" t="s">
        <v>105</v>
      </c>
      <c r="BS66" t="s">
        <v>1517</v>
      </c>
      <c r="BT66" t="str">
        <f>HYPERLINK("https%3A%2F%2Fwww.webofscience.com%2Fwos%2Fwoscc%2Ffull-record%2FWOS:000415149000005","View Full Record in Web of Science")</f>
        <v>View Full Record in Web of Science</v>
      </c>
    </row>
    <row r="67" spans="1:72" x14ac:dyDescent="0.15">
      <c r="A67" t="s">
        <v>72</v>
      </c>
      <c r="B67" t="s">
        <v>1518</v>
      </c>
      <c r="C67" t="s">
        <v>74</v>
      </c>
      <c r="D67" t="s">
        <v>74</v>
      </c>
      <c r="E67" t="s">
        <v>74</v>
      </c>
      <c r="F67" t="s">
        <v>1519</v>
      </c>
      <c r="G67" t="s">
        <v>74</v>
      </c>
      <c r="H67" t="s">
        <v>74</v>
      </c>
      <c r="I67" t="s">
        <v>1520</v>
      </c>
      <c r="J67" t="s">
        <v>1521</v>
      </c>
      <c r="K67" t="s">
        <v>74</v>
      </c>
      <c r="L67" t="s">
        <v>74</v>
      </c>
      <c r="M67" t="s">
        <v>78</v>
      </c>
      <c r="N67" t="s">
        <v>79</v>
      </c>
      <c r="O67" t="s">
        <v>74</v>
      </c>
      <c r="P67" t="s">
        <v>74</v>
      </c>
      <c r="Q67" t="s">
        <v>74</v>
      </c>
      <c r="R67" t="s">
        <v>74</v>
      </c>
      <c r="S67" t="s">
        <v>74</v>
      </c>
      <c r="T67" t="s">
        <v>74</v>
      </c>
      <c r="U67" t="s">
        <v>1522</v>
      </c>
      <c r="V67" t="s">
        <v>1523</v>
      </c>
      <c r="W67" t="s">
        <v>1524</v>
      </c>
      <c r="X67" t="s">
        <v>1525</v>
      </c>
      <c r="Y67" t="s">
        <v>1526</v>
      </c>
      <c r="Z67" t="s">
        <v>1527</v>
      </c>
      <c r="AA67" t="s">
        <v>1528</v>
      </c>
      <c r="AB67" t="s">
        <v>1529</v>
      </c>
      <c r="AC67" t="s">
        <v>1530</v>
      </c>
      <c r="AD67" t="s">
        <v>1531</v>
      </c>
      <c r="AE67" t="s">
        <v>1532</v>
      </c>
      <c r="AF67" t="s">
        <v>74</v>
      </c>
      <c r="AG67">
        <v>65</v>
      </c>
      <c r="AH67">
        <v>76</v>
      </c>
      <c r="AI67">
        <v>82</v>
      </c>
      <c r="AJ67">
        <v>3</v>
      </c>
      <c r="AK67">
        <v>43</v>
      </c>
      <c r="AL67" t="s">
        <v>181</v>
      </c>
      <c r="AM67" t="s">
        <v>182</v>
      </c>
      <c r="AN67" t="s">
        <v>183</v>
      </c>
      <c r="AO67" t="s">
        <v>1533</v>
      </c>
      <c r="AP67" t="s">
        <v>74</v>
      </c>
      <c r="AQ67" t="s">
        <v>74</v>
      </c>
      <c r="AR67" t="s">
        <v>1534</v>
      </c>
      <c r="AS67" t="s">
        <v>1535</v>
      </c>
      <c r="AT67" t="s">
        <v>1237</v>
      </c>
      <c r="AU67">
        <v>2017</v>
      </c>
      <c r="AV67">
        <v>2</v>
      </c>
      <c r="AW67">
        <v>10</v>
      </c>
      <c r="AX67" t="s">
        <v>74</v>
      </c>
      <c r="AY67" t="s">
        <v>74</v>
      </c>
      <c r="AZ67" t="s">
        <v>74</v>
      </c>
      <c r="BA67" t="s">
        <v>74</v>
      </c>
      <c r="BB67">
        <v>1446</v>
      </c>
      <c r="BC67">
        <v>1455</v>
      </c>
      <c r="BD67" t="s">
        <v>74</v>
      </c>
      <c r="BE67" t="s">
        <v>1536</v>
      </c>
      <c r="BF67" t="str">
        <f>HYPERLINK("http://dx.doi.org/10.1038/s41564-017-0009-2","http://dx.doi.org/10.1038/s41564-017-0009-2")</f>
        <v>http://dx.doi.org/10.1038/s41564-017-0009-2</v>
      </c>
      <c r="BG67" t="s">
        <v>74</v>
      </c>
      <c r="BH67" t="s">
        <v>74</v>
      </c>
      <c r="BI67">
        <v>10</v>
      </c>
      <c r="BJ67" t="s">
        <v>457</v>
      </c>
      <c r="BK67" t="s">
        <v>101</v>
      </c>
      <c r="BL67" t="s">
        <v>457</v>
      </c>
      <c r="BM67" t="s">
        <v>1537</v>
      </c>
      <c r="BN67">
        <v>28827601</v>
      </c>
      <c r="BO67" t="s">
        <v>74</v>
      </c>
      <c r="BP67" t="s">
        <v>74</v>
      </c>
      <c r="BQ67" t="s">
        <v>74</v>
      </c>
      <c r="BR67" t="s">
        <v>105</v>
      </c>
      <c r="BS67" t="s">
        <v>1538</v>
      </c>
      <c r="BT67" t="str">
        <f>HYPERLINK("https%3A%2F%2Fwww.webofscience.com%2Fwos%2Fwoscc%2Ffull-record%2FWOS:000415272500008","View Full Record in Web of Science")</f>
        <v>View Full Record in Web of Science</v>
      </c>
    </row>
    <row r="68" spans="1:72" x14ac:dyDescent="0.15">
      <c r="A68" t="s">
        <v>72</v>
      </c>
      <c r="B68" t="s">
        <v>1539</v>
      </c>
      <c r="C68" t="s">
        <v>74</v>
      </c>
      <c r="D68" t="s">
        <v>74</v>
      </c>
      <c r="E68" t="s">
        <v>74</v>
      </c>
      <c r="F68" t="s">
        <v>1540</v>
      </c>
      <c r="G68" t="s">
        <v>74</v>
      </c>
      <c r="H68" t="s">
        <v>74</v>
      </c>
      <c r="I68" t="s">
        <v>1541</v>
      </c>
      <c r="J68" t="s">
        <v>1542</v>
      </c>
      <c r="K68" t="s">
        <v>74</v>
      </c>
      <c r="L68" t="s">
        <v>74</v>
      </c>
      <c r="M68" t="s">
        <v>78</v>
      </c>
      <c r="N68" t="s">
        <v>79</v>
      </c>
      <c r="O68" t="s">
        <v>74</v>
      </c>
      <c r="P68" t="s">
        <v>74</v>
      </c>
      <c r="Q68" t="s">
        <v>74</v>
      </c>
      <c r="R68" t="s">
        <v>74</v>
      </c>
      <c r="S68" t="s">
        <v>74</v>
      </c>
      <c r="T68" t="s">
        <v>1543</v>
      </c>
      <c r="U68" t="s">
        <v>74</v>
      </c>
      <c r="V68" t="s">
        <v>1544</v>
      </c>
      <c r="W68" t="s">
        <v>1545</v>
      </c>
      <c r="X68" t="s">
        <v>1546</v>
      </c>
      <c r="Y68" t="s">
        <v>1547</v>
      </c>
      <c r="Z68" t="s">
        <v>1548</v>
      </c>
      <c r="AA68" t="s">
        <v>74</v>
      </c>
      <c r="AB68" t="s">
        <v>1549</v>
      </c>
      <c r="AC68" t="s">
        <v>74</v>
      </c>
      <c r="AD68" t="s">
        <v>74</v>
      </c>
      <c r="AE68" t="s">
        <v>74</v>
      </c>
      <c r="AF68" t="s">
        <v>74</v>
      </c>
      <c r="AG68">
        <v>6</v>
      </c>
      <c r="AH68">
        <v>2</v>
      </c>
      <c r="AI68">
        <v>2</v>
      </c>
      <c r="AJ68">
        <v>0</v>
      </c>
      <c r="AK68">
        <v>2</v>
      </c>
      <c r="AL68" t="s">
        <v>1270</v>
      </c>
      <c r="AM68" t="s">
        <v>286</v>
      </c>
      <c r="AN68" t="s">
        <v>1271</v>
      </c>
      <c r="AO68" t="s">
        <v>1550</v>
      </c>
      <c r="AP68" t="s">
        <v>1551</v>
      </c>
      <c r="AQ68" t="s">
        <v>74</v>
      </c>
      <c r="AR68" t="s">
        <v>1552</v>
      </c>
      <c r="AS68" t="s">
        <v>1553</v>
      </c>
      <c r="AT68" t="s">
        <v>1237</v>
      </c>
      <c r="AU68">
        <v>2017</v>
      </c>
      <c r="AV68">
        <v>121</v>
      </c>
      <c r="AW68">
        <v>1244</v>
      </c>
      <c r="AX68" t="s">
        <v>74</v>
      </c>
      <c r="AY68" t="s">
        <v>74</v>
      </c>
      <c r="AZ68" t="s">
        <v>74</v>
      </c>
      <c r="BA68" t="s">
        <v>74</v>
      </c>
      <c r="BB68">
        <v>1502</v>
      </c>
      <c r="BC68">
        <v>1529</v>
      </c>
      <c r="BD68" t="s">
        <v>74</v>
      </c>
      <c r="BE68" t="s">
        <v>1554</v>
      </c>
      <c r="BF68" t="str">
        <f>HYPERLINK("http://dx.doi.org/10.1017/aer.2017.71","http://dx.doi.org/10.1017/aer.2017.71")</f>
        <v>http://dx.doi.org/10.1017/aer.2017.71</v>
      </c>
      <c r="BG68" t="s">
        <v>74</v>
      </c>
      <c r="BH68" t="s">
        <v>74</v>
      </c>
      <c r="BI68">
        <v>28</v>
      </c>
      <c r="BJ68" t="s">
        <v>1555</v>
      </c>
      <c r="BK68" t="s">
        <v>101</v>
      </c>
      <c r="BL68" t="s">
        <v>1556</v>
      </c>
      <c r="BM68" t="s">
        <v>1557</v>
      </c>
      <c r="BN68" t="s">
        <v>74</v>
      </c>
      <c r="BO68" t="s">
        <v>1240</v>
      </c>
      <c r="BP68" t="s">
        <v>74</v>
      </c>
      <c r="BQ68" t="s">
        <v>74</v>
      </c>
      <c r="BR68" t="s">
        <v>105</v>
      </c>
      <c r="BS68" t="s">
        <v>1558</v>
      </c>
      <c r="BT68" t="str">
        <f>HYPERLINK("https%3A%2F%2Fwww.webofscience.com%2Fwos%2Fwoscc%2Ffull-record%2FWOS:000415160800005","View Full Record in Web of Science")</f>
        <v>View Full Record in Web of Science</v>
      </c>
    </row>
    <row r="69" spans="1:72" x14ac:dyDescent="0.15">
      <c r="A69" t="s">
        <v>72</v>
      </c>
      <c r="B69" t="s">
        <v>1559</v>
      </c>
      <c r="C69" t="s">
        <v>74</v>
      </c>
      <c r="D69" t="s">
        <v>74</v>
      </c>
      <c r="E69" t="s">
        <v>74</v>
      </c>
      <c r="F69" t="s">
        <v>1560</v>
      </c>
      <c r="G69" t="s">
        <v>74</v>
      </c>
      <c r="H69" t="s">
        <v>74</v>
      </c>
      <c r="I69" t="s">
        <v>1561</v>
      </c>
      <c r="J69" t="s">
        <v>1562</v>
      </c>
      <c r="K69" t="s">
        <v>74</v>
      </c>
      <c r="L69" t="s">
        <v>74</v>
      </c>
      <c r="M69" t="s">
        <v>78</v>
      </c>
      <c r="N69" t="s">
        <v>79</v>
      </c>
      <c r="O69" t="s">
        <v>74</v>
      </c>
      <c r="P69" t="s">
        <v>74</v>
      </c>
      <c r="Q69" t="s">
        <v>74</v>
      </c>
      <c r="R69" t="s">
        <v>74</v>
      </c>
      <c r="S69" t="s">
        <v>74</v>
      </c>
      <c r="T69" t="s">
        <v>74</v>
      </c>
      <c r="U69" t="s">
        <v>1563</v>
      </c>
      <c r="V69" t="s">
        <v>1564</v>
      </c>
      <c r="W69" t="s">
        <v>1565</v>
      </c>
      <c r="X69" t="s">
        <v>1566</v>
      </c>
      <c r="Y69" t="s">
        <v>1567</v>
      </c>
      <c r="Z69" t="s">
        <v>1568</v>
      </c>
      <c r="AA69" t="s">
        <v>1569</v>
      </c>
      <c r="AB69" t="s">
        <v>1570</v>
      </c>
      <c r="AC69" t="s">
        <v>1571</v>
      </c>
      <c r="AD69" t="s">
        <v>1572</v>
      </c>
      <c r="AE69" t="s">
        <v>1573</v>
      </c>
      <c r="AF69" t="s">
        <v>74</v>
      </c>
      <c r="AG69">
        <v>37</v>
      </c>
      <c r="AH69">
        <v>25</v>
      </c>
      <c r="AI69">
        <v>28</v>
      </c>
      <c r="AJ69">
        <v>1</v>
      </c>
      <c r="AK69">
        <v>12</v>
      </c>
      <c r="AL69" t="s">
        <v>1366</v>
      </c>
      <c r="AM69" t="s">
        <v>1367</v>
      </c>
      <c r="AN69" t="s">
        <v>1574</v>
      </c>
      <c r="AO69" t="s">
        <v>1575</v>
      </c>
      <c r="AP69" t="s">
        <v>1576</v>
      </c>
      <c r="AQ69" t="s">
        <v>74</v>
      </c>
      <c r="AR69" t="s">
        <v>1577</v>
      </c>
      <c r="AS69" t="s">
        <v>1578</v>
      </c>
      <c r="AT69" t="s">
        <v>1237</v>
      </c>
      <c r="AU69">
        <v>2017</v>
      </c>
      <c r="AV69">
        <v>47</v>
      </c>
      <c r="AW69">
        <v>10</v>
      </c>
      <c r="AX69" t="s">
        <v>74</v>
      </c>
      <c r="AY69" t="s">
        <v>74</v>
      </c>
      <c r="AZ69" t="s">
        <v>74</v>
      </c>
      <c r="BA69" t="s">
        <v>74</v>
      </c>
      <c r="BB69">
        <v>2521</v>
      </c>
      <c r="BC69">
        <v>2530</v>
      </c>
      <c r="BD69" t="s">
        <v>74</v>
      </c>
      <c r="BE69" t="s">
        <v>1579</v>
      </c>
      <c r="BF69" t="str">
        <f>HYPERLINK("http://dx.doi.org/10.1175/JPO-D-17-0106.1","http://dx.doi.org/10.1175/JPO-D-17-0106.1")</f>
        <v>http://dx.doi.org/10.1175/JPO-D-17-0106.1</v>
      </c>
      <c r="BG69" t="s">
        <v>74</v>
      </c>
      <c r="BH69" t="s">
        <v>74</v>
      </c>
      <c r="BI69">
        <v>10</v>
      </c>
      <c r="BJ69" t="s">
        <v>1459</v>
      </c>
      <c r="BK69" t="s">
        <v>101</v>
      </c>
      <c r="BL69" t="s">
        <v>1459</v>
      </c>
      <c r="BM69" t="s">
        <v>1580</v>
      </c>
      <c r="BN69" t="s">
        <v>74</v>
      </c>
      <c r="BO69" t="s">
        <v>1581</v>
      </c>
      <c r="BP69" t="s">
        <v>74</v>
      </c>
      <c r="BQ69" t="s">
        <v>74</v>
      </c>
      <c r="BR69" t="s">
        <v>105</v>
      </c>
      <c r="BS69" t="s">
        <v>1582</v>
      </c>
      <c r="BT69" t="str">
        <f>HYPERLINK("https%3A%2F%2Fwww.webofscience.com%2Fwos%2Fwoscc%2Ffull-record%2FWOS:000414154400007","View Full Record in Web of Science")</f>
        <v>View Full Record in Web of Science</v>
      </c>
    </row>
    <row r="70" spans="1:72" x14ac:dyDescent="0.15">
      <c r="A70" t="s">
        <v>72</v>
      </c>
      <c r="B70" t="s">
        <v>1583</v>
      </c>
      <c r="C70" t="s">
        <v>74</v>
      </c>
      <c r="D70" t="s">
        <v>74</v>
      </c>
      <c r="E70" t="s">
        <v>74</v>
      </c>
      <c r="F70" t="s">
        <v>1584</v>
      </c>
      <c r="G70" t="s">
        <v>74</v>
      </c>
      <c r="H70" t="s">
        <v>74</v>
      </c>
      <c r="I70" t="s">
        <v>1585</v>
      </c>
      <c r="J70" t="s">
        <v>1562</v>
      </c>
      <c r="K70" t="s">
        <v>74</v>
      </c>
      <c r="L70" t="s">
        <v>74</v>
      </c>
      <c r="M70" t="s">
        <v>78</v>
      </c>
      <c r="N70" t="s">
        <v>79</v>
      </c>
      <c r="O70" t="s">
        <v>74</v>
      </c>
      <c r="P70" t="s">
        <v>74</v>
      </c>
      <c r="Q70" t="s">
        <v>74</v>
      </c>
      <c r="R70" t="s">
        <v>74</v>
      </c>
      <c r="S70" t="s">
        <v>74</v>
      </c>
      <c r="T70" t="s">
        <v>74</v>
      </c>
      <c r="U70" t="s">
        <v>1586</v>
      </c>
      <c r="V70" t="s">
        <v>1587</v>
      </c>
      <c r="W70" t="s">
        <v>1588</v>
      </c>
      <c r="X70" t="s">
        <v>1589</v>
      </c>
      <c r="Y70" t="s">
        <v>1590</v>
      </c>
      <c r="Z70" t="s">
        <v>1591</v>
      </c>
      <c r="AA70" t="s">
        <v>1592</v>
      </c>
      <c r="AB70" t="s">
        <v>1593</v>
      </c>
      <c r="AC70" t="s">
        <v>1594</v>
      </c>
      <c r="AD70" t="s">
        <v>1595</v>
      </c>
      <c r="AE70" t="s">
        <v>1596</v>
      </c>
      <c r="AF70" t="s">
        <v>74</v>
      </c>
      <c r="AG70">
        <v>63</v>
      </c>
      <c r="AH70">
        <v>21</v>
      </c>
      <c r="AI70">
        <v>22</v>
      </c>
      <c r="AJ70">
        <v>1</v>
      </c>
      <c r="AK70">
        <v>18</v>
      </c>
      <c r="AL70" t="s">
        <v>1366</v>
      </c>
      <c r="AM70" t="s">
        <v>1367</v>
      </c>
      <c r="AN70" t="s">
        <v>1368</v>
      </c>
      <c r="AO70" t="s">
        <v>1575</v>
      </c>
      <c r="AP70" t="s">
        <v>1576</v>
      </c>
      <c r="AQ70" t="s">
        <v>74</v>
      </c>
      <c r="AR70" t="s">
        <v>1577</v>
      </c>
      <c r="AS70" t="s">
        <v>1578</v>
      </c>
      <c r="AT70" t="s">
        <v>1237</v>
      </c>
      <c r="AU70">
        <v>2017</v>
      </c>
      <c r="AV70">
        <v>47</v>
      </c>
      <c r="AW70">
        <v>10</v>
      </c>
      <c r="AX70" t="s">
        <v>74</v>
      </c>
      <c r="AY70" t="s">
        <v>74</v>
      </c>
      <c r="AZ70" t="s">
        <v>74</v>
      </c>
      <c r="BA70" t="s">
        <v>74</v>
      </c>
      <c r="BB70">
        <v>2577</v>
      </c>
      <c r="BC70">
        <v>2601</v>
      </c>
      <c r="BD70" t="s">
        <v>74</v>
      </c>
      <c r="BE70" t="s">
        <v>1597</v>
      </c>
      <c r="BF70" t="str">
        <f>HYPERLINK("http://dx.doi.org/10.1175/JPO-D-17-0007.1","http://dx.doi.org/10.1175/JPO-D-17-0007.1")</f>
        <v>http://dx.doi.org/10.1175/JPO-D-17-0007.1</v>
      </c>
      <c r="BG70" t="s">
        <v>74</v>
      </c>
      <c r="BH70" t="s">
        <v>74</v>
      </c>
      <c r="BI70">
        <v>25</v>
      </c>
      <c r="BJ70" t="s">
        <v>1459</v>
      </c>
      <c r="BK70" t="s">
        <v>101</v>
      </c>
      <c r="BL70" t="s">
        <v>1459</v>
      </c>
      <c r="BM70" t="s">
        <v>1580</v>
      </c>
      <c r="BN70" t="s">
        <v>74</v>
      </c>
      <c r="BO70" t="s">
        <v>511</v>
      </c>
      <c r="BP70" t="s">
        <v>74</v>
      </c>
      <c r="BQ70" t="s">
        <v>74</v>
      </c>
      <c r="BR70" t="s">
        <v>105</v>
      </c>
      <c r="BS70" t="s">
        <v>1598</v>
      </c>
      <c r="BT70" t="str">
        <f>HYPERLINK("https%3A%2F%2Fwww.webofscience.com%2Fwos%2Fwoscc%2Ffull-record%2FWOS:000414154400011","View Full Record in Web of Science")</f>
        <v>View Full Record in Web of Science</v>
      </c>
    </row>
    <row r="71" spans="1:72" x14ac:dyDescent="0.15">
      <c r="A71" t="s">
        <v>72</v>
      </c>
      <c r="B71" t="s">
        <v>1599</v>
      </c>
      <c r="C71" t="s">
        <v>74</v>
      </c>
      <c r="D71" t="s">
        <v>74</v>
      </c>
      <c r="E71" t="s">
        <v>74</v>
      </c>
      <c r="F71" t="s">
        <v>1600</v>
      </c>
      <c r="G71" t="s">
        <v>74</v>
      </c>
      <c r="H71" t="s">
        <v>74</v>
      </c>
      <c r="I71" t="s">
        <v>1601</v>
      </c>
      <c r="J71" t="s">
        <v>1602</v>
      </c>
      <c r="K71" t="s">
        <v>74</v>
      </c>
      <c r="L71" t="s">
        <v>74</v>
      </c>
      <c r="M71" t="s">
        <v>78</v>
      </c>
      <c r="N71" t="s">
        <v>79</v>
      </c>
      <c r="O71" t="s">
        <v>74</v>
      </c>
      <c r="P71" t="s">
        <v>74</v>
      </c>
      <c r="Q71" t="s">
        <v>74</v>
      </c>
      <c r="R71" t="s">
        <v>74</v>
      </c>
      <c r="S71" t="s">
        <v>74</v>
      </c>
      <c r="T71" t="s">
        <v>1603</v>
      </c>
      <c r="U71" t="s">
        <v>1604</v>
      </c>
      <c r="V71" t="s">
        <v>1605</v>
      </c>
      <c r="W71" t="s">
        <v>1606</v>
      </c>
      <c r="X71" t="s">
        <v>1607</v>
      </c>
      <c r="Y71" t="s">
        <v>1608</v>
      </c>
      <c r="Z71" t="s">
        <v>1609</v>
      </c>
      <c r="AA71" t="s">
        <v>1610</v>
      </c>
      <c r="AB71" t="s">
        <v>1611</v>
      </c>
      <c r="AC71" t="s">
        <v>1612</v>
      </c>
      <c r="AD71" t="s">
        <v>1613</v>
      </c>
      <c r="AE71" t="s">
        <v>1614</v>
      </c>
      <c r="AF71" t="s">
        <v>74</v>
      </c>
      <c r="AG71">
        <v>99</v>
      </c>
      <c r="AH71">
        <v>30</v>
      </c>
      <c r="AI71">
        <v>33</v>
      </c>
      <c r="AJ71">
        <v>1</v>
      </c>
      <c r="AK71">
        <v>20</v>
      </c>
      <c r="AL71" t="s">
        <v>91</v>
      </c>
      <c r="AM71" t="s">
        <v>92</v>
      </c>
      <c r="AN71" t="s">
        <v>93</v>
      </c>
      <c r="AO71" t="s">
        <v>1615</v>
      </c>
      <c r="AP71" t="s">
        <v>1616</v>
      </c>
      <c r="AQ71" t="s">
        <v>74</v>
      </c>
      <c r="AR71" t="s">
        <v>1602</v>
      </c>
      <c r="AS71" t="s">
        <v>1617</v>
      </c>
      <c r="AT71" t="s">
        <v>1237</v>
      </c>
      <c r="AU71">
        <v>2017</v>
      </c>
      <c r="AV71">
        <v>32</v>
      </c>
      <c r="AW71">
        <v>10</v>
      </c>
      <c r="AX71" t="s">
        <v>74</v>
      </c>
      <c r="AY71" t="s">
        <v>74</v>
      </c>
      <c r="AZ71" t="s">
        <v>74</v>
      </c>
      <c r="BA71" t="s">
        <v>74</v>
      </c>
      <c r="BB71">
        <v>1000</v>
      </c>
      <c r="BC71">
        <v>1017</v>
      </c>
      <c r="BD71" t="s">
        <v>74</v>
      </c>
      <c r="BE71" t="s">
        <v>1618</v>
      </c>
      <c r="BF71" t="str">
        <f>HYPERLINK("http://dx.doi.org/10.1002/2017PA003118","http://dx.doi.org/10.1002/2017PA003118")</f>
        <v>http://dx.doi.org/10.1002/2017PA003118</v>
      </c>
      <c r="BG71" t="s">
        <v>74</v>
      </c>
      <c r="BH71" t="s">
        <v>74</v>
      </c>
      <c r="BI71">
        <v>18</v>
      </c>
      <c r="BJ71" t="s">
        <v>1619</v>
      </c>
      <c r="BK71" t="s">
        <v>101</v>
      </c>
      <c r="BL71" t="s">
        <v>1620</v>
      </c>
      <c r="BM71" t="s">
        <v>1621</v>
      </c>
      <c r="BN71" t="s">
        <v>74</v>
      </c>
      <c r="BO71" t="s">
        <v>74</v>
      </c>
      <c r="BP71" t="s">
        <v>74</v>
      </c>
      <c r="BQ71" t="s">
        <v>74</v>
      </c>
      <c r="BR71" t="s">
        <v>105</v>
      </c>
      <c r="BS71" t="s">
        <v>1622</v>
      </c>
      <c r="BT71" t="str">
        <f>HYPERLINK("https%3A%2F%2Fwww.webofscience.com%2Fwos%2Fwoscc%2Ffull-record%2FWOS:000414911700001","View Full Record in Web of Science")</f>
        <v>View Full Record in Web of Science</v>
      </c>
    </row>
    <row r="72" spans="1:72" x14ac:dyDescent="0.15">
      <c r="A72" t="s">
        <v>72</v>
      </c>
      <c r="B72" t="s">
        <v>1623</v>
      </c>
      <c r="C72" t="s">
        <v>74</v>
      </c>
      <c r="D72" t="s">
        <v>74</v>
      </c>
      <c r="E72" t="s">
        <v>74</v>
      </c>
      <c r="F72" t="s">
        <v>1624</v>
      </c>
      <c r="G72" t="s">
        <v>74</v>
      </c>
      <c r="H72" t="s">
        <v>74</v>
      </c>
      <c r="I72" t="s">
        <v>1625</v>
      </c>
      <c r="J72" t="s">
        <v>1602</v>
      </c>
      <c r="K72" t="s">
        <v>74</v>
      </c>
      <c r="L72" t="s">
        <v>74</v>
      </c>
      <c r="M72" t="s">
        <v>78</v>
      </c>
      <c r="N72" t="s">
        <v>79</v>
      </c>
      <c r="O72" t="s">
        <v>74</v>
      </c>
      <c r="P72" t="s">
        <v>74</v>
      </c>
      <c r="Q72" t="s">
        <v>74</v>
      </c>
      <c r="R72" t="s">
        <v>74</v>
      </c>
      <c r="S72" t="s">
        <v>74</v>
      </c>
      <c r="T72" t="s">
        <v>1626</v>
      </c>
      <c r="U72" t="s">
        <v>1627</v>
      </c>
      <c r="V72" t="s">
        <v>1628</v>
      </c>
      <c r="W72" t="s">
        <v>1629</v>
      </c>
      <c r="X72" t="s">
        <v>1630</v>
      </c>
      <c r="Y72" t="s">
        <v>1631</v>
      </c>
      <c r="Z72" t="s">
        <v>1632</v>
      </c>
      <c r="AA72" t="s">
        <v>1633</v>
      </c>
      <c r="AB72" t="s">
        <v>1634</v>
      </c>
      <c r="AC72" t="s">
        <v>1635</v>
      </c>
      <c r="AD72" t="s">
        <v>1636</v>
      </c>
      <c r="AE72" t="s">
        <v>1637</v>
      </c>
      <c r="AF72" t="s">
        <v>74</v>
      </c>
      <c r="AG72">
        <v>105</v>
      </c>
      <c r="AH72">
        <v>12</v>
      </c>
      <c r="AI72">
        <v>14</v>
      </c>
      <c r="AJ72">
        <v>1</v>
      </c>
      <c r="AK72">
        <v>22</v>
      </c>
      <c r="AL72" t="s">
        <v>91</v>
      </c>
      <c r="AM72" t="s">
        <v>92</v>
      </c>
      <c r="AN72" t="s">
        <v>93</v>
      </c>
      <c r="AO72" t="s">
        <v>1615</v>
      </c>
      <c r="AP72" t="s">
        <v>1616</v>
      </c>
      <c r="AQ72" t="s">
        <v>74</v>
      </c>
      <c r="AR72" t="s">
        <v>1602</v>
      </c>
      <c r="AS72" t="s">
        <v>1617</v>
      </c>
      <c r="AT72" t="s">
        <v>1237</v>
      </c>
      <c r="AU72">
        <v>2017</v>
      </c>
      <c r="AV72">
        <v>32</v>
      </c>
      <c r="AW72">
        <v>10</v>
      </c>
      <c r="AX72" t="s">
        <v>74</v>
      </c>
      <c r="AY72" t="s">
        <v>74</v>
      </c>
      <c r="AZ72" t="s">
        <v>74</v>
      </c>
      <c r="BA72" t="s">
        <v>74</v>
      </c>
      <c r="BB72">
        <v>1070</v>
      </c>
      <c r="BC72">
        <v>1085</v>
      </c>
      <c r="BD72" t="s">
        <v>74</v>
      </c>
      <c r="BE72" t="s">
        <v>1638</v>
      </c>
      <c r="BF72" t="str">
        <f>HYPERLINK("http://dx.doi.org/10.1002/2017PA003115","http://dx.doi.org/10.1002/2017PA003115")</f>
        <v>http://dx.doi.org/10.1002/2017PA003115</v>
      </c>
      <c r="BG72" t="s">
        <v>74</v>
      </c>
      <c r="BH72" t="s">
        <v>74</v>
      </c>
      <c r="BI72">
        <v>16</v>
      </c>
      <c r="BJ72" t="s">
        <v>1619</v>
      </c>
      <c r="BK72" t="s">
        <v>101</v>
      </c>
      <c r="BL72" t="s">
        <v>1620</v>
      </c>
      <c r="BM72" t="s">
        <v>1621</v>
      </c>
      <c r="BN72" t="s">
        <v>74</v>
      </c>
      <c r="BO72" t="s">
        <v>1639</v>
      </c>
      <c r="BP72" t="s">
        <v>74</v>
      </c>
      <c r="BQ72" t="s">
        <v>74</v>
      </c>
      <c r="BR72" t="s">
        <v>105</v>
      </c>
      <c r="BS72" t="s">
        <v>1640</v>
      </c>
      <c r="BT72" t="str">
        <f>HYPERLINK("https%3A%2F%2Fwww.webofscience.com%2Fwos%2Fwoscc%2Ffull-record%2FWOS:000414911700005","View Full Record in Web of Science")</f>
        <v>View Full Record in Web of Science</v>
      </c>
    </row>
    <row r="73" spans="1:72" x14ac:dyDescent="0.15">
      <c r="A73" t="s">
        <v>72</v>
      </c>
      <c r="B73" t="s">
        <v>1641</v>
      </c>
      <c r="C73" t="s">
        <v>74</v>
      </c>
      <c r="D73" t="s">
        <v>74</v>
      </c>
      <c r="E73" t="s">
        <v>74</v>
      </c>
      <c r="F73" t="s">
        <v>1642</v>
      </c>
      <c r="G73" t="s">
        <v>74</v>
      </c>
      <c r="H73" t="s">
        <v>74</v>
      </c>
      <c r="I73" t="s">
        <v>1643</v>
      </c>
      <c r="J73" t="s">
        <v>1644</v>
      </c>
      <c r="K73" t="s">
        <v>74</v>
      </c>
      <c r="L73" t="s">
        <v>74</v>
      </c>
      <c r="M73" t="s">
        <v>78</v>
      </c>
      <c r="N73" t="s">
        <v>79</v>
      </c>
      <c r="O73" t="s">
        <v>74</v>
      </c>
      <c r="P73" t="s">
        <v>74</v>
      </c>
      <c r="Q73" t="s">
        <v>74</v>
      </c>
      <c r="R73" t="s">
        <v>74</v>
      </c>
      <c r="S73" t="s">
        <v>74</v>
      </c>
      <c r="T73" t="s">
        <v>1645</v>
      </c>
      <c r="U73" t="s">
        <v>1646</v>
      </c>
      <c r="V73" t="s">
        <v>1647</v>
      </c>
      <c r="W73" t="s">
        <v>1648</v>
      </c>
      <c r="X73" t="s">
        <v>1649</v>
      </c>
      <c r="Y73" t="s">
        <v>1650</v>
      </c>
      <c r="Z73" t="s">
        <v>1651</v>
      </c>
      <c r="AA73" t="s">
        <v>1652</v>
      </c>
      <c r="AB73" t="s">
        <v>1653</v>
      </c>
      <c r="AC73" t="s">
        <v>1654</v>
      </c>
      <c r="AD73" t="s">
        <v>1655</v>
      </c>
      <c r="AE73" t="s">
        <v>1656</v>
      </c>
      <c r="AF73" t="s">
        <v>74</v>
      </c>
      <c r="AG73">
        <v>64</v>
      </c>
      <c r="AH73">
        <v>7</v>
      </c>
      <c r="AI73">
        <v>8</v>
      </c>
      <c r="AJ73">
        <v>3</v>
      </c>
      <c r="AK73">
        <v>32</v>
      </c>
      <c r="AL73" t="s">
        <v>1657</v>
      </c>
      <c r="AM73" t="s">
        <v>182</v>
      </c>
      <c r="AN73" t="s">
        <v>1658</v>
      </c>
      <c r="AO73" t="s">
        <v>1659</v>
      </c>
      <c r="AP73" t="s">
        <v>1660</v>
      </c>
      <c r="AQ73" t="s">
        <v>74</v>
      </c>
      <c r="AR73" t="s">
        <v>1661</v>
      </c>
      <c r="AS73" t="s">
        <v>1662</v>
      </c>
      <c r="AT73" t="s">
        <v>1237</v>
      </c>
      <c r="AU73">
        <v>2017</v>
      </c>
      <c r="AV73">
        <v>132</v>
      </c>
      <c r="AW73" t="s">
        <v>74</v>
      </c>
      <c r="AX73" t="s">
        <v>74</v>
      </c>
      <c r="AY73" t="s">
        <v>74</v>
      </c>
      <c r="AZ73" t="s">
        <v>74</v>
      </c>
      <c r="BA73" t="s">
        <v>74</v>
      </c>
      <c r="BB73">
        <v>61</v>
      </c>
      <c r="BC73">
        <v>71</v>
      </c>
      <c r="BD73" t="s">
        <v>74</v>
      </c>
      <c r="BE73" t="s">
        <v>1663</v>
      </c>
      <c r="BF73" t="str">
        <f>HYPERLINK("http://dx.doi.org/10.1016/j.anbehav.2017.07.026","http://dx.doi.org/10.1016/j.anbehav.2017.07.026")</f>
        <v>http://dx.doi.org/10.1016/j.anbehav.2017.07.026</v>
      </c>
      <c r="BG73" t="s">
        <v>74</v>
      </c>
      <c r="BH73" t="s">
        <v>74</v>
      </c>
      <c r="BI73">
        <v>11</v>
      </c>
      <c r="BJ73" t="s">
        <v>1664</v>
      </c>
      <c r="BK73" t="s">
        <v>101</v>
      </c>
      <c r="BL73" t="s">
        <v>1664</v>
      </c>
      <c r="BM73" t="s">
        <v>1665</v>
      </c>
      <c r="BN73" t="s">
        <v>74</v>
      </c>
      <c r="BO73" t="s">
        <v>74</v>
      </c>
      <c r="BP73" t="s">
        <v>74</v>
      </c>
      <c r="BQ73" t="s">
        <v>74</v>
      </c>
      <c r="BR73" t="s">
        <v>105</v>
      </c>
      <c r="BS73" t="s">
        <v>1666</v>
      </c>
      <c r="BT73" t="str">
        <f>HYPERLINK("https%3A%2F%2Fwww.webofscience.com%2Fwos%2Fwoscc%2Ffull-record%2FWOS:000412445700006","View Full Record in Web of Science")</f>
        <v>View Full Record in Web of Science</v>
      </c>
    </row>
    <row r="74" spans="1:72" x14ac:dyDescent="0.15">
      <c r="A74" t="s">
        <v>72</v>
      </c>
      <c r="B74" t="s">
        <v>1667</v>
      </c>
      <c r="C74" t="s">
        <v>74</v>
      </c>
      <c r="D74" t="s">
        <v>74</v>
      </c>
      <c r="E74" t="s">
        <v>74</v>
      </c>
      <c r="F74" t="s">
        <v>1668</v>
      </c>
      <c r="G74" t="s">
        <v>74</v>
      </c>
      <c r="H74" t="s">
        <v>74</v>
      </c>
      <c r="I74" t="s">
        <v>1669</v>
      </c>
      <c r="J74" t="s">
        <v>1670</v>
      </c>
      <c r="K74" t="s">
        <v>74</v>
      </c>
      <c r="L74" t="s">
        <v>74</v>
      </c>
      <c r="M74" t="s">
        <v>78</v>
      </c>
      <c r="N74" t="s">
        <v>79</v>
      </c>
      <c r="O74" t="s">
        <v>74</v>
      </c>
      <c r="P74" t="s">
        <v>74</v>
      </c>
      <c r="Q74" t="s">
        <v>74</v>
      </c>
      <c r="R74" t="s">
        <v>74</v>
      </c>
      <c r="S74" t="s">
        <v>74</v>
      </c>
      <c r="T74" t="s">
        <v>1671</v>
      </c>
      <c r="U74" t="s">
        <v>1672</v>
      </c>
      <c r="V74" t="s">
        <v>1673</v>
      </c>
      <c r="W74" t="s">
        <v>1674</v>
      </c>
      <c r="X74" t="s">
        <v>1675</v>
      </c>
      <c r="Y74" t="s">
        <v>1676</v>
      </c>
      <c r="Z74" t="s">
        <v>1677</v>
      </c>
      <c r="AA74" t="s">
        <v>74</v>
      </c>
      <c r="AB74" t="s">
        <v>1678</v>
      </c>
      <c r="AC74" t="s">
        <v>1679</v>
      </c>
      <c r="AD74" t="s">
        <v>1680</v>
      </c>
      <c r="AE74" t="s">
        <v>1681</v>
      </c>
      <c r="AF74" t="s">
        <v>74</v>
      </c>
      <c r="AG74">
        <v>33</v>
      </c>
      <c r="AH74">
        <v>5</v>
      </c>
      <c r="AI74">
        <v>6</v>
      </c>
      <c r="AJ74">
        <v>0</v>
      </c>
      <c r="AK74">
        <v>23</v>
      </c>
      <c r="AL74" t="s">
        <v>1270</v>
      </c>
      <c r="AM74" t="s">
        <v>209</v>
      </c>
      <c r="AN74" t="s">
        <v>1682</v>
      </c>
      <c r="AO74" t="s">
        <v>1683</v>
      </c>
      <c r="AP74" t="s">
        <v>1684</v>
      </c>
      <c r="AQ74" t="s">
        <v>74</v>
      </c>
      <c r="AR74" t="s">
        <v>1685</v>
      </c>
      <c r="AS74" t="s">
        <v>1686</v>
      </c>
      <c r="AT74" t="s">
        <v>1237</v>
      </c>
      <c r="AU74">
        <v>2017</v>
      </c>
      <c r="AV74">
        <v>29</v>
      </c>
      <c r="AW74">
        <v>5</v>
      </c>
      <c r="AX74" t="s">
        <v>74</v>
      </c>
      <c r="AY74" t="s">
        <v>74</v>
      </c>
      <c r="AZ74" t="s">
        <v>74</v>
      </c>
      <c r="BA74" t="s">
        <v>74</v>
      </c>
      <c r="BB74">
        <v>397</v>
      </c>
      <c r="BC74">
        <v>409</v>
      </c>
      <c r="BD74" t="s">
        <v>74</v>
      </c>
      <c r="BE74" t="s">
        <v>1687</v>
      </c>
      <c r="BF74" t="str">
        <f>HYPERLINK("http://dx.doi.org/10.1017/S095410201700013X","http://dx.doi.org/10.1017/S095410201700013X")</f>
        <v>http://dx.doi.org/10.1017/S095410201700013X</v>
      </c>
      <c r="BG74" t="s">
        <v>74</v>
      </c>
      <c r="BH74" t="s">
        <v>74</v>
      </c>
      <c r="BI74">
        <v>13</v>
      </c>
      <c r="BJ74" t="s">
        <v>1688</v>
      </c>
      <c r="BK74" t="s">
        <v>101</v>
      </c>
      <c r="BL74" t="s">
        <v>1689</v>
      </c>
      <c r="BM74" t="s">
        <v>1690</v>
      </c>
      <c r="BN74" t="s">
        <v>74</v>
      </c>
      <c r="BO74" t="s">
        <v>1691</v>
      </c>
      <c r="BP74" t="s">
        <v>74</v>
      </c>
      <c r="BQ74" t="s">
        <v>74</v>
      </c>
      <c r="BR74" t="s">
        <v>105</v>
      </c>
      <c r="BS74" t="s">
        <v>1692</v>
      </c>
      <c r="BT74" t="str">
        <f>HYPERLINK("https%3A%2F%2Fwww.webofscience.com%2Fwos%2Fwoscc%2Ffull-record%2FWOS:000412678800002","View Full Record in Web of Science")</f>
        <v>View Full Record in Web of Science</v>
      </c>
    </row>
    <row r="75" spans="1:72" x14ac:dyDescent="0.15">
      <c r="A75" t="s">
        <v>72</v>
      </c>
      <c r="B75" t="s">
        <v>1693</v>
      </c>
      <c r="C75" t="s">
        <v>74</v>
      </c>
      <c r="D75" t="s">
        <v>74</v>
      </c>
      <c r="E75" t="s">
        <v>74</v>
      </c>
      <c r="F75" t="s">
        <v>1694</v>
      </c>
      <c r="G75" t="s">
        <v>74</v>
      </c>
      <c r="H75" t="s">
        <v>74</v>
      </c>
      <c r="I75" t="s">
        <v>1695</v>
      </c>
      <c r="J75" t="s">
        <v>1670</v>
      </c>
      <c r="K75" t="s">
        <v>74</v>
      </c>
      <c r="L75" t="s">
        <v>74</v>
      </c>
      <c r="M75" t="s">
        <v>78</v>
      </c>
      <c r="N75" t="s">
        <v>79</v>
      </c>
      <c r="O75" t="s">
        <v>74</v>
      </c>
      <c r="P75" t="s">
        <v>74</v>
      </c>
      <c r="Q75" t="s">
        <v>74</v>
      </c>
      <c r="R75" t="s">
        <v>74</v>
      </c>
      <c r="S75" t="s">
        <v>74</v>
      </c>
      <c r="T75" t="s">
        <v>1696</v>
      </c>
      <c r="U75" t="s">
        <v>1697</v>
      </c>
      <c r="V75" t="s">
        <v>1698</v>
      </c>
      <c r="W75" t="s">
        <v>1699</v>
      </c>
      <c r="X75" t="s">
        <v>1700</v>
      </c>
      <c r="Y75" t="s">
        <v>1701</v>
      </c>
      <c r="Z75" t="s">
        <v>1702</v>
      </c>
      <c r="AA75" t="s">
        <v>1703</v>
      </c>
      <c r="AB75" t="s">
        <v>1704</v>
      </c>
      <c r="AC75" t="s">
        <v>1705</v>
      </c>
      <c r="AD75" t="s">
        <v>1706</v>
      </c>
      <c r="AE75" t="s">
        <v>1707</v>
      </c>
      <c r="AF75" t="s">
        <v>74</v>
      </c>
      <c r="AG75">
        <v>36</v>
      </c>
      <c r="AH75">
        <v>6</v>
      </c>
      <c r="AI75">
        <v>7</v>
      </c>
      <c r="AJ75">
        <v>1</v>
      </c>
      <c r="AK75">
        <v>15</v>
      </c>
      <c r="AL75" t="s">
        <v>1270</v>
      </c>
      <c r="AM75" t="s">
        <v>209</v>
      </c>
      <c r="AN75" t="s">
        <v>1682</v>
      </c>
      <c r="AO75" t="s">
        <v>1683</v>
      </c>
      <c r="AP75" t="s">
        <v>1684</v>
      </c>
      <c r="AQ75" t="s">
        <v>74</v>
      </c>
      <c r="AR75" t="s">
        <v>1685</v>
      </c>
      <c r="AS75" t="s">
        <v>1686</v>
      </c>
      <c r="AT75" t="s">
        <v>1237</v>
      </c>
      <c r="AU75">
        <v>2017</v>
      </c>
      <c r="AV75">
        <v>29</v>
      </c>
      <c r="AW75">
        <v>5</v>
      </c>
      <c r="AX75" t="s">
        <v>74</v>
      </c>
      <c r="AY75" t="s">
        <v>74</v>
      </c>
      <c r="AZ75" t="s">
        <v>74</v>
      </c>
      <c r="BA75" t="s">
        <v>74</v>
      </c>
      <c r="BB75">
        <v>410</v>
      </c>
      <c r="BC75">
        <v>416</v>
      </c>
      <c r="BD75" t="s">
        <v>74</v>
      </c>
      <c r="BE75" t="s">
        <v>1708</v>
      </c>
      <c r="BF75" t="str">
        <f>HYPERLINK("http://dx.doi.org/10.1017/S0954102017000189","http://dx.doi.org/10.1017/S0954102017000189")</f>
        <v>http://dx.doi.org/10.1017/S0954102017000189</v>
      </c>
      <c r="BG75" t="s">
        <v>74</v>
      </c>
      <c r="BH75" t="s">
        <v>74</v>
      </c>
      <c r="BI75">
        <v>7</v>
      </c>
      <c r="BJ75" t="s">
        <v>1688</v>
      </c>
      <c r="BK75" t="s">
        <v>101</v>
      </c>
      <c r="BL75" t="s">
        <v>1689</v>
      </c>
      <c r="BM75" t="s">
        <v>1690</v>
      </c>
      <c r="BN75" t="s">
        <v>74</v>
      </c>
      <c r="BO75" t="s">
        <v>74</v>
      </c>
      <c r="BP75" t="s">
        <v>74</v>
      </c>
      <c r="BQ75" t="s">
        <v>74</v>
      </c>
      <c r="BR75" t="s">
        <v>105</v>
      </c>
      <c r="BS75" t="s">
        <v>1709</v>
      </c>
      <c r="BT75" t="str">
        <f>HYPERLINK("https%3A%2F%2Fwww.webofscience.com%2Fwos%2Fwoscc%2Ffull-record%2FWOS:000412678800003","View Full Record in Web of Science")</f>
        <v>View Full Record in Web of Science</v>
      </c>
    </row>
    <row r="76" spans="1:72" x14ac:dyDescent="0.15">
      <c r="A76" t="s">
        <v>72</v>
      </c>
      <c r="B76" t="s">
        <v>1710</v>
      </c>
      <c r="C76" t="s">
        <v>74</v>
      </c>
      <c r="D76" t="s">
        <v>74</v>
      </c>
      <c r="E76" t="s">
        <v>74</v>
      </c>
      <c r="F76" t="s">
        <v>1711</v>
      </c>
      <c r="G76" t="s">
        <v>74</v>
      </c>
      <c r="H76" t="s">
        <v>74</v>
      </c>
      <c r="I76" t="s">
        <v>1712</v>
      </c>
      <c r="J76" t="s">
        <v>1670</v>
      </c>
      <c r="K76" t="s">
        <v>74</v>
      </c>
      <c r="L76" t="s">
        <v>74</v>
      </c>
      <c r="M76" t="s">
        <v>78</v>
      </c>
      <c r="N76" t="s">
        <v>79</v>
      </c>
      <c r="O76" t="s">
        <v>74</v>
      </c>
      <c r="P76" t="s">
        <v>74</v>
      </c>
      <c r="Q76" t="s">
        <v>74</v>
      </c>
      <c r="R76" t="s">
        <v>74</v>
      </c>
      <c r="S76" t="s">
        <v>74</v>
      </c>
      <c r="T76" t="s">
        <v>1713</v>
      </c>
      <c r="U76" t="s">
        <v>1714</v>
      </c>
      <c r="V76" t="s">
        <v>1715</v>
      </c>
      <c r="W76" t="s">
        <v>1716</v>
      </c>
      <c r="X76" t="s">
        <v>1717</v>
      </c>
      <c r="Y76" t="s">
        <v>1718</v>
      </c>
      <c r="Z76" t="s">
        <v>1719</v>
      </c>
      <c r="AA76" t="s">
        <v>1720</v>
      </c>
      <c r="AB76" t="s">
        <v>1721</v>
      </c>
      <c r="AC76" t="s">
        <v>1722</v>
      </c>
      <c r="AD76" t="s">
        <v>1723</v>
      </c>
      <c r="AE76" t="s">
        <v>1724</v>
      </c>
      <c r="AF76" t="s">
        <v>74</v>
      </c>
      <c r="AG76">
        <v>32</v>
      </c>
      <c r="AH76">
        <v>13</v>
      </c>
      <c r="AI76">
        <v>14</v>
      </c>
      <c r="AJ76">
        <v>1</v>
      </c>
      <c r="AK76">
        <v>27</v>
      </c>
      <c r="AL76" t="s">
        <v>1270</v>
      </c>
      <c r="AM76" t="s">
        <v>209</v>
      </c>
      <c r="AN76" t="s">
        <v>1682</v>
      </c>
      <c r="AO76" t="s">
        <v>1683</v>
      </c>
      <c r="AP76" t="s">
        <v>1684</v>
      </c>
      <c r="AQ76" t="s">
        <v>74</v>
      </c>
      <c r="AR76" t="s">
        <v>1685</v>
      </c>
      <c r="AS76" t="s">
        <v>1686</v>
      </c>
      <c r="AT76" t="s">
        <v>1237</v>
      </c>
      <c r="AU76">
        <v>2017</v>
      </c>
      <c r="AV76">
        <v>29</v>
      </c>
      <c r="AW76">
        <v>5</v>
      </c>
      <c r="AX76" t="s">
        <v>74</v>
      </c>
      <c r="AY76" t="s">
        <v>74</v>
      </c>
      <c r="AZ76" t="s">
        <v>74</v>
      </c>
      <c r="BA76" t="s">
        <v>74</v>
      </c>
      <c r="BB76">
        <v>417</v>
      </c>
      <c r="BC76">
        <v>425</v>
      </c>
      <c r="BD76" t="s">
        <v>74</v>
      </c>
      <c r="BE76" t="s">
        <v>1725</v>
      </c>
      <c r="BF76" t="str">
        <f>HYPERLINK("http://dx.doi.org/10.1017/S0954102017000190","http://dx.doi.org/10.1017/S0954102017000190")</f>
        <v>http://dx.doi.org/10.1017/S0954102017000190</v>
      </c>
      <c r="BG76" t="s">
        <v>74</v>
      </c>
      <c r="BH76" t="s">
        <v>74</v>
      </c>
      <c r="BI76">
        <v>9</v>
      </c>
      <c r="BJ76" t="s">
        <v>1688</v>
      </c>
      <c r="BK76" t="s">
        <v>101</v>
      </c>
      <c r="BL76" t="s">
        <v>1689</v>
      </c>
      <c r="BM76" t="s">
        <v>1690</v>
      </c>
      <c r="BN76" t="s">
        <v>74</v>
      </c>
      <c r="BO76" t="s">
        <v>1240</v>
      </c>
      <c r="BP76" t="s">
        <v>74</v>
      </c>
      <c r="BQ76" t="s">
        <v>74</v>
      </c>
      <c r="BR76" t="s">
        <v>105</v>
      </c>
      <c r="BS76" t="s">
        <v>1726</v>
      </c>
      <c r="BT76" t="str">
        <f>HYPERLINK("https%3A%2F%2Fwww.webofscience.com%2Fwos%2Fwoscc%2Ffull-record%2FWOS:000412678800004","View Full Record in Web of Science")</f>
        <v>View Full Record in Web of Science</v>
      </c>
    </row>
    <row r="77" spans="1:72" x14ac:dyDescent="0.15">
      <c r="A77" t="s">
        <v>72</v>
      </c>
      <c r="B77" t="s">
        <v>1727</v>
      </c>
      <c r="C77" t="s">
        <v>74</v>
      </c>
      <c r="D77" t="s">
        <v>74</v>
      </c>
      <c r="E77" t="s">
        <v>74</v>
      </c>
      <c r="F77" t="s">
        <v>1728</v>
      </c>
      <c r="G77" t="s">
        <v>74</v>
      </c>
      <c r="H77" t="s">
        <v>74</v>
      </c>
      <c r="I77" t="s">
        <v>1729</v>
      </c>
      <c r="J77" t="s">
        <v>1670</v>
      </c>
      <c r="K77" t="s">
        <v>74</v>
      </c>
      <c r="L77" t="s">
        <v>74</v>
      </c>
      <c r="M77" t="s">
        <v>78</v>
      </c>
      <c r="N77" t="s">
        <v>79</v>
      </c>
      <c r="O77" t="s">
        <v>74</v>
      </c>
      <c r="P77" t="s">
        <v>74</v>
      </c>
      <c r="Q77" t="s">
        <v>74</v>
      </c>
      <c r="R77" t="s">
        <v>74</v>
      </c>
      <c r="S77" t="s">
        <v>74</v>
      </c>
      <c r="T77" t="s">
        <v>1730</v>
      </c>
      <c r="U77" t="s">
        <v>1731</v>
      </c>
      <c r="V77" t="s">
        <v>1732</v>
      </c>
      <c r="W77" t="s">
        <v>1733</v>
      </c>
      <c r="X77" t="s">
        <v>1734</v>
      </c>
      <c r="Y77" t="s">
        <v>1735</v>
      </c>
      <c r="Z77" t="s">
        <v>1736</v>
      </c>
      <c r="AA77" t="s">
        <v>1737</v>
      </c>
      <c r="AB77" t="s">
        <v>1738</v>
      </c>
      <c r="AC77" t="s">
        <v>1739</v>
      </c>
      <c r="AD77" t="s">
        <v>1740</v>
      </c>
      <c r="AE77" t="s">
        <v>1741</v>
      </c>
      <c r="AF77" t="s">
        <v>74</v>
      </c>
      <c r="AG77">
        <v>37</v>
      </c>
      <c r="AH77">
        <v>19</v>
      </c>
      <c r="AI77">
        <v>19</v>
      </c>
      <c r="AJ77">
        <v>2</v>
      </c>
      <c r="AK77">
        <v>25</v>
      </c>
      <c r="AL77" t="s">
        <v>1270</v>
      </c>
      <c r="AM77" t="s">
        <v>209</v>
      </c>
      <c r="AN77" t="s">
        <v>1682</v>
      </c>
      <c r="AO77" t="s">
        <v>1683</v>
      </c>
      <c r="AP77" t="s">
        <v>1684</v>
      </c>
      <c r="AQ77" t="s">
        <v>74</v>
      </c>
      <c r="AR77" t="s">
        <v>1685</v>
      </c>
      <c r="AS77" t="s">
        <v>1686</v>
      </c>
      <c r="AT77" t="s">
        <v>1237</v>
      </c>
      <c r="AU77">
        <v>2017</v>
      </c>
      <c r="AV77">
        <v>29</v>
      </c>
      <c r="AW77">
        <v>5</v>
      </c>
      <c r="AX77" t="s">
        <v>74</v>
      </c>
      <c r="AY77" t="s">
        <v>74</v>
      </c>
      <c r="AZ77" t="s">
        <v>74</v>
      </c>
      <c r="BA77" t="s">
        <v>74</v>
      </c>
      <c r="BB77">
        <v>429</v>
      </c>
      <c r="BC77">
        <v>444</v>
      </c>
      <c r="BD77" t="s">
        <v>74</v>
      </c>
      <c r="BE77" t="s">
        <v>1742</v>
      </c>
      <c r="BF77" t="str">
        <f>HYPERLINK("http://dx.doi.org/10.1017/S0954102017000116","http://dx.doi.org/10.1017/S0954102017000116")</f>
        <v>http://dx.doi.org/10.1017/S0954102017000116</v>
      </c>
      <c r="BG77" t="s">
        <v>74</v>
      </c>
      <c r="BH77" t="s">
        <v>74</v>
      </c>
      <c r="BI77">
        <v>16</v>
      </c>
      <c r="BJ77" t="s">
        <v>1688</v>
      </c>
      <c r="BK77" t="s">
        <v>101</v>
      </c>
      <c r="BL77" t="s">
        <v>1689</v>
      </c>
      <c r="BM77" t="s">
        <v>1690</v>
      </c>
      <c r="BN77" t="s">
        <v>74</v>
      </c>
      <c r="BO77" t="s">
        <v>74</v>
      </c>
      <c r="BP77" t="s">
        <v>74</v>
      </c>
      <c r="BQ77" t="s">
        <v>74</v>
      </c>
      <c r="BR77" t="s">
        <v>105</v>
      </c>
      <c r="BS77" t="s">
        <v>1743</v>
      </c>
      <c r="BT77" t="str">
        <f>HYPERLINK("https%3A%2F%2Fwww.webofscience.com%2Fwos%2Fwoscc%2Ffull-record%2FWOS:000412678800006","View Full Record in Web of Science")</f>
        <v>View Full Record in Web of Science</v>
      </c>
    </row>
    <row r="78" spans="1:72" x14ac:dyDescent="0.15">
      <c r="A78" t="s">
        <v>72</v>
      </c>
      <c r="B78" t="s">
        <v>1744</v>
      </c>
      <c r="C78" t="s">
        <v>74</v>
      </c>
      <c r="D78" t="s">
        <v>74</v>
      </c>
      <c r="E78" t="s">
        <v>74</v>
      </c>
      <c r="F78" t="s">
        <v>1745</v>
      </c>
      <c r="G78" t="s">
        <v>74</v>
      </c>
      <c r="H78" t="s">
        <v>74</v>
      </c>
      <c r="I78" t="s">
        <v>1746</v>
      </c>
      <c r="J78" t="s">
        <v>1670</v>
      </c>
      <c r="K78" t="s">
        <v>74</v>
      </c>
      <c r="L78" t="s">
        <v>74</v>
      </c>
      <c r="M78" t="s">
        <v>78</v>
      </c>
      <c r="N78" t="s">
        <v>79</v>
      </c>
      <c r="O78" t="s">
        <v>74</v>
      </c>
      <c r="P78" t="s">
        <v>74</v>
      </c>
      <c r="Q78" t="s">
        <v>74</v>
      </c>
      <c r="R78" t="s">
        <v>74</v>
      </c>
      <c r="S78" t="s">
        <v>74</v>
      </c>
      <c r="T78" t="s">
        <v>1747</v>
      </c>
      <c r="U78" t="s">
        <v>1748</v>
      </c>
      <c r="V78" t="s">
        <v>1749</v>
      </c>
      <c r="W78" t="s">
        <v>1750</v>
      </c>
      <c r="X78" t="s">
        <v>1751</v>
      </c>
      <c r="Y78" t="s">
        <v>1752</v>
      </c>
      <c r="Z78" t="s">
        <v>1753</v>
      </c>
      <c r="AA78" t="s">
        <v>1754</v>
      </c>
      <c r="AB78" t="s">
        <v>1755</v>
      </c>
      <c r="AC78" t="s">
        <v>1756</v>
      </c>
      <c r="AD78" t="s">
        <v>1757</v>
      </c>
      <c r="AE78" t="s">
        <v>1758</v>
      </c>
      <c r="AF78" t="s">
        <v>74</v>
      </c>
      <c r="AG78">
        <v>36</v>
      </c>
      <c r="AH78">
        <v>9</v>
      </c>
      <c r="AI78">
        <v>12</v>
      </c>
      <c r="AJ78">
        <v>0</v>
      </c>
      <c r="AK78">
        <v>9</v>
      </c>
      <c r="AL78" t="s">
        <v>1270</v>
      </c>
      <c r="AM78" t="s">
        <v>209</v>
      </c>
      <c r="AN78" t="s">
        <v>1682</v>
      </c>
      <c r="AO78" t="s">
        <v>1683</v>
      </c>
      <c r="AP78" t="s">
        <v>1684</v>
      </c>
      <c r="AQ78" t="s">
        <v>74</v>
      </c>
      <c r="AR78" t="s">
        <v>1685</v>
      </c>
      <c r="AS78" t="s">
        <v>1686</v>
      </c>
      <c r="AT78" t="s">
        <v>1237</v>
      </c>
      <c r="AU78">
        <v>2017</v>
      </c>
      <c r="AV78">
        <v>29</v>
      </c>
      <c r="AW78">
        <v>5</v>
      </c>
      <c r="AX78" t="s">
        <v>74</v>
      </c>
      <c r="AY78" t="s">
        <v>74</v>
      </c>
      <c r="AZ78" t="s">
        <v>74</v>
      </c>
      <c r="BA78" t="s">
        <v>74</v>
      </c>
      <c r="BB78">
        <v>445</v>
      </c>
      <c r="BC78">
        <v>455</v>
      </c>
      <c r="BD78" t="s">
        <v>74</v>
      </c>
      <c r="BE78" t="s">
        <v>1759</v>
      </c>
      <c r="BF78" t="str">
        <f>HYPERLINK("http://dx.doi.org/10.1017/S0954102017000244","http://dx.doi.org/10.1017/S0954102017000244")</f>
        <v>http://dx.doi.org/10.1017/S0954102017000244</v>
      </c>
      <c r="BG78" t="s">
        <v>74</v>
      </c>
      <c r="BH78" t="s">
        <v>74</v>
      </c>
      <c r="BI78">
        <v>11</v>
      </c>
      <c r="BJ78" t="s">
        <v>1688</v>
      </c>
      <c r="BK78" t="s">
        <v>101</v>
      </c>
      <c r="BL78" t="s">
        <v>1689</v>
      </c>
      <c r="BM78" t="s">
        <v>1690</v>
      </c>
      <c r="BN78" t="s">
        <v>74</v>
      </c>
      <c r="BO78" t="s">
        <v>1170</v>
      </c>
      <c r="BP78" t="s">
        <v>74</v>
      </c>
      <c r="BQ78" t="s">
        <v>74</v>
      </c>
      <c r="BR78" t="s">
        <v>105</v>
      </c>
      <c r="BS78" t="s">
        <v>1760</v>
      </c>
      <c r="BT78" t="str">
        <f>HYPERLINK("https%3A%2F%2Fwww.webofscience.com%2Fwos%2Fwoscc%2Ffull-record%2FWOS:000412678800007","View Full Record in Web of Science")</f>
        <v>View Full Record in Web of Science</v>
      </c>
    </row>
    <row r="79" spans="1:72" x14ac:dyDescent="0.15">
      <c r="A79" t="s">
        <v>72</v>
      </c>
      <c r="B79" t="s">
        <v>1761</v>
      </c>
      <c r="C79" t="s">
        <v>74</v>
      </c>
      <c r="D79" t="s">
        <v>74</v>
      </c>
      <c r="E79" t="s">
        <v>74</v>
      </c>
      <c r="F79" t="s">
        <v>1762</v>
      </c>
      <c r="G79" t="s">
        <v>74</v>
      </c>
      <c r="H79" t="s">
        <v>74</v>
      </c>
      <c r="I79" t="s">
        <v>1763</v>
      </c>
      <c r="J79" t="s">
        <v>1670</v>
      </c>
      <c r="K79" t="s">
        <v>74</v>
      </c>
      <c r="L79" t="s">
        <v>74</v>
      </c>
      <c r="M79" t="s">
        <v>78</v>
      </c>
      <c r="N79" t="s">
        <v>79</v>
      </c>
      <c r="O79" t="s">
        <v>74</v>
      </c>
      <c r="P79" t="s">
        <v>74</v>
      </c>
      <c r="Q79" t="s">
        <v>74</v>
      </c>
      <c r="R79" t="s">
        <v>74</v>
      </c>
      <c r="S79" t="s">
        <v>74</v>
      </c>
      <c r="T79" t="s">
        <v>1764</v>
      </c>
      <c r="U79" t="s">
        <v>1765</v>
      </c>
      <c r="V79" t="s">
        <v>1766</v>
      </c>
      <c r="W79" t="s">
        <v>1767</v>
      </c>
      <c r="X79" t="s">
        <v>1768</v>
      </c>
      <c r="Y79" t="s">
        <v>1769</v>
      </c>
      <c r="Z79" t="s">
        <v>1770</v>
      </c>
      <c r="AA79" t="s">
        <v>74</v>
      </c>
      <c r="AB79" t="s">
        <v>1771</v>
      </c>
      <c r="AC79" t="s">
        <v>1772</v>
      </c>
      <c r="AD79" t="s">
        <v>1773</v>
      </c>
      <c r="AE79" t="s">
        <v>1774</v>
      </c>
      <c r="AF79" t="s">
        <v>74</v>
      </c>
      <c r="AG79">
        <v>35</v>
      </c>
      <c r="AH79">
        <v>10</v>
      </c>
      <c r="AI79">
        <v>12</v>
      </c>
      <c r="AJ79">
        <v>1</v>
      </c>
      <c r="AK79">
        <v>8</v>
      </c>
      <c r="AL79" t="s">
        <v>1270</v>
      </c>
      <c r="AM79" t="s">
        <v>209</v>
      </c>
      <c r="AN79" t="s">
        <v>1682</v>
      </c>
      <c r="AO79" t="s">
        <v>1683</v>
      </c>
      <c r="AP79" t="s">
        <v>1684</v>
      </c>
      <c r="AQ79" t="s">
        <v>74</v>
      </c>
      <c r="AR79" t="s">
        <v>1685</v>
      </c>
      <c r="AS79" t="s">
        <v>1686</v>
      </c>
      <c r="AT79" t="s">
        <v>1237</v>
      </c>
      <c r="AU79">
        <v>2017</v>
      </c>
      <c r="AV79">
        <v>29</v>
      </c>
      <c r="AW79">
        <v>5</v>
      </c>
      <c r="AX79" t="s">
        <v>74</v>
      </c>
      <c r="AY79" t="s">
        <v>74</v>
      </c>
      <c r="AZ79" t="s">
        <v>74</v>
      </c>
      <c r="BA79" t="s">
        <v>74</v>
      </c>
      <c r="BB79">
        <v>457</v>
      </c>
      <c r="BC79">
        <v>467</v>
      </c>
      <c r="BD79" t="s">
        <v>74</v>
      </c>
      <c r="BE79" t="s">
        <v>1775</v>
      </c>
      <c r="BF79" t="str">
        <f>HYPERLINK("http://dx.doi.org/10.1017/S0954102017000062","http://dx.doi.org/10.1017/S0954102017000062")</f>
        <v>http://dx.doi.org/10.1017/S0954102017000062</v>
      </c>
      <c r="BG79" t="s">
        <v>74</v>
      </c>
      <c r="BH79" t="s">
        <v>74</v>
      </c>
      <c r="BI79">
        <v>11</v>
      </c>
      <c r="BJ79" t="s">
        <v>1688</v>
      </c>
      <c r="BK79" t="s">
        <v>101</v>
      </c>
      <c r="BL79" t="s">
        <v>1689</v>
      </c>
      <c r="BM79" t="s">
        <v>1690</v>
      </c>
      <c r="BN79" t="s">
        <v>74</v>
      </c>
      <c r="BO79" t="s">
        <v>164</v>
      </c>
      <c r="BP79" t="s">
        <v>74</v>
      </c>
      <c r="BQ79" t="s">
        <v>74</v>
      </c>
      <c r="BR79" t="s">
        <v>105</v>
      </c>
      <c r="BS79" t="s">
        <v>1776</v>
      </c>
      <c r="BT79" t="str">
        <f>HYPERLINK("https%3A%2F%2Fwww.webofscience.com%2Fwos%2Fwoscc%2Ffull-record%2FWOS:000412678800008","View Full Record in Web of Science")</f>
        <v>View Full Record in Web of Science</v>
      </c>
    </row>
    <row r="80" spans="1:72" x14ac:dyDescent="0.15">
      <c r="A80" t="s">
        <v>72</v>
      </c>
      <c r="B80" t="s">
        <v>1777</v>
      </c>
      <c r="C80" t="s">
        <v>74</v>
      </c>
      <c r="D80" t="s">
        <v>74</v>
      </c>
      <c r="E80" t="s">
        <v>74</v>
      </c>
      <c r="F80" t="s">
        <v>1778</v>
      </c>
      <c r="G80" t="s">
        <v>74</v>
      </c>
      <c r="H80" t="s">
        <v>74</v>
      </c>
      <c r="I80" t="s">
        <v>1779</v>
      </c>
      <c r="J80" t="s">
        <v>1670</v>
      </c>
      <c r="K80" t="s">
        <v>74</v>
      </c>
      <c r="L80" t="s">
        <v>74</v>
      </c>
      <c r="M80" t="s">
        <v>78</v>
      </c>
      <c r="N80" t="s">
        <v>79</v>
      </c>
      <c r="O80" t="s">
        <v>74</v>
      </c>
      <c r="P80" t="s">
        <v>74</v>
      </c>
      <c r="Q80" t="s">
        <v>74</v>
      </c>
      <c r="R80" t="s">
        <v>74</v>
      </c>
      <c r="S80" t="s">
        <v>74</v>
      </c>
      <c r="T80" t="s">
        <v>1780</v>
      </c>
      <c r="U80" t="s">
        <v>1781</v>
      </c>
      <c r="V80" t="s">
        <v>1782</v>
      </c>
      <c r="W80" t="s">
        <v>1783</v>
      </c>
      <c r="X80" t="s">
        <v>1784</v>
      </c>
      <c r="Y80" t="s">
        <v>1785</v>
      </c>
      <c r="Z80" t="s">
        <v>1786</v>
      </c>
      <c r="AA80" t="s">
        <v>1787</v>
      </c>
      <c r="AB80" t="s">
        <v>1788</v>
      </c>
      <c r="AC80" t="s">
        <v>1789</v>
      </c>
      <c r="AD80" t="s">
        <v>1790</v>
      </c>
      <c r="AE80" t="s">
        <v>1791</v>
      </c>
      <c r="AF80" t="s">
        <v>74</v>
      </c>
      <c r="AG80">
        <v>40</v>
      </c>
      <c r="AH80">
        <v>16</v>
      </c>
      <c r="AI80">
        <v>17</v>
      </c>
      <c r="AJ80">
        <v>0</v>
      </c>
      <c r="AK80">
        <v>5</v>
      </c>
      <c r="AL80" t="s">
        <v>1270</v>
      </c>
      <c r="AM80" t="s">
        <v>209</v>
      </c>
      <c r="AN80" t="s">
        <v>1682</v>
      </c>
      <c r="AO80" t="s">
        <v>1683</v>
      </c>
      <c r="AP80" t="s">
        <v>1684</v>
      </c>
      <c r="AQ80" t="s">
        <v>74</v>
      </c>
      <c r="AR80" t="s">
        <v>1685</v>
      </c>
      <c r="AS80" t="s">
        <v>1686</v>
      </c>
      <c r="AT80" t="s">
        <v>1237</v>
      </c>
      <c r="AU80">
        <v>2017</v>
      </c>
      <c r="AV80">
        <v>29</v>
      </c>
      <c r="AW80">
        <v>5</v>
      </c>
      <c r="AX80" t="s">
        <v>74</v>
      </c>
      <c r="AY80" t="s">
        <v>74</v>
      </c>
      <c r="AZ80" t="s">
        <v>74</v>
      </c>
      <c r="BA80" t="s">
        <v>74</v>
      </c>
      <c r="BB80">
        <v>468</v>
      </c>
      <c r="BC80">
        <v>483</v>
      </c>
      <c r="BD80" t="s">
        <v>74</v>
      </c>
      <c r="BE80" t="s">
        <v>1792</v>
      </c>
      <c r="BF80" t="str">
        <f>HYPERLINK("http://dx.doi.org/10.1017/S0954102017000074","http://dx.doi.org/10.1017/S0954102017000074")</f>
        <v>http://dx.doi.org/10.1017/S0954102017000074</v>
      </c>
      <c r="BG80" t="s">
        <v>74</v>
      </c>
      <c r="BH80" t="s">
        <v>74</v>
      </c>
      <c r="BI80">
        <v>16</v>
      </c>
      <c r="BJ80" t="s">
        <v>1688</v>
      </c>
      <c r="BK80" t="s">
        <v>101</v>
      </c>
      <c r="BL80" t="s">
        <v>1689</v>
      </c>
      <c r="BM80" t="s">
        <v>1690</v>
      </c>
      <c r="BN80" t="s">
        <v>74</v>
      </c>
      <c r="BO80" t="s">
        <v>1793</v>
      </c>
      <c r="BP80" t="s">
        <v>74</v>
      </c>
      <c r="BQ80" t="s">
        <v>74</v>
      </c>
      <c r="BR80" t="s">
        <v>105</v>
      </c>
      <c r="BS80" t="s">
        <v>1794</v>
      </c>
      <c r="BT80" t="str">
        <f>HYPERLINK("https%3A%2F%2Fwww.webofscience.com%2Fwos%2Fwoscc%2Ffull-record%2FWOS:000412678800009","View Full Record in Web of Science")</f>
        <v>View Full Record in Web of Science</v>
      </c>
    </row>
    <row r="81" spans="1:72" x14ac:dyDescent="0.15">
      <c r="A81" t="s">
        <v>72</v>
      </c>
      <c r="B81" t="s">
        <v>1795</v>
      </c>
      <c r="C81" t="s">
        <v>74</v>
      </c>
      <c r="D81" t="s">
        <v>74</v>
      </c>
      <c r="E81" t="s">
        <v>74</v>
      </c>
      <c r="F81" t="s">
        <v>1796</v>
      </c>
      <c r="G81" t="s">
        <v>74</v>
      </c>
      <c r="H81" t="s">
        <v>74</v>
      </c>
      <c r="I81" t="s">
        <v>1797</v>
      </c>
      <c r="J81" t="s">
        <v>1798</v>
      </c>
      <c r="K81" t="s">
        <v>74</v>
      </c>
      <c r="L81" t="s">
        <v>74</v>
      </c>
      <c r="M81" t="s">
        <v>78</v>
      </c>
      <c r="N81" t="s">
        <v>79</v>
      </c>
      <c r="O81" t="s">
        <v>74</v>
      </c>
      <c r="P81" t="s">
        <v>74</v>
      </c>
      <c r="Q81" t="s">
        <v>74</v>
      </c>
      <c r="R81" t="s">
        <v>74</v>
      </c>
      <c r="S81" t="s">
        <v>74</v>
      </c>
      <c r="T81" t="s">
        <v>1799</v>
      </c>
      <c r="U81" t="s">
        <v>1800</v>
      </c>
      <c r="V81" t="s">
        <v>1801</v>
      </c>
      <c r="W81" t="s">
        <v>1802</v>
      </c>
      <c r="X81" t="s">
        <v>1803</v>
      </c>
      <c r="Y81" t="s">
        <v>1804</v>
      </c>
      <c r="Z81" t="s">
        <v>1805</v>
      </c>
      <c r="AA81" t="s">
        <v>74</v>
      </c>
      <c r="AB81" t="s">
        <v>1806</v>
      </c>
      <c r="AC81" t="s">
        <v>1807</v>
      </c>
      <c r="AD81" t="s">
        <v>74</v>
      </c>
      <c r="AE81" t="s">
        <v>1808</v>
      </c>
      <c r="AF81" t="s">
        <v>74</v>
      </c>
      <c r="AG81">
        <v>25</v>
      </c>
      <c r="AH81">
        <v>9</v>
      </c>
      <c r="AI81">
        <v>10</v>
      </c>
      <c r="AJ81">
        <v>0</v>
      </c>
      <c r="AK81">
        <v>18</v>
      </c>
      <c r="AL81" t="s">
        <v>1809</v>
      </c>
      <c r="AM81" t="s">
        <v>182</v>
      </c>
      <c r="AN81" t="s">
        <v>1810</v>
      </c>
      <c r="AO81" t="s">
        <v>1811</v>
      </c>
      <c r="AP81" t="s">
        <v>1812</v>
      </c>
      <c r="AQ81" t="s">
        <v>74</v>
      </c>
      <c r="AR81" t="s">
        <v>1813</v>
      </c>
      <c r="AS81" t="s">
        <v>1814</v>
      </c>
      <c r="AT81" t="s">
        <v>1815</v>
      </c>
      <c r="AU81">
        <v>2017</v>
      </c>
      <c r="AV81">
        <v>13</v>
      </c>
      <c r="AW81">
        <v>10</v>
      </c>
      <c r="AX81" t="s">
        <v>74</v>
      </c>
      <c r="AY81" t="s">
        <v>74</v>
      </c>
      <c r="AZ81" t="s">
        <v>74</v>
      </c>
      <c r="BA81" t="s">
        <v>74</v>
      </c>
      <c r="BB81" t="s">
        <v>74</v>
      </c>
      <c r="BC81" t="s">
        <v>74</v>
      </c>
      <c r="BD81">
        <v>20170489</v>
      </c>
      <c r="BE81" t="s">
        <v>1816</v>
      </c>
      <c r="BF81" t="str">
        <f>HYPERLINK("http://dx.doi.org/10.1098/rsbl.2017.0489","http://dx.doi.org/10.1098/rsbl.2017.0489")</f>
        <v>http://dx.doi.org/10.1098/rsbl.2017.0489</v>
      </c>
      <c r="BG81" t="s">
        <v>74</v>
      </c>
      <c r="BH81" t="s">
        <v>74</v>
      </c>
      <c r="BI81">
        <v>4</v>
      </c>
      <c r="BJ81" t="s">
        <v>1817</v>
      </c>
      <c r="BK81" t="s">
        <v>101</v>
      </c>
      <c r="BL81" t="s">
        <v>1818</v>
      </c>
      <c r="BM81" t="s">
        <v>1819</v>
      </c>
      <c r="BN81">
        <v>29021317</v>
      </c>
      <c r="BO81" t="s">
        <v>1170</v>
      </c>
      <c r="BP81" t="s">
        <v>74</v>
      </c>
      <c r="BQ81" t="s">
        <v>74</v>
      </c>
      <c r="BR81" t="s">
        <v>105</v>
      </c>
      <c r="BS81" t="s">
        <v>1820</v>
      </c>
      <c r="BT81" t="str">
        <f>HYPERLINK("https%3A%2F%2Fwww.webofscience.com%2Fwos%2Fwoscc%2Ffull-record%2FWOS:000413909700010","View Full Record in Web of Science")</f>
        <v>View Full Record in Web of Science</v>
      </c>
    </row>
    <row r="82" spans="1:72" x14ac:dyDescent="0.15">
      <c r="A82" t="s">
        <v>72</v>
      </c>
      <c r="B82" t="s">
        <v>1821</v>
      </c>
      <c r="C82" t="s">
        <v>74</v>
      </c>
      <c r="D82" t="s">
        <v>74</v>
      </c>
      <c r="E82" t="s">
        <v>74</v>
      </c>
      <c r="F82" t="s">
        <v>1822</v>
      </c>
      <c r="G82" t="s">
        <v>74</v>
      </c>
      <c r="H82" t="s">
        <v>74</v>
      </c>
      <c r="I82" t="s">
        <v>1823</v>
      </c>
      <c r="J82" t="s">
        <v>1824</v>
      </c>
      <c r="K82" t="s">
        <v>74</v>
      </c>
      <c r="L82" t="s">
        <v>74</v>
      </c>
      <c r="M82" t="s">
        <v>78</v>
      </c>
      <c r="N82" t="s">
        <v>79</v>
      </c>
      <c r="O82" t="s">
        <v>74</v>
      </c>
      <c r="P82" t="s">
        <v>74</v>
      </c>
      <c r="Q82" t="s">
        <v>74</v>
      </c>
      <c r="R82" t="s">
        <v>74</v>
      </c>
      <c r="S82" t="s">
        <v>74</v>
      </c>
      <c r="T82" t="s">
        <v>74</v>
      </c>
      <c r="U82" t="s">
        <v>1825</v>
      </c>
      <c r="V82" t="s">
        <v>1826</v>
      </c>
      <c r="W82" t="s">
        <v>1827</v>
      </c>
      <c r="X82" t="s">
        <v>1828</v>
      </c>
      <c r="Y82" t="s">
        <v>1829</v>
      </c>
      <c r="Z82" t="s">
        <v>1830</v>
      </c>
      <c r="AA82" t="s">
        <v>74</v>
      </c>
      <c r="AB82" t="s">
        <v>1831</v>
      </c>
      <c r="AC82" t="s">
        <v>1832</v>
      </c>
      <c r="AD82" t="s">
        <v>1833</v>
      </c>
      <c r="AE82" t="s">
        <v>1834</v>
      </c>
      <c r="AF82" t="s">
        <v>74</v>
      </c>
      <c r="AG82">
        <v>103</v>
      </c>
      <c r="AH82">
        <v>16</v>
      </c>
      <c r="AI82">
        <v>16</v>
      </c>
      <c r="AJ82">
        <v>0</v>
      </c>
      <c r="AK82">
        <v>11</v>
      </c>
      <c r="AL82" t="s">
        <v>1338</v>
      </c>
      <c r="AM82" t="s">
        <v>1339</v>
      </c>
      <c r="AN82" t="s">
        <v>1340</v>
      </c>
      <c r="AO82" t="s">
        <v>1835</v>
      </c>
      <c r="AP82" t="s">
        <v>1836</v>
      </c>
      <c r="AQ82" t="s">
        <v>74</v>
      </c>
      <c r="AR82" t="s">
        <v>1824</v>
      </c>
      <c r="AS82" t="s">
        <v>1837</v>
      </c>
      <c r="AT82" t="s">
        <v>1237</v>
      </c>
      <c r="AU82">
        <v>2017</v>
      </c>
      <c r="AV82">
        <v>46</v>
      </c>
      <c r="AW82">
        <v>4</v>
      </c>
      <c r="AX82" t="s">
        <v>74</v>
      </c>
      <c r="AY82" t="s">
        <v>74</v>
      </c>
      <c r="AZ82" t="s">
        <v>1188</v>
      </c>
      <c r="BA82" t="s">
        <v>74</v>
      </c>
      <c r="BB82">
        <v>750</v>
      </c>
      <c r="BC82">
        <v>771</v>
      </c>
      <c r="BD82" t="s">
        <v>74</v>
      </c>
      <c r="BE82" t="s">
        <v>1838</v>
      </c>
      <c r="BF82" t="str">
        <f>HYPERLINK("http://dx.doi.org/10.1111/bor.12248","http://dx.doi.org/10.1111/bor.12248")</f>
        <v>http://dx.doi.org/10.1111/bor.12248</v>
      </c>
      <c r="BG82" t="s">
        <v>74</v>
      </c>
      <c r="BH82" t="s">
        <v>74</v>
      </c>
      <c r="BI82">
        <v>22</v>
      </c>
      <c r="BJ82" t="s">
        <v>319</v>
      </c>
      <c r="BK82" t="s">
        <v>101</v>
      </c>
      <c r="BL82" t="s">
        <v>320</v>
      </c>
      <c r="BM82" t="s">
        <v>1839</v>
      </c>
      <c r="BN82" t="s">
        <v>74</v>
      </c>
      <c r="BO82" t="s">
        <v>74</v>
      </c>
      <c r="BP82" t="s">
        <v>74</v>
      </c>
      <c r="BQ82" t="s">
        <v>74</v>
      </c>
      <c r="BR82" t="s">
        <v>105</v>
      </c>
      <c r="BS82" t="s">
        <v>1840</v>
      </c>
      <c r="BT82" t="str">
        <f>HYPERLINK("https%3A%2F%2Fwww.webofscience.com%2Fwos%2Fwoscc%2Ffull-record%2FWOS:000412097800011","View Full Record in Web of Science")</f>
        <v>View Full Record in Web of Science</v>
      </c>
    </row>
    <row r="83" spans="1:72" x14ac:dyDescent="0.15">
      <c r="A83" t="s">
        <v>72</v>
      </c>
      <c r="B83" t="s">
        <v>1841</v>
      </c>
      <c r="C83" t="s">
        <v>74</v>
      </c>
      <c r="D83" t="s">
        <v>74</v>
      </c>
      <c r="E83" t="s">
        <v>74</v>
      </c>
      <c r="F83" t="s">
        <v>1842</v>
      </c>
      <c r="G83" t="s">
        <v>74</v>
      </c>
      <c r="H83" t="s">
        <v>74</v>
      </c>
      <c r="I83" t="s">
        <v>1843</v>
      </c>
      <c r="J83" t="s">
        <v>1844</v>
      </c>
      <c r="K83" t="s">
        <v>74</v>
      </c>
      <c r="L83" t="s">
        <v>74</v>
      </c>
      <c r="M83" t="s">
        <v>78</v>
      </c>
      <c r="N83" t="s">
        <v>79</v>
      </c>
      <c r="O83" t="s">
        <v>74</v>
      </c>
      <c r="P83" t="s">
        <v>74</v>
      </c>
      <c r="Q83" t="s">
        <v>74</v>
      </c>
      <c r="R83" t="s">
        <v>74</v>
      </c>
      <c r="S83" t="s">
        <v>74</v>
      </c>
      <c r="T83" t="s">
        <v>74</v>
      </c>
      <c r="U83" t="s">
        <v>1845</v>
      </c>
      <c r="V83" t="s">
        <v>1846</v>
      </c>
      <c r="W83" t="s">
        <v>1847</v>
      </c>
      <c r="X83" t="s">
        <v>1848</v>
      </c>
      <c r="Y83" t="s">
        <v>590</v>
      </c>
      <c r="Z83" t="s">
        <v>591</v>
      </c>
      <c r="AA83" t="s">
        <v>1849</v>
      </c>
      <c r="AB83" t="s">
        <v>1850</v>
      </c>
      <c r="AC83" t="s">
        <v>1851</v>
      </c>
      <c r="AD83" t="s">
        <v>1595</v>
      </c>
      <c r="AE83" t="s">
        <v>1852</v>
      </c>
      <c r="AF83" t="s">
        <v>74</v>
      </c>
      <c r="AG83">
        <v>28</v>
      </c>
      <c r="AH83">
        <v>8</v>
      </c>
      <c r="AI83">
        <v>8</v>
      </c>
      <c r="AJ83">
        <v>1</v>
      </c>
      <c r="AK83">
        <v>7</v>
      </c>
      <c r="AL83" t="s">
        <v>1366</v>
      </c>
      <c r="AM83" t="s">
        <v>1367</v>
      </c>
      <c r="AN83" t="s">
        <v>1368</v>
      </c>
      <c r="AO83" t="s">
        <v>1853</v>
      </c>
      <c r="AP83" t="s">
        <v>1854</v>
      </c>
      <c r="AQ83" t="s">
        <v>74</v>
      </c>
      <c r="AR83" t="s">
        <v>1855</v>
      </c>
      <c r="AS83" t="s">
        <v>1856</v>
      </c>
      <c r="AT83" t="s">
        <v>1237</v>
      </c>
      <c r="AU83">
        <v>2017</v>
      </c>
      <c r="AV83">
        <v>98</v>
      </c>
      <c r="AW83">
        <v>10</v>
      </c>
      <c r="AX83" t="s">
        <v>74</v>
      </c>
      <c r="AY83" t="s">
        <v>74</v>
      </c>
      <c r="AZ83" t="s">
        <v>74</v>
      </c>
      <c r="BA83" t="s">
        <v>74</v>
      </c>
      <c r="BB83">
        <v>2189</v>
      </c>
      <c r="BC83">
        <v>2200</v>
      </c>
      <c r="BD83" t="s">
        <v>74</v>
      </c>
      <c r="BE83" t="s">
        <v>1857</v>
      </c>
      <c r="BF83" t="str">
        <f>HYPERLINK("http://dx.doi.org/10.1175/BAMS-D-17-0013.1","http://dx.doi.org/10.1175/BAMS-D-17-0013.1")</f>
        <v>http://dx.doi.org/10.1175/BAMS-D-17-0013.1</v>
      </c>
      <c r="BG83" t="s">
        <v>74</v>
      </c>
      <c r="BH83" t="s">
        <v>74</v>
      </c>
      <c r="BI83">
        <v>12</v>
      </c>
      <c r="BJ83" t="s">
        <v>162</v>
      </c>
      <c r="BK83" t="s">
        <v>101</v>
      </c>
      <c r="BL83" t="s">
        <v>162</v>
      </c>
      <c r="BM83" t="s">
        <v>1858</v>
      </c>
      <c r="BN83" t="s">
        <v>74</v>
      </c>
      <c r="BO83" t="s">
        <v>633</v>
      </c>
      <c r="BP83" t="s">
        <v>74</v>
      </c>
      <c r="BQ83" t="s">
        <v>74</v>
      </c>
      <c r="BR83" t="s">
        <v>105</v>
      </c>
      <c r="BS83" t="s">
        <v>1859</v>
      </c>
      <c r="BT83" t="str">
        <f>HYPERLINK("https%3A%2F%2Fwww.webofscience.com%2Fwos%2Fwoscc%2Ffull-record%2FWOS:000414026400013","View Full Record in Web of Science")</f>
        <v>View Full Record in Web of Science</v>
      </c>
    </row>
    <row r="84" spans="1:72" x14ac:dyDescent="0.15">
      <c r="A84" t="s">
        <v>72</v>
      </c>
      <c r="B84" t="s">
        <v>1860</v>
      </c>
      <c r="C84" t="s">
        <v>74</v>
      </c>
      <c r="D84" t="s">
        <v>74</v>
      </c>
      <c r="E84" t="s">
        <v>74</v>
      </c>
      <c r="F84" t="s">
        <v>1861</v>
      </c>
      <c r="G84" t="s">
        <v>74</v>
      </c>
      <c r="H84" t="s">
        <v>74</v>
      </c>
      <c r="I84" t="s">
        <v>1862</v>
      </c>
      <c r="J84" t="s">
        <v>1863</v>
      </c>
      <c r="K84" t="s">
        <v>74</v>
      </c>
      <c r="L84" t="s">
        <v>74</v>
      </c>
      <c r="M84" t="s">
        <v>78</v>
      </c>
      <c r="N84" t="s">
        <v>79</v>
      </c>
      <c r="O84" t="s">
        <v>74</v>
      </c>
      <c r="P84" t="s">
        <v>74</v>
      </c>
      <c r="Q84" t="s">
        <v>74</v>
      </c>
      <c r="R84" t="s">
        <v>74</v>
      </c>
      <c r="S84" t="s">
        <v>74</v>
      </c>
      <c r="T84" t="s">
        <v>1864</v>
      </c>
      <c r="U84" t="s">
        <v>1865</v>
      </c>
      <c r="V84" t="s">
        <v>1866</v>
      </c>
      <c r="W84" t="s">
        <v>1867</v>
      </c>
      <c r="X84" t="s">
        <v>1868</v>
      </c>
      <c r="Y84" t="s">
        <v>1869</v>
      </c>
      <c r="Z84" t="s">
        <v>1870</v>
      </c>
      <c r="AA84" t="s">
        <v>1871</v>
      </c>
      <c r="AB84" t="s">
        <v>1872</v>
      </c>
      <c r="AC84" t="s">
        <v>74</v>
      </c>
      <c r="AD84" t="s">
        <v>74</v>
      </c>
      <c r="AE84" t="s">
        <v>74</v>
      </c>
      <c r="AF84" t="s">
        <v>74</v>
      </c>
      <c r="AG84">
        <v>31</v>
      </c>
      <c r="AH84">
        <v>6</v>
      </c>
      <c r="AI84">
        <v>6</v>
      </c>
      <c r="AJ84">
        <v>0</v>
      </c>
      <c r="AK84">
        <v>9</v>
      </c>
      <c r="AL84" t="s">
        <v>1873</v>
      </c>
      <c r="AM84" t="s">
        <v>423</v>
      </c>
      <c r="AN84" t="s">
        <v>1874</v>
      </c>
      <c r="AO84" t="s">
        <v>1875</v>
      </c>
      <c r="AP84" t="s">
        <v>1876</v>
      </c>
      <c r="AQ84" t="s">
        <v>74</v>
      </c>
      <c r="AR84" t="s">
        <v>1877</v>
      </c>
      <c r="AS84" t="s">
        <v>1878</v>
      </c>
      <c r="AT84" t="s">
        <v>1237</v>
      </c>
      <c r="AU84">
        <v>2017</v>
      </c>
      <c r="AV84">
        <v>38</v>
      </c>
      <c r="AW84">
        <v>4</v>
      </c>
      <c r="AX84" t="s">
        <v>74</v>
      </c>
      <c r="AY84" t="s">
        <v>74</v>
      </c>
      <c r="AZ84" t="s">
        <v>74</v>
      </c>
      <c r="BA84" t="s">
        <v>74</v>
      </c>
      <c r="BB84">
        <v>383</v>
      </c>
      <c r="BC84">
        <v>392</v>
      </c>
      <c r="BD84" t="s">
        <v>74</v>
      </c>
      <c r="BE84" t="s">
        <v>1879</v>
      </c>
      <c r="BF84" t="str">
        <f>HYPERLINK("http://dx.doi.org/10.7872/cryb/v38.iss4.2017.383","http://dx.doi.org/10.7872/cryb/v38.iss4.2017.383")</f>
        <v>http://dx.doi.org/10.7872/cryb/v38.iss4.2017.383</v>
      </c>
      <c r="BG84" t="s">
        <v>74</v>
      </c>
      <c r="BH84" t="s">
        <v>74</v>
      </c>
      <c r="BI84">
        <v>10</v>
      </c>
      <c r="BJ84" t="s">
        <v>811</v>
      </c>
      <c r="BK84" t="s">
        <v>101</v>
      </c>
      <c r="BL84" t="s">
        <v>811</v>
      </c>
      <c r="BM84" t="s">
        <v>1880</v>
      </c>
      <c r="BN84" t="s">
        <v>74</v>
      </c>
      <c r="BO84" t="s">
        <v>74</v>
      </c>
      <c r="BP84" t="s">
        <v>74</v>
      </c>
      <c r="BQ84" t="s">
        <v>74</v>
      </c>
      <c r="BR84" t="s">
        <v>105</v>
      </c>
      <c r="BS84" t="s">
        <v>1881</v>
      </c>
      <c r="BT84" t="str">
        <f>HYPERLINK("https%3A%2F%2Fwww.webofscience.com%2Fwos%2Fwoscc%2Ffull-record%2FWOS:000413452900004","View Full Record in Web of Science")</f>
        <v>View Full Record in Web of Science</v>
      </c>
    </row>
    <row r="85" spans="1:72" x14ac:dyDescent="0.15">
      <c r="A85" t="s">
        <v>72</v>
      </c>
      <c r="B85" t="s">
        <v>1882</v>
      </c>
      <c r="C85" t="s">
        <v>74</v>
      </c>
      <c r="D85" t="s">
        <v>74</v>
      </c>
      <c r="E85" t="s">
        <v>74</v>
      </c>
      <c r="F85" t="s">
        <v>1883</v>
      </c>
      <c r="G85" t="s">
        <v>74</v>
      </c>
      <c r="H85" t="s">
        <v>74</v>
      </c>
      <c r="I85" t="s">
        <v>1884</v>
      </c>
      <c r="J85" t="s">
        <v>1885</v>
      </c>
      <c r="K85" t="s">
        <v>74</v>
      </c>
      <c r="L85" t="s">
        <v>74</v>
      </c>
      <c r="M85" t="s">
        <v>78</v>
      </c>
      <c r="N85" t="s">
        <v>79</v>
      </c>
      <c r="O85" t="s">
        <v>74</v>
      </c>
      <c r="P85" t="s">
        <v>74</v>
      </c>
      <c r="Q85" t="s">
        <v>74</v>
      </c>
      <c r="R85" t="s">
        <v>74</v>
      </c>
      <c r="S85" t="s">
        <v>74</v>
      </c>
      <c r="T85" t="s">
        <v>74</v>
      </c>
      <c r="U85" t="s">
        <v>1886</v>
      </c>
      <c r="V85" t="s">
        <v>1887</v>
      </c>
      <c r="W85" t="s">
        <v>1888</v>
      </c>
      <c r="X85" t="s">
        <v>1889</v>
      </c>
      <c r="Y85" t="s">
        <v>1890</v>
      </c>
      <c r="Z85" t="s">
        <v>1891</v>
      </c>
      <c r="AA85" t="s">
        <v>1892</v>
      </c>
      <c r="AB85" t="s">
        <v>1893</v>
      </c>
      <c r="AC85" t="s">
        <v>1894</v>
      </c>
      <c r="AD85" t="s">
        <v>1895</v>
      </c>
      <c r="AE85" t="s">
        <v>1896</v>
      </c>
      <c r="AF85" t="s">
        <v>74</v>
      </c>
      <c r="AG85">
        <v>24</v>
      </c>
      <c r="AH85">
        <v>54</v>
      </c>
      <c r="AI85">
        <v>58</v>
      </c>
      <c r="AJ85">
        <v>2</v>
      </c>
      <c r="AK85">
        <v>34</v>
      </c>
      <c r="AL85" t="s">
        <v>1338</v>
      </c>
      <c r="AM85" t="s">
        <v>1339</v>
      </c>
      <c r="AN85" t="s">
        <v>1340</v>
      </c>
      <c r="AO85" t="s">
        <v>1897</v>
      </c>
      <c r="AP85" t="s">
        <v>1898</v>
      </c>
      <c r="AQ85" t="s">
        <v>74</v>
      </c>
      <c r="AR85" t="s">
        <v>1899</v>
      </c>
      <c r="AS85" t="s">
        <v>1900</v>
      </c>
      <c r="AT85" t="s">
        <v>1237</v>
      </c>
      <c r="AU85">
        <v>2017</v>
      </c>
      <c r="AV85">
        <v>15</v>
      </c>
      <c r="AW85">
        <v>8</v>
      </c>
      <c r="AX85" t="s">
        <v>74</v>
      </c>
      <c r="AY85" t="s">
        <v>74</v>
      </c>
      <c r="AZ85" t="s">
        <v>74</v>
      </c>
      <c r="BA85" t="s">
        <v>74</v>
      </c>
      <c r="BB85">
        <v>437</v>
      </c>
      <c r="BC85">
        <v>441</v>
      </c>
      <c r="BD85" t="s">
        <v>74</v>
      </c>
      <c r="BE85" t="s">
        <v>1901</v>
      </c>
      <c r="BF85" t="str">
        <f>HYPERLINK("http://dx.doi.org/10.1002/fee.1529","http://dx.doi.org/10.1002/fee.1529")</f>
        <v>http://dx.doi.org/10.1002/fee.1529</v>
      </c>
      <c r="BG85" t="s">
        <v>74</v>
      </c>
      <c r="BH85" t="s">
        <v>74</v>
      </c>
      <c r="BI85">
        <v>5</v>
      </c>
      <c r="BJ85" t="s">
        <v>1902</v>
      </c>
      <c r="BK85" t="s">
        <v>101</v>
      </c>
      <c r="BL85" t="s">
        <v>1048</v>
      </c>
      <c r="BM85" t="s">
        <v>1903</v>
      </c>
      <c r="BN85" t="s">
        <v>74</v>
      </c>
      <c r="BO85" t="s">
        <v>74</v>
      </c>
      <c r="BP85" t="s">
        <v>74</v>
      </c>
      <c r="BQ85" t="s">
        <v>74</v>
      </c>
      <c r="BR85" t="s">
        <v>105</v>
      </c>
      <c r="BS85" t="s">
        <v>1904</v>
      </c>
      <c r="BT85" t="str">
        <f>HYPERLINK("https%3A%2F%2Fwww.webofscience.com%2Fwos%2Fwoscc%2Ffull-record%2FWOS:000412134100017","View Full Record in Web of Science")</f>
        <v>View Full Record in Web of Science</v>
      </c>
    </row>
    <row r="86" spans="1:72" x14ac:dyDescent="0.15">
      <c r="A86" t="s">
        <v>72</v>
      </c>
      <c r="B86" t="s">
        <v>1905</v>
      </c>
      <c r="C86" t="s">
        <v>74</v>
      </c>
      <c r="D86" t="s">
        <v>74</v>
      </c>
      <c r="E86" t="s">
        <v>74</v>
      </c>
      <c r="F86" t="s">
        <v>1906</v>
      </c>
      <c r="G86" t="s">
        <v>74</v>
      </c>
      <c r="H86" t="s">
        <v>74</v>
      </c>
      <c r="I86" t="s">
        <v>1907</v>
      </c>
      <c r="J86" t="s">
        <v>1908</v>
      </c>
      <c r="K86" t="s">
        <v>74</v>
      </c>
      <c r="L86" t="s">
        <v>74</v>
      </c>
      <c r="M86" t="s">
        <v>78</v>
      </c>
      <c r="N86" t="s">
        <v>79</v>
      </c>
      <c r="O86" t="s">
        <v>74</v>
      </c>
      <c r="P86" t="s">
        <v>74</v>
      </c>
      <c r="Q86" t="s">
        <v>74</v>
      </c>
      <c r="R86" t="s">
        <v>74</v>
      </c>
      <c r="S86" t="s">
        <v>74</v>
      </c>
      <c r="T86" t="s">
        <v>1909</v>
      </c>
      <c r="U86" t="s">
        <v>1910</v>
      </c>
      <c r="V86" t="s">
        <v>1911</v>
      </c>
      <c r="W86" t="s">
        <v>1912</v>
      </c>
      <c r="X86" t="s">
        <v>1913</v>
      </c>
      <c r="Y86" t="s">
        <v>1914</v>
      </c>
      <c r="Z86" t="s">
        <v>1915</v>
      </c>
      <c r="AA86" t="s">
        <v>1916</v>
      </c>
      <c r="AB86" t="s">
        <v>74</v>
      </c>
      <c r="AC86" t="s">
        <v>1917</v>
      </c>
      <c r="AD86" t="s">
        <v>1918</v>
      </c>
      <c r="AE86" t="s">
        <v>1919</v>
      </c>
      <c r="AF86" t="s">
        <v>74</v>
      </c>
      <c r="AG86">
        <v>99</v>
      </c>
      <c r="AH86">
        <v>10</v>
      </c>
      <c r="AI86">
        <v>11</v>
      </c>
      <c r="AJ86">
        <v>0</v>
      </c>
      <c r="AK86">
        <v>11</v>
      </c>
      <c r="AL86" t="s">
        <v>371</v>
      </c>
      <c r="AM86" t="s">
        <v>372</v>
      </c>
      <c r="AN86" t="s">
        <v>373</v>
      </c>
      <c r="AO86" t="s">
        <v>1920</v>
      </c>
      <c r="AP86" t="s">
        <v>1921</v>
      </c>
      <c r="AQ86" t="s">
        <v>74</v>
      </c>
      <c r="AR86" t="s">
        <v>1922</v>
      </c>
      <c r="AS86" t="s">
        <v>1923</v>
      </c>
      <c r="AT86" t="s">
        <v>1237</v>
      </c>
      <c r="AU86">
        <v>2017</v>
      </c>
      <c r="AV86">
        <v>157</v>
      </c>
      <c r="AW86" t="s">
        <v>74</v>
      </c>
      <c r="AX86" t="s">
        <v>74</v>
      </c>
      <c r="AY86" t="s">
        <v>74</v>
      </c>
      <c r="AZ86" t="s">
        <v>74</v>
      </c>
      <c r="BA86" t="s">
        <v>74</v>
      </c>
      <c r="BB86">
        <v>232</v>
      </c>
      <c r="BC86">
        <v>243</v>
      </c>
      <c r="BD86" t="s">
        <v>74</v>
      </c>
      <c r="BE86" t="s">
        <v>1924</v>
      </c>
      <c r="BF86" t="str">
        <f>HYPERLINK("http://dx.doi.org/10.1016/j.gloplacha.2017.09.005","http://dx.doi.org/10.1016/j.gloplacha.2017.09.005")</f>
        <v>http://dx.doi.org/10.1016/j.gloplacha.2017.09.005</v>
      </c>
      <c r="BG86" t="s">
        <v>74</v>
      </c>
      <c r="BH86" t="s">
        <v>74</v>
      </c>
      <c r="BI86">
        <v>12</v>
      </c>
      <c r="BJ86" t="s">
        <v>319</v>
      </c>
      <c r="BK86" t="s">
        <v>101</v>
      </c>
      <c r="BL86" t="s">
        <v>320</v>
      </c>
      <c r="BM86" t="s">
        <v>1925</v>
      </c>
      <c r="BN86" t="s">
        <v>74</v>
      </c>
      <c r="BO86" t="s">
        <v>74</v>
      </c>
      <c r="BP86" t="s">
        <v>74</v>
      </c>
      <c r="BQ86" t="s">
        <v>74</v>
      </c>
      <c r="BR86" t="s">
        <v>105</v>
      </c>
      <c r="BS86" t="s">
        <v>1926</v>
      </c>
      <c r="BT86" t="str">
        <f>HYPERLINK("https%3A%2F%2Fwww.webofscience.com%2Fwos%2Fwoscc%2Ffull-record%2FWOS:000413612100017","View Full Record in Web of Science")</f>
        <v>View Full Record in Web of Science</v>
      </c>
    </row>
    <row r="87" spans="1:72" x14ac:dyDescent="0.15">
      <c r="A87" t="s">
        <v>72</v>
      </c>
      <c r="B87" t="s">
        <v>1927</v>
      </c>
      <c r="C87" t="s">
        <v>74</v>
      </c>
      <c r="D87" t="s">
        <v>74</v>
      </c>
      <c r="E87" t="s">
        <v>74</v>
      </c>
      <c r="F87" t="s">
        <v>1928</v>
      </c>
      <c r="G87" t="s">
        <v>74</v>
      </c>
      <c r="H87" t="s">
        <v>74</v>
      </c>
      <c r="I87" t="s">
        <v>1929</v>
      </c>
      <c r="J87" t="s">
        <v>1930</v>
      </c>
      <c r="K87" t="s">
        <v>74</v>
      </c>
      <c r="L87" t="s">
        <v>74</v>
      </c>
      <c r="M87" t="s">
        <v>78</v>
      </c>
      <c r="N87" t="s">
        <v>79</v>
      </c>
      <c r="O87" t="s">
        <v>74</v>
      </c>
      <c r="P87" t="s">
        <v>74</v>
      </c>
      <c r="Q87" t="s">
        <v>74</v>
      </c>
      <c r="R87" t="s">
        <v>74</v>
      </c>
      <c r="S87" t="s">
        <v>74</v>
      </c>
      <c r="T87" t="s">
        <v>1931</v>
      </c>
      <c r="U87" t="s">
        <v>1932</v>
      </c>
      <c r="V87" t="s">
        <v>1933</v>
      </c>
      <c r="W87" t="s">
        <v>1934</v>
      </c>
      <c r="X87" t="s">
        <v>1935</v>
      </c>
      <c r="Y87" t="s">
        <v>1936</v>
      </c>
      <c r="Z87" t="s">
        <v>1937</v>
      </c>
      <c r="AA87" t="s">
        <v>1938</v>
      </c>
      <c r="AB87" t="s">
        <v>74</v>
      </c>
      <c r="AC87" t="s">
        <v>1939</v>
      </c>
      <c r="AD87" t="s">
        <v>1940</v>
      </c>
      <c r="AE87" t="s">
        <v>1941</v>
      </c>
      <c r="AF87" t="s">
        <v>74</v>
      </c>
      <c r="AG87">
        <v>46</v>
      </c>
      <c r="AH87">
        <v>9</v>
      </c>
      <c r="AI87">
        <v>9</v>
      </c>
      <c r="AJ87">
        <v>2</v>
      </c>
      <c r="AK87">
        <v>12</v>
      </c>
      <c r="AL87" t="s">
        <v>1942</v>
      </c>
      <c r="AM87" t="s">
        <v>182</v>
      </c>
      <c r="AN87" t="s">
        <v>1943</v>
      </c>
      <c r="AO87" t="s">
        <v>1944</v>
      </c>
      <c r="AP87" t="s">
        <v>1945</v>
      </c>
      <c r="AQ87" t="s">
        <v>74</v>
      </c>
      <c r="AR87" t="s">
        <v>1946</v>
      </c>
      <c r="AS87" t="s">
        <v>1947</v>
      </c>
      <c r="AT87" t="s">
        <v>1237</v>
      </c>
      <c r="AU87">
        <v>2017</v>
      </c>
      <c r="AV87">
        <v>67</v>
      </c>
      <c r="AW87">
        <v>10</v>
      </c>
      <c r="AX87" t="s">
        <v>74</v>
      </c>
      <c r="AY87" t="s">
        <v>74</v>
      </c>
      <c r="AZ87" t="s">
        <v>74</v>
      </c>
      <c r="BA87" t="s">
        <v>74</v>
      </c>
      <c r="BB87">
        <v>3996</v>
      </c>
      <c r="BC87">
        <v>4001</v>
      </c>
      <c r="BD87" t="s">
        <v>74</v>
      </c>
      <c r="BE87" t="s">
        <v>1948</v>
      </c>
      <c r="BF87" t="str">
        <f>HYPERLINK("http://dx.doi.org/10.1099/ijsem.0.002241","http://dx.doi.org/10.1099/ijsem.0.002241")</f>
        <v>http://dx.doi.org/10.1099/ijsem.0.002241</v>
      </c>
      <c r="BG87" t="s">
        <v>74</v>
      </c>
      <c r="BH87" t="s">
        <v>74</v>
      </c>
      <c r="BI87">
        <v>6</v>
      </c>
      <c r="BJ87" t="s">
        <v>457</v>
      </c>
      <c r="BK87" t="s">
        <v>101</v>
      </c>
      <c r="BL87" t="s">
        <v>457</v>
      </c>
      <c r="BM87" t="s">
        <v>1949</v>
      </c>
      <c r="BN87">
        <v>28893368</v>
      </c>
      <c r="BO87" t="s">
        <v>104</v>
      </c>
      <c r="BP87" t="s">
        <v>74</v>
      </c>
      <c r="BQ87" t="s">
        <v>74</v>
      </c>
      <c r="BR87" t="s">
        <v>105</v>
      </c>
      <c r="BS87" t="s">
        <v>1950</v>
      </c>
      <c r="BT87" t="str">
        <f>HYPERLINK("https%3A%2F%2Fwww.webofscience.com%2Fwos%2Fwoscc%2Ffull-record%2FWOS:000413484800048","View Full Record in Web of Science")</f>
        <v>View Full Record in Web of Science</v>
      </c>
    </row>
    <row r="88" spans="1:72" x14ac:dyDescent="0.15">
      <c r="A88" t="s">
        <v>72</v>
      </c>
      <c r="B88" t="s">
        <v>1951</v>
      </c>
      <c r="C88" t="s">
        <v>74</v>
      </c>
      <c r="D88" t="s">
        <v>74</v>
      </c>
      <c r="E88" t="s">
        <v>74</v>
      </c>
      <c r="F88" t="s">
        <v>1952</v>
      </c>
      <c r="G88" t="s">
        <v>74</v>
      </c>
      <c r="H88" t="s">
        <v>74</v>
      </c>
      <c r="I88" t="s">
        <v>1953</v>
      </c>
      <c r="J88" t="s">
        <v>1930</v>
      </c>
      <c r="K88" t="s">
        <v>74</v>
      </c>
      <c r="L88" t="s">
        <v>74</v>
      </c>
      <c r="M88" t="s">
        <v>78</v>
      </c>
      <c r="N88" t="s">
        <v>79</v>
      </c>
      <c r="O88" t="s">
        <v>74</v>
      </c>
      <c r="P88" t="s">
        <v>74</v>
      </c>
      <c r="Q88" t="s">
        <v>74</v>
      </c>
      <c r="R88" t="s">
        <v>74</v>
      </c>
      <c r="S88" t="s">
        <v>74</v>
      </c>
      <c r="T88" t="s">
        <v>1954</v>
      </c>
      <c r="U88" t="s">
        <v>1955</v>
      </c>
      <c r="V88" t="s">
        <v>1956</v>
      </c>
      <c r="W88" t="s">
        <v>1957</v>
      </c>
      <c r="X88" t="s">
        <v>1958</v>
      </c>
      <c r="Y88" t="s">
        <v>1959</v>
      </c>
      <c r="Z88" t="s">
        <v>1960</v>
      </c>
      <c r="AA88" t="s">
        <v>1961</v>
      </c>
      <c r="AB88" t="s">
        <v>1962</v>
      </c>
      <c r="AC88" t="s">
        <v>1963</v>
      </c>
      <c r="AD88" t="s">
        <v>1964</v>
      </c>
      <c r="AE88" t="s">
        <v>1965</v>
      </c>
      <c r="AF88" t="s">
        <v>74</v>
      </c>
      <c r="AG88">
        <v>44</v>
      </c>
      <c r="AH88">
        <v>18</v>
      </c>
      <c r="AI88">
        <v>18</v>
      </c>
      <c r="AJ88">
        <v>0</v>
      </c>
      <c r="AK88">
        <v>10</v>
      </c>
      <c r="AL88" t="s">
        <v>1942</v>
      </c>
      <c r="AM88" t="s">
        <v>182</v>
      </c>
      <c r="AN88" t="s">
        <v>1943</v>
      </c>
      <c r="AO88" t="s">
        <v>1944</v>
      </c>
      <c r="AP88" t="s">
        <v>1945</v>
      </c>
      <c r="AQ88" t="s">
        <v>74</v>
      </c>
      <c r="AR88" t="s">
        <v>1946</v>
      </c>
      <c r="AS88" t="s">
        <v>1947</v>
      </c>
      <c r="AT88" t="s">
        <v>1237</v>
      </c>
      <c r="AU88">
        <v>2017</v>
      </c>
      <c r="AV88">
        <v>67</v>
      </c>
      <c r="AW88">
        <v>10</v>
      </c>
      <c r="AX88" t="s">
        <v>74</v>
      </c>
      <c r="AY88" t="s">
        <v>74</v>
      </c>
      <c r="AZ88" t="s">
        <v>74</v>
      </c>
      <c r="BA88" t="s">
        <v>74</v>
      </c>
      <c r="BB88">
        <v>4032</v>
      </c>
      <c r="BC88">
        <v>4038</v>
      </c>
      <c r="BD88" t="s">
        <v>74</v>
      </c>
      <c r="BE88" t="s">
        <v>1966</v>
      </c>
      <c r="BF88" t="str">
        <f>HYPERLINK("http://dx.doi.org/10.1099/ijsem.0.002245","http://dx.doi.org/10.1099/ijsem.0.002245")</f>
        <v>http://dx.doi.org/10.1099/ijsem.0.002245</v>
      </c>
      <c r="BG88" t="s">
        <v>74</v>
      </c>
      <c r="BH88" t="s">
        <v>74</v>
      </c>
      <c r="BI88">
        <v>7</v>
      </c>
      <c r="BJ88" t="s">
        <v>457</v>
      </c>
      <c r="BK88" t="s">
        <v>101</v>
      </c>
      <c r="BL88" t="s">
        <v>457</v>
      </c>
      <c r="BM88" t="s">
        <v>1949</v>
      </c>
      <c r="BN88">
        <v>28905702</v>
      </c>
      <c r="BO88" t="s">
        <v>104</v>
      </c>
      <c r="BP88" t="s">
        <v>74</v>
      </c>
      <c r="BQ88" t="s">
        <v>74</v>
      </c>
      <c r="BR88" t="s">
        <v>105</v>
      </c>
      <c r="BS88" t="s">
        <v>1967</v>
      </c>
      <c r="BT88" t="str">
        <f>HYPERLINK("https%3A%2F%2Fwww.webofscience.com%2Fwos%2Fwoscc%2Ffull-record%2FWOS:000413484800054","View Full Record in Web of Science")</f>
        <v>View Full Record in Web of Science</v>
      </c>
    </row>
    <row r="89" spans="1:72" x14ac:dyDescent="0.15">
      <c r="A89" t="s">
        <v>72</v>
      </c>
      <c r="B89" t="s">
        <v>1968</v>
      </c>
      <c r="C89" t="s">
        <v>74</v>
      </c>
      <c r="D89" t="s">
        <v>74</v>
      </c>
      <c r="E89" t="s">
        <v>74</v>
      </c>
      <c r="F89" t="s">
        <v>1969</v>
      </c>
      <c r="G89" t="s">
        <v>74</v>
      </c>
      <c r="H89" t="s">
        <v>74</v>
      </c>
      <c r="I89" t="s">
        <v>1970</v>
      </c>
      <c r="J89" t="s">
        <v>1971</v>
      </c>
      <c r="K89" t="s">
        <v>74</v>
      </c>
      <c r="L89" t="s">
        <v>74</v>
      </c>
      <c r="M89" t="s">
        <v>78</v>
      </c>
      <c r="N89" t="s">
        <v>79</v>
      </c>
      <c r="O89" t="s">
        <v>74</v>
      </c>
      <c r="P89" t="s">
        <v>74</v>
      </c>
      <c r="Q89" t="s">
        <v>74</v>
      </c>
      <c r="R89" t="s">
        <v>74</v>
      </c>
      <c r="S89" t="s">
        <v>74</v>
      </c>
      <c r="T89" t="s">
        <v>1972</v>
      </c>
      <c r="U89" t="s">
        <v>1973</v>
      </c>
      <c r="V89" t="s">
        <v>1974</v>
      </c>
      <c r="W89" t="s">
        <v>1975</v>
      </c>
      <c r="X89" t="s">
        <v>1976</v>
      </c>
      <c r="Y89" t="s">
        <v>1977</v>
      </c>
      <c r="Z89" t="s">
        <v>1978</v>
      </c>
      <c r="AA89" t="s">
        <v>1979</v>
      </c>
      <c r="AB89" t="s">
        <v>1980</v>
      </c>
      <c r="AC89" t="s">
        <v>74</v>
      </c>
      <c r="AD89" t="s">
        <v>74</v>
      </c>
      <c r="AE89" t="s">
        <v>74</v>
      </c>
      <c r="AF89" t="s">
        <v>74</v>
      </c>
      <c r="AG89">
        <v>84</v>
      </c>
      <c r="AH89">
        <v>5</v>
      </c>
      <c r="AI89">
        <v>5</v>
      </c>
      <c r="AJ89">
        <v>0</v>
      </c>
      <c r="AK89">
        <v>7</v>
      </c>
      <c r="AL89" t="s">
        <v>1981</v>
      </c>
      <c r="AM89" t="s">
        <v>729</v>
      </c>
      <c r="AN89" t="s">
        <v>1982</v>
      </c>
      <c r="AO89" t="s">
        <v>1983</v>
      </c>
      <c r="AP89" t="s">
        <v>1984</v>
      </c>
      <c r="AQ89" t="s">
        <v>74</v>
      </c>
      <c r="AR89" t="s">
        <v>1985</v>
      </c>
      <c r="AS89" t="s">
        <v>1986</v>
      </c>
      <c r="AT89" t="s">
        <v>1237</v>
      </c>
      <c r="AU89">
        <v>2017</v>
      </c>
      <c r="AV89">
        <v>134</v>
      </c>
      <c r="AW89" t="s">
        <v>74</v>
      </c>
      <c r="AX89" t="s">
        <v>74</v>
      </c>
      <c r="AY89" t="s">
        <v>74</v>
      </c>
      <c r="AZ89" t="s">
        <v>74</v>
      </c>
      <c r="BA89" t="s">
        <v>74</v>
      </c>
      <c r="BB89">
        <v>92</v>
      </c>
      <c r="BC89">
        <v>105</v>
      </c>
      <c r="BD89" t="s">
        <v>74</v>
      </c>
      <c r="BE89" t="s">
        <v>1987</v>
      </c>
      <c r="BF89" t="str">
        <f>HYPERLINK("http://dx.doi.org/10.1016/j.jafrearsci.2017.06.022","http://dx.doi.org/10.1016/j.jafrearsci.2017.06.022")</f>
        <v>http://dx.doi.org/10.1016/j.jafrearsci.2017.06.022</v>
      </c>
      <c r="BG89" t="s">
        <v>74</v>
      </c>
      <c r="BH89" t="s">
        <v>74</v>
      </c>
      <c r="BI89">
        <v>14</v>
      </c>
      <c r="BJ89" t="s">
        <v>100</v>
      </c>
      <c r="BK89" t="s">
        <v>101</v>
      </c>
      <c r="BL89" t="s">
        <v>102</v>
      </c>
      <c r="BM89" t="s">
        <v>1988</v>
      </c>
      <c r="BN89" t="s">
        <v>74</v>
      </c>
      <c r="BO89" t="s">
        <v>74</v>
      </c>
      <c r="BP89" t="s">
        <v>74</v>
      </c>
      <c r="BQ89" t="s">
        <v>74</v>
      </c>
      <c r="BR89" t="s">
        <v>105</v>
      </c>
      <c r="BS89" t="s">
        <v>1989</v>
      </c>
      <c r="BT89" t="str">
        <f>HYPERLINK("https%3A%2F%2Fwww.webofscience.com%2Fwos%2Fwoscc%2Ffull-record%2FWOS:000412609000009","View Full Record in Web of Science")</f>
        <v>View Full Record in Web of Science</v>
      </c>
    </row>
    <row r="90" spans="1:72" x14ac:dyDescent="0.15">
      <c r="A90" t="s">
        <v>72</v>
      </c>
      <c r="B90" t="s">
        <v>1990</v>
      </c>
      <c r="C90" t="s">
        <v>74</v>
      </c>
      <c r="D90" t="s">
        <v>74</v>
      </c>
      <c r="E90" t="s">
        <v>74</v>
      </c>
      <c r="F90" t="s">
        <v>1991</v>
      </c>
      <c r="G90" t="s">
        <v>74</v>
      </c>
      <c r="H90" t="s">
        <v>74</v>
      </c>
      <c r="I90" t="s">
        <v>1992</v>
      </c>
      <c r="J90" t="s">
        <v>1993</v>
      </c>
      <c r="K90" t="s">
        <v>74</v>
      </c>
      <c r="L90" t="s">
        <v>74</v>
      </c>
      <c r="M90" t="s">
        <v>78</v>
      </c>
      <c r="N90" t="s">
        <v>79</v>
      </c>
      <c r="O90" t="s">
        <v>74</v>
      </c>
      <c r="P90" t="s">
        <v>74</v>
      </c>
      <c r="Q90" t="s">
        <v>74</v>
      </c>
      <c r="R90" t="s">
        <v>74</v>
      </c>
      <c r="S90" t="s">
        <v>74</v>
      </c>
      <c r="T90" t="s">
        <v>1994</v>
      </c>
      <c r="U90" t="s">
        <v>1995</v>
      </c>
      <c r="V90" t="s">
        <v>1996</v>
      </c>
      <c r="W90" t="s">
        <v>1997</v>
      </c>
      <c r="X90" t="s">
        <v>1958</v>
      </c>
      <c r="Y90" t="s">
        <v>1998</v>
      </c>
      <c r="Z90" t="s">
        <v>1999</v>
      </c>
      <c r="AA90" t="s">
        <v>2000</v>
      </c>
      <c r="AB90" t="s">
        <v>2001</v>
      </c>
      <c r="AC90" t="s">
        <v>74</v>
      </c>
      <c r="AD90" t="s">
        <v>74</v>
      </c>
      <c r="AE90" t="s">
        <v>74</v>
      </c>
      <c r="AF90" t="s">
        <v>74</v>
      </c>
      <c r="AG90">
        <v>71</v>
      </c>
      <c r="AH90">
        <v>29</v>
      </c>
      <c r="AI90">
        <v>30</v>
      </c>
      <c r="AJ90">
        <v>1</v>
      </c>
      <c r="AK90">
        <v>24</v>
      </c>
      <c r="AL90" t="s">
        <v>1338</v>
      </c>
      <c r="AM90" t="s">
        <v>1339</v>
      </c>
      <c r="AN90" t="s">
        <v>1340</v>
      </c>
      <c r="AO90" t="s">
        <v>2002</v>
      </c>
      <c r="AP90" t="s">
        <v>2003</v>
      </c>
      <c r="AQ90" t="s">
        <v>74</v>
      </c>
      <c r="AR90" t="s">
        <v>2004</v>
      </c>
      <c r="AS90" t="s">
        <v>2005</v>
      </c>
      <c r="AT90" t="s">
        <v>1237</v>
      </c>
      <c r="AU90">
        <v>2017</v>
      </c>
      <c r="AV90">
        <v>57</v>
      </c>
      <c r="AW90">
        <v>10</v>
      </c>
      <c r="AX90" t="s">
        <v>74</v>
      </c>
      <c r="AY90" t="s">
        <v>74</v>
      </c>
      <c r="AZ90" t="s">
        <v>74</v>
      </c>
      <c r="BA90" t="s">
        <v>74</v>
      </c>
      <c r="BB90">
        <v>827</v>
      </c>
      <c r="BC90">
        <v>838</v>
      </c>
      <c r="BD90" t="s">
        <v>74</v>
      </c>
      <c r="BE90" t="s">
        <v>2006</v>
      </c>
      <c r="BF90" t="str">
        <f>HYPERLINK("http://dx.doi.org/10.1002/jobm.201700216","http://dx.doi.org/10.1002/jobm.201700216")</f>
        <v>http://dx.doi.org/10.1002/jobm.201700216</v>
      </c>
      <c r="BG90" t="s">
        <v>74</v>
      </c>
      <c r="BH90" t="s">
        <v>74</v>
      </c>
      <c r="BI90">
        <v>12</v>
      </c>
      <c r="BJ90" t="s">
        <v>457</v>
      </c>
      <c r="BK90" t="s">
        <v>101</v>
      </c>
      <c r="BL90" t="s">
        <v>457</v>
      </c>
      <c r="BM90" t="s">
        <v>2007</v>
      </c>
      <c r="BN90">
        <v>28752525</v>
      </c>
      <c r="BO90" t="s">
        <v>74</v>
      </c>
      <c r="BP90" t="s">
        <v>74</v>
      </c>
      <c r="BQ90" t="s">
        <v>74</v>
      </c>
      <c r="BR90" t="s">
        <v>105</v>
      </c>
      <c r="BS90" t="s">
        <v>2008</v>
      </c>
      <c r="BT90" t="str">
        <f>HYPERLINK("https%3A%2F%2Fwww.webofscience.com%2Fwos%2Fwoscc%2Ffull-record%2FWOS:000412552300003","View Full Record in Web of Science")</f>
        <v>View Full Record in Web of Science</v>
      </c>
    </row>
    <row r="91" spans="1:72" x14ac:dyDescent="0.15">
      <c r="A91" t="s">
        <v>72</v>
      </c>
      <c r="B91" t="s">
        <v>2009</v>
      </c>
      <c r="C91" t="s">
        <v>74</v>
      </c>
      <c r="D91" t="s">
        <v>74</v>
      </c>
      <c r="E91" t="s">
        <v>74</v>
      </c>
      <c r="F91" t="s">
        <v>2010</v>
      </c>
      <c r="G91" t="s">
        <v>74</v>
      </c>
      <c r="H91" t="s">
        <v>74</v>
      </c>
      <c r="I91" t="s">
        <v>2011</v>
      </c>
      <c r="J91" t="s">
        <v>2012</v>
      </c>
      <c r="K91" t="s">
        <v>74</v>
      </c>
      <c r="L91" t="s">
        <v>74</v>
      </c>
      <c r="M91" t="s">
        <v>78</v>
      </c>
      <c r="N91" t="s">
        <v>79</v>
      </c>
      <c r="O91" t="s">
        <v>74</v>
      </c>
      <c r="P91" t="s">
        <v>74</v>
      </c>
      <c r="Q91" t="s">
        <v>74</v>
      </c>
      <c r="R91" t="s">
        <v>74</v>
      </c>
      <c r="S91" t="s">
        <v>74</v>
      </c>
      <c r="T91" t="s">
        <v>2013</v>
      </c>
      <c r="U91" t="s">
        <v>2014</v>
      </c>
      <c r="V91" t="s">
        <v>2015</v>
      </c>
      <c r="W91" t="s">
        <v>2016</v>
      </c>
      <c r="X91" t="s">
        <v>2017</v>
      </c>
      <c r="Y91" t="s">
        <v>2018</v>
      </c>
      <c r="Z91" t="s">
        <v>2019</v>
      </c>
      <c r="AA91" t="s">
        <v>2020</v>
      </c>
      <c r="AB91" t="s">
        <v>2021</v>
      </c>
      <c r="AC91" t="s">
        <v>2022</v>
      </c>
      <c r="AD91" t="s">
        <v>2023</v>
      </c>
      <c r="AE91" t="s">
        <v>2024</v>
      </c>
      <c r="AF91" t="s">
        <v>74</v>
      </c>
      <c r="AG91">
        <v>97</v>
      </c>
      <c r="AH91">
        <v>4</v>
      </c>
      <c r="AI91">
        <v>5</v>
      </c>
      <c r="AJ91">
        <v>3</v>
      </c>
      <c r="AK91">
        <v>55</v>
      </c>
      <c r="AL91" t="s">
        <v>1338</v>
      </c>
      <c r="AM91" t="s">
        <v>1339</v>
      </c>
      <c r="AN91" t="s">
        <v>1340</v>
      </c>
      <c r="AO91" t="s">
        <v>2025</v>
      </c>
      <c r="AP91" t="s">
        <v>2026</v>
      </c>
      <c r="AQ91" t="s">
        <v>74</v>
      </c>
      <c r="AR91" t="s">
        <v>2027</v>
      </c>
      <c r="AS91" t="s">
        <v>2028</v>
      </c>
      <c r="AT91" t="s">
        <v>1237</v>
      </c>
      <c r="AU91">
        <v>2017</v>
      </c>
      <c r="AV91">
        <v>32</v>
      </c>
      <c r="AW91">
        <v>7</v>
      </c>
      <c r="AX91" t="s">
        <v>74</v>
      </c>
      <c r="AY91" t="s">
        <v>74</v>
      </c>
      <c r="AZ91" t="s">
        <v>74</v>
      </c>
      <c r="BA91" t="s">
        <v>74</v>
      </c>
      <c r="BB91">
        <v>1037</v>
      </c>
      <c r="BC91">
        <v>1048</v>
      </c>
      <c r="BD91" t="s">
        <v>74</v>
      </c>
      <c r="BE91" t="s">
        <v>2029</v>
      </c>
      <c r="BF91" t="str">
        <f>HYPERLINK("http://dx.doi.org/10.1002/jqs.2974","http://dx.doi.org/10.1002/jqs.2974")</f>
        <v>http://dx.doi.org/10.1002/jqs.2974</v>
      </c>
      <c r="BG91" t="s">
        <v>74</v>
      </c>
      <c r="BH91" t="s">
        <v>74</v>
      </c>
      <c r="BI91">
        <v>12</v>
      </c>
      <c r="BJ91" t="s">
        <v>319</v>
      </c>
      <c r="BK91" t="s">
        <v>101</v>
      </c>
      <c r="BL91" t="s">
        <v>320</v>
      </c>
      <c r="BM91" t="s">
        <v>2030</v>
      </c>
      <c r="BN91" t="s">
        <v>74</v>
      </c>
      <c r="BO91" t="s">
        <v>74</v>
      </c>
      <c r="BP91" t="s">
        <v>74</v>
      </c>
      <c r="BQ91" t="s">
        <v>74</v>
      </c>
      <c r="BR91" t="s">
        <v>105</v>
      </c>
      <c r="BS91" t="s">
        <v>2031</v>
      </c>
      <c r="BT91" t="str">
        <f>HYPERLINK("https%3A%2F%2Fwww.webofscience.com%2Fwos%2Fwoscc%2Ffull-record%2FWOS:000412109500011","View Full Record in Web of Science")</f>
        <v>View Full Record in Web of Science</v>
      </c>
    </row>
    <row r="92" spans="1:72" x14ac:dyDescent="0.15">
      <c r="A92" t="s">
        <v>72</v>
      </c>
      <c r="B92" t="s">
        <v>2032</v>
      </c>
      <c r="C92" t="s">
        <v>74</v>
      </c>
      <c r="D92" t="s">
        <v>74</v>
      </c>
      <c r="E92" t="s">
        <v>74</v>
      </c>
      <c r="F92" t="s">
        <v>2033</v>
      </c>
      <c r="G92" t="s">
        <v>74</v>
      </c>
      <c r="H92" t="s">
        <v>74</v>
      </c>
      <c r="I92" t="s">
        <v>2034</v>
      </c>
      <c r="J92" t="s">
        <v>2035</v>
      </c>
      <c r="K92" t="s">
        <v>74</v>
      </c>
      <c r="L92" t="s">
        <v>74</v>
      </c>
      <c r="M92" t="s">
        <v>78</v>
      </c>
      <c r="N92" t="s">
        <v>79</v>
      </c>
      <c r="O92" t="s">
        <v>74</v>
      </c>
      <c r="P92" t="s">
        <v>74</v>
      </c>
      <c r="Q92" t="s">
        <v>74</v>
      </c>
      <c r="R92" t="s">
        <v>74</v>
      </c>
      <c r="S92" t="s">
        <v>74</v>
      </c>
      <c r="T92" t="s">
        <v>74</v>
      </c>
      <c r="U92" t="s">
        <v>2036</v>
      </c>
      <c r="V92" t="s">
        <v>2037</v>
      </c>
      <c r="W92" t="s">
        <v>2038</v>
      </c>
      <c r="X92" t="s">
        <v>1308</v>
      </c>
      <c r="Y92" t="s">
        <v>2039</v>
      </c>
      <c r="Z92" t="s">
        <v>2040</v>
      </c>
      <c r="AA92" t="s">
        <v>2041</v>
      </c>
      <c r="AB92" t="s">
        <v>2042</v>
      </c>
      <c r="AC92" t="s">
        <v>74</v>
      </c>
      <c r="AD92" t="s">
        <v>74</v>
      </c>
      <c r="AE92" t="s">
        <v>74</v>
      </c>
      <c r="AF92" t="s">
        <v>74</v>
      </c>
      <c r="AG92">
        <v>137</v>
      </c>
      <c r="AH92">
        <v>16</v>
      </c>
      <c r="AI92">
        <v>19</v>
      </c>
      <c r="AJ92">
        <v>1</v>
      </c>
      <c r="AK92">
        <v>16</v>
      </c>
      <c r="AL92" t="s">
        <v>1338</v>
      </c>
      <c r="AM92" t="s">
        <v>1339</v>
      </c>
      <c r="AN92" t="s">
        <v>1340</v>
      </c>
      <c r="AO92" t="s">
        <v>2043</v>
      </c>
      <c r="AP92" t="s">
        <v>2044</v>
      </c>
      <c r="AQ92" t="s">
        <v>74</v>
      </c>
      <c r="AR92" t="s">
        <v>2045</v>
      </c>
      <c r="AS92" t="s">
        <v>2046</v>
      </c>
      <c r="AT92" t="s">
        <v>1237</v>
      </c>
      <c r="AU92">
        <v>2017</v>
      </c>
      <c r="AV92">
        <v>39</v>
      </c>
      <c r="AW92">
        <v>4</v>
      </c>
      <c r="AX92" t="s">
        <v>74</v>
      </c>
      <c r="AY92" t="s">
        <v>74</v>
      </c>
      <c r="AZ92" t="s">
        <v>74</v>
      </c>
      <c r="BA92" t="s">
        <v>74</v>
      </c>
      <c r="BB92">
        <v>325</v>
      </c>
      <c r="BC92">
        <v>348</v>
      </c>
      <c r="BD92" t="s">
        <v>74</v>
      </c>
      <c r="BE92" t="s">
        <v>2047</v>
      </c>
      <c r="BF92" t="str">
        <f>HYPERLINK("http://dx.doi.org/10.1111/lapo.12081","http://dx.doi.org/10.1111/lapo.12081")</f>
        <v>http://dx.doi.org/10.1111/lapo.12081</v>
      </c>
      <c r="BG92" t="s">
        <v>74</v>
      </c>
      <c r="BH92" t="s">
        <v>74</v>
      </c>
      <c r="BI92">
        <v>24</v>
      </c>
      <c r="BJ92" t="s">
        <v>2048</v>
      </c>
      <c r="BK92" t="s">
        <v>2049</v>
      </c>
      <c r="BL92" t="s">
        <v>2050</v>
      </c>
      <c r="BM92" t="s">
        <v>2051</v>
      </c>
      <c r="BN92" t="s">
        <v>74</v>
      </c>
      <c r="BO92" t="s">
        <v>74</v>
      </c>
      <c r="BP92" t="s">
        <v>74</v>
      </c>
      <c r="BQ92" t="s">
        <v>74</v>
      </c>
      <c r="BR92" t="s">
        <v>105</v>
      </c>
      <c r="BS92" t="s">
        <v>2052</v>
      </c>
      <c r="BT92" t="str">
        <f>HYPERLINK("https%3A%2F%2Fwww.webofscience.com%2Fwos%2Fwoscc%2Ffull-record%2FWOS:000413407500002","View Full Record in Web of Science")</f>
        <v>View Full Record in Web of Science</v>
      </c>
    </row>
    <row r="93" spans="1:72" x14ac:dyDescent="0.15">
      <c r="A93" t="s">
        <v>72</v>
      </c>
      <c r="B93" t="s">
        <v>2053</v>
      </c>
      <c r="C93" t="s">
        <v>74</v>
      </c>
      <c r="D93" t="s">
        <v>74</v>
      </c>
      <c r="E93" t="s">
        <v>74</v>
      </c>
      <c r="F93" t="s">
        <v>2054</v>
      </c>
      <c r="G93" t="s">
        <v>74</v>
      </c>
      <c r="H93" t="s">
        <v>74</v>
      </c>
      <c r="I93" t="s">
        <v>2055</v>
      </c>
      <c r="J93" t="s">
        <v>2056</v>
      </c>
      <c r="K93" t="s">
        <v>74</v>
      </c>
      <c r="L93" t="s">
        <v>74</v>
      </c>
      <c r="M93" t="s">
        <v>78</v>
      </c>
      <c r="N93" t="s">
        <v>79</v>
      </c>
      <c r="O93" t="s">
        <v>74</v>
      </c>
      <c r="P93" t="s">
        <v>74</v>
      </c>
      <c r="Q93" t="s">
        <v>74</v>
      </c>
      <c r="R93" t="s">
        <v>74</v>
      </c>
      <c r="S93" t="s">
        <v>74</v>
      </c>
      <c r="T93" t="s">
        <v>2057</v>
      </c>
      <c r="U93" t="s">
        <v>2058</v>
      </c>
      <c r="V93" t="s">
        <v>2059</v>
      </c>
      <c r="W93" t="s">
        <v>2060</v>
      </c>
      <c r="X93" t="s">
        <v>2061</v>
      </c>
      <c r="Y93" t="s">
        <v>2062</v>
      </c>
      <c r="Z93" t="s">
        <v>2063</v>
      </c>
      <c r="AA93" t="s">
        <v>74</v>
      </c>
      <c r="AB93" t="s">
        <v>74</v>
      </c>
      <c r="AC93" t="s">
        <v>2064</v>
      </c>
      <c r="AD93" t="s">
        <v>2065</v>
      </c>
      <c r="AE93" t="s">
        <v>2066</v>
      </c>
      <c r="AF93" t="s">
        <v>74</v>
      </c>
      <c r="AG93">
        <v>18</v>
      </c>
      <c r="AH93">
        <v>6</v>
      </c>
      <c r="AI93">
        <v>8</v>
      </c>
      <c r="AJ93">
        <v>0</v>
      </c>
      <c r="AK93">
        <v>17</v>
      </c>
      <c r="AL93" t="s">
        <v>371</v>
      </c>
      <c r="AM93" t="s">
        <v>372</v>
      </c>
      <c r="AN93" t="s">
        <v>373</v>
      </c>
      <c r="AO93" t="s">
        <v>2067</v>
      </c>
      <c r="AP93" t="s">
        <v>2068</v>
      </c>
      <c r="AQ93" t="s">
        <v>74</v>
      </c>
      <c r="AR93" t="s">
        <v>2069</v>
      </c>
      <c r="AS93" t="s">
        <v>2070</v>
      </c>
      <c r="AT93" t="s">
        <v>1237</v>
      </c>
      <c r="AU93">
        <v>2017</v>
      </c>
      <c r="AV93">
        <v>35</v>
      </c>
      <c r="AW93" t="s">
        <v>74</v>
      </c>
      <c r="AX93" t="s">
        <v>74</v>
      </c>
      <c r="AY93" t="s">
        <v>74</v>
      </c>
      <c r="AZ93" t="s">
        <v>74</v>
      </c>
      <c r="BA93" t="s">
        <v>74</v>
      </c>
      <c r="BB93">
        <v>27</v>
      </c>
      <c r="BC93">
        <v>29</v>
      </c>
      <c r="BD93" t="s">
        <v>74</v>
      </c>
      <c r="BE93" t="s">
        <v>2071</v>
      </c>
      <c r="BF93" t="str">
        <f>HYPERLINK("http://dx.doi.org/10.1016/j.margen.2017.04.001","http://dx.doi.org/10.1016/j.margen.2017.04.001")</f>
        <v>http://dx.doi.org/10.1016/j.margen.2017.04.001</v>
      </c>
      <c r="BG93" t="s">
        <v>74</v>
      </c>
      <c r="BH93" t="s">
        <v>74</v>
      </c>
      <c r="BI93">
        <v>3</v>
      </c>
      <c r="BJ93" t="s">
        <v>2072</v>
      </c>
      <c r="BK93" t="s">
        <v>101</v>
      </c>
      <c r="BL93" t="s">
        <v>2072</v>
      </c>
      <c r="BM93" t="s">
        <v>2073</v>
      </c>
      <c r="BN93" t="s">
        <v>74</v>
      </c>
      <c r="BO93" t="s">
        <v>74</v>
      </c>
      <c r="BP93" t="s">
        <v>74</v>
      </c>
      <c r="BQ93" t="s">
        <v>74</v>
      </c>
      <c r="BR93" t="s">
        <v>105</v>
      </c>
      <c r="BS93" t="s">
        <v>2074</v>
      </c>
      <c r="BT93" t="str">
        <f>HYPERLINK("https%3A%2F%2Fwww.webofscience.com%2Fwos%2Fwoscc%2Ffull-record%2FWOS:000412957700004","View Full Record in Web of Science")</f>
        <v>View Full Record in Web of Science</v>
      </c>
    </row>
    <row r="94" spans="1:72" x14ac:dyDescent="0.15">
      <c r="A94" t="s">
        <v>72</v>
      </c>
      <c r="B94" t="s">
        <v>2075</v>
      </c>
      <c r="C94" t="s">
        <v>74</v>
      </c>
      <c r="D94" t="s">
        <v>74</v>
      </c>
      <c r="E94" t="s">
        <v>74</v>
      </c>
      <c r="F94" t="s">
        <v>2076</v>
      </c>
      <c r="G94" t="s">
        <v>74</v>
      </c>
      <c r="H94" t="s">
        <v>74</v>
      </c>
      <c r="I94" t="s">
        <v>2077</v>
      </c>
      <c r="J94" t="s">
        <v>2056</v>
      </c>
      <c r="K94" t="s">
        <v>74</v>
      </c>
      <c r="L94" t="s">
        <v>74</v>
      </c>
      <c r="M94" t="s">
        <v>78</v>
      </c>
      <c r="N94" t="s">
        <v>79</v>
      </c>
      <c r="O94" t="s">
        <v>74</v>
      </c>
      <c r="P94" t="s">
        <v>74</v>
      </c>
      <c r="Q94" t="s">
        <v>74</v>
      </c>
      <c r="R94" t="s">
        <v>74</v>
      </c>
      <c r="S94" t="s">
        <v>74</v>
      </c>
      <c r="T94" t="s">
        <v>2078</v>
      </c>
      <c r="U94" t="s">
        <v>2079</v>
      </c>
      <c r="V94" t="s">
        <v>2080</v>
      </c>
      <c r="W94" t="s">
        <v>2081</v>
      </c>
      <c r="X94" t="s">
        <v>2082</v>
      </c>
      <c r="Y94" t="s">
        <v>2083</v>
      </c>
      <c r="Z94" t="s">
        <v>2084</v>
      </c>
      <c r="AA94" t="s">
        <v>2085</v>
      </c>
      <c r="AB94" t="s">
        <v>2086</v>
      </c>
      <c r="AC94" t="s">
        <v>2087</v>
      </c>
      <c r="AD94" t="s">
        <v>2088</v>
      </c>
      <c r="AE94" t="s">
        <v>2089</v>
      </c>
      <c r="AF94" t="s">
        <v>74</v>
      </c>
      <c r="AG94">
        <v>18</v>
      </c>
      <c r="AH94">
        <v>8</v>
      </c>
      <c r="AI94">
        <v>8</v>
      </c>
      <c r="AJ94">
        <v>4</v>
      </c>
      <c r="AK94">
        <v>34</v>
      </c>
      <c r="AL94" t="s">
        <v>502</v>
      </c>
      <c r="AM94" t="s">
        <v>372</v>
      </c>
      <c r="AN94" t="s">
        <v>503</v>
      </c>
      <c r="AO94" t="s">
        <v>2067</v>
      </c>
      <c r="AP94" t="s">
        <v>2068</v>
      </c>
      <c r="AQ94" t="s">
        <v>74</v>
      </c>
      <c r="AR94" t="s">
        <v>2069</v>
      </c>
      <c r="AS94" t="s">
        <v>2070</v>
      </c>
      <c r="AT94" t="s">
        <v>1237</v>
      </c>
      <c r="AU94">
        <v>2017</v>
      </c>
      <c r="AV94">
        <v>35</v>
      </c>
      <c r="AW94" t="s">
        <v>74</v>
      </c>
      <c r="AX94" t="s">
        <v>74</v>
      </c>
      <c r="AY94" t="s">
        <v>74</v>
      </c>
      <c r="AZ94" t="s">
        <v>74</v>
      </c>
      <c r="BA94" t="s">
        <v>74</v>
      </c>
      <c r="BB94">
        <v>35</v>
      </c>
      <c r="BC94">
        <v>37</v>
      </c>
      <c r="BD94" t="s">
        <v>74</v>
      </c>
      <c r="BE94" t="s">
        <v>2090</v>
      </c>
      <c r="BF94" t="str">
        <f>HYPERLINK("http://dx.doi.org/10.1016/j.margen.2017.05.002","http://dx.doi.org/10.1016/j.margen.2017.05.002")</f>
        <v>http://dx.doi.org/10.1016/j.margen.2017.05.002</v>
      </c>
      <c r="BG94" t="s">
        <v>74</v>
      </c>
      <c r="BH94" t="s">
        <v>74</v>
      </c>
      <c r="BI94">
        <v>3</v>
      </c>
      <c r="BJ94" t="s">
        <v>2072</v>
      </c>
      <c r="BK94" t="s">
        <v>101</v>
      </c>
      <c r="BL94" t="s">
        <v>2072</v>
      </c>
      <c r="BM94" t="s">
        <v>2073</v>
      </c>
      <c r="BN94" t="s">
        <v>74</v>
      </c>
      <c r="BO94" t="s">
        <v>2091</v>
      </c>
      <c r="BP94" t="s">
        <v>74</v>
      </c>
      <c r="BQ94" t="s">
        <v>74</v>
      </c>
      <c r="BR94" t="s">
        <v>105</v>
      </c>
      <c r="BS94" t="s">
        <v>2092</v>
      </c>
      <c r="BT94" t="str">
        <f>HYPERLINK("https%3A%2F%2Fwww.webofscience.com%2Fwos%2Fwoscc%2Ffull-record%2FWOS:000412957700006","View Full Record in Web of Science")</f>
        <v>View Full Record in Web of Science</v>
      </c>
    </row>
    <row r="95" spans="1:72" x14ac:dyDescent="0.15">
      <c r="A95" t="s">
        <v>72</v>
      </c>
      <c r="B95" t="s">
        <v>2093</v>
      </c>
      <c r="C95" t="s">
        <v>74</v>
      </c>
      <c r="D95" t="s">
        <v>74</v>
      </c>
      <c r="E95" t="s">
        <v>74</v>
      </c>
      <c r="F95" t="s">
        <v>2094</v>
      </c>
      <c r="G95" t="s">
        <v>74</v>
      </c>
      <c r="H95" t="s">
        <v>74</v>
      </c>
      <c r="I95" t="s">
        <v>2095</v>
      </c>
      <c r="J95" t="s">
        <v>2096</v>
      </c>
      <c r="K95" t="s">
        <v>74</v>
      </c>
      <c r="L95" t="s">
        <v>74</v>
      </c>
      <c r="M95" t="s">
        <v>78</v>
      </c>
      <c r="N95" t="s">
        <v>79</v>
      </c>
      <c r="O95" t="s">
        <v>74</v>
      </c>
      <c r="P95" t="s">
        <v>74</v>
      </c>
      <c r="Q95" t="s">
        <v>74</v>
      </c>
      <c r="R95" t="s">
        <v>74</v>
      </c>
      <c r="S95" t="s">
        <v>74</v>
      </c>
      <c r="T95" t="s">
        <v>2097</v>
      </c>
      <c r="U95" t="s">
        <v>2098</v>
      </c>
      <c r="V95" t="s">
        <v>2099</v>
      </c>
      <c r="W95" t="s">
        <v>2100</v>
      </c>
      <c r="X95" t="s">
        <v>2101</v>
      </c>
      <c r="Y95" t="s">
        <v>2102</v>
      </c>
      <c r="Z95" t="s">
        <v>2103</v>
      </c>
      <c r="AA95" t="s">
        <v>2104</v>
      </c>
      <c r="AB95" t="s">
        <v>2105</v>
      </c>
      <c r="AC95" t="s">
        <v>2106</v>
      </c>
      <c r="AD95" t="s">
        <v>2107</v>
      </c>
      <c r="AE95" t="s">
        <v>2108</v>
      </c>
      <c r="AF95" t="s">
        <v>74</v>
      </c>
      <c r="AG95">
        <v>88</v>
      </c>
      <c r="AH95">
        <v>29</v>
      </c>
      <c r="AI95">
        <v>30</v>
      </c>
      <c r="AJ95">
        <v>1</v>
      </c>
      <c r="AK95">
        <v>23</v>
      </c>
      <c r="AL95" t="s">
        <v>371</v>
      </c>
      <c r="AM95" t="s">
        <v>372</v>
      </c>
      <c r="AN95" t="s">
        <v>373</v>
      </c>
      <c r="AO95" t="s">
        <v>2109</v>
      </c>
      <c r="AP95" t="s">
        <v>2110</v>
      </c>
      <c r="AQ95" t="s">
        <v>74</v>
      </c>
      <c r="AR95" t="s">
        <v>2111</v>
      </c>
      <c r="AS95" t="s">
        <v>2112</v>
      </c>
      <c r="AT95" t="s">
        <v>1815</v>
      </c>
      <c r="AU95">
        <v>2017</v>
      </c>
      <c r="AV95">
        <v>392</v>
      </c>
      <c r="AW95" t="s">
        <v>74</v>
      </c>
      <c r="AX95" t="s">
        <v>74</v>
      </c>
      <c r="AY95" t="s">
        <v>74</v>
      </c>
      <c r="AZ95" t="s">
        <v>74</v>
      </c>
      <c r="BA95" t="s">
        <v>74</v>
      </c>
      <c r="BB95">
        <v>53</v>
      </c>
      <c r="BC95">
        <v>65</v>
      </c>
      <c r="BD95" t="s">
        <v>74</v>
      </c>
      <c r="BE95" t="s">
        <v>2113</v>
      </c>
      <c r="BF95" t="str">
        <f>HYPERLINK("http://dx.doi.org/10.1016/j.margeo.2017.08.012","http://dx.doi.org/10.1016/j.margeo.2017.08.012")</f>
        <v>http://dx.doi.org/10.1016/j.margeo.2017.08.012</v>
      </c>
      <c r="BG95" t="s">
        <v>74</v>
      </c>
      <c r="BH95" t="s">
        <v>74</v>
      </c>
      <c r="BI95">
        <v>13</v>
      </c>
      <c r="BJ95" t="s">
        <v>2114</v>
      </c>
      <c r="BK95" t="s">
        <v>101</v>
      </c>
      <c r="BL95" t="s">
        <v>2115</v>
      </c>
      <c r="BM95" t="s">
        <v>2116</v>
      </c>
      <c r="BN95" t="s">
        <v>74</v>
      </c>
      <c r="BO95" t="s">
        <v>74</v>
      </c>
      <c r="BP95" t="s">
        <v>74</v>
      </c>
      <c r="BQ95" t="s">
        <v>74</v>
      </c>
      <c r="BR95" t="s">
        <v>105</v>
      </c>
      <c r="BS95" t="s">
        <v>2117</v>
      </c>
      <c r="BT95" t="str">
        <f>HYPERLINK("https%3A%2F%2Fwww.webofscience.com%2Fwos%2Fwoscc%2Ffull-record%2FWOS:000413279600004","View Full Record in Web of Science")</f>
        <v>View Full Record in Web of Science</v>
      </c>
    </row>
    <row r="96" spans="1:72" x14ac:dyDescent="0.15">
      <c r="A96" t="s">
        <v>72</v>
      </c>
      <c r="B96" t="s">
        <v>2118</v>
      </c>
      <c r="C96" t="s">
        <v>74</v>
      </c>
      <c r="D96" t="s">
        <v>74</v>
      </c>
      <c r="E96" t="s">
        <v>74</v>
      </c>
      <c r="F96" t="s">
        <v>2119</v>
      </c>
      <c r="G96" t="s">
        <v>74</v>
      </c>
      <c r="H96" t="s">
        <v>74</v>
      </c>
      <c r="I96" t="s">
        <v>2120</v>
      </c>
      <c r="J96" t="s">
        <v>2096</v>
      </c>
      <c r="K96" t="s">
        <v>74</v>
      </c>
      <c r="L96" t="s">
        <v>74</v>
      </c>
      <c r="M96" t="s">
        <v>78</v>
      </c>
      <c r="N96" t="s">
        <v>79</v>
      </c>
      <c r="O96" t="s">
        <v>74</v>
      </c>
      <c r="P96" t="s">
        <v>74</v>
      </c>
      <c r="Q96" t="s">
        <v>74</v>
      </c>
      <c r="R96" t="s">
        <v>74</v>
      </c>
      <c r="S96" t="s">
        <v>74</v>
      </c>
      <c r="T96" t="s">
        <v>2121</v>
      </c>
      <c r="U96" t="s">
        <v>2122</v>
      </c>
      <c r="V96" t="s">
        <v>2123</v>
      </c>
      <c r="W96" t="s">
        <v>2124</v>
      </c>
      <c r="X96" t="s">
        <v>2125</v>
      </c>
      <c r="Y96" t="s">
        <v>2126</v>
      </c>
      <c r="Z96" t="s">
        <v>2127</v>
      </c>
      <c r="AA96" t="s">
        <v>2128</v>
      </c>
      <c r="AB96" t="s">
        <v>2129</v>
      </c>
      <c r="AC96" t="s">
        <v>2130</v>
      </c>
      <c r="AD96" t="s">
        <v>2131</v>
      </c>
      <c r="AE96" t="s">
        <v>2132</v>
      </c>
      <c r="AF96" t="s">
        <v>74</v>
      </c>
      <c r="AG96">
        <v>104</v>
      </c>
      <c r="AH96">
        <v>10</v>
      </c>
      <c r="AI96">
        <v>11</v>
      </c>
      <c r="AJ96">
        <v>1</v>
      </c>
      <c r="AK96">
        <v>14</v>
      </c>
      <c r="AL96" t="s">
        <v>371</v>
      </c>
      <c r="AM96" t="s">
        <v>372</v>
      </c>
      <c r="AN96" t="s">
        <v>373</v>
      </c>
      <c r="AO96" t="s">
        <v>2109</v>
      </c>
      <c r="AP96" t="s">
        <v>2110</v>
      </c>
      <c r="AQ96" t="s">
        <v>74</v>
      </c>
      <c r="AR96" t="s">
        <v>2111</v>
      </c>
      <c r="AS96" t="s">
        <v>2112</v>
      </c>
      <c r="AT96" t="s">
        <v>1815</v>
      </c>
      <c r="AU96">
        <v>2017</v>
      </c>
      <c r="AV96">
        <v>392</v>
      </c>
      <c r="AW96" t="s">
        <v>74</v>
      </c>
      <c r="AX96" t="s">
        <v>74</v>
      </c>
      <c r="AY96" t="s">
        <v>74</v>
      </c>
      <c r="AZ96" t="s">
        <v>74</v>
      </c>
      <c r="BA96" t="s">
        <v>74</v>
      </c>
      <c r="BB96">
        <v>122</v>
      </c>
      <c r="BC96">
        <v>139</v>
      </c>
      <c r="BD96" t="s">
        <v>74</v>
      </c>
      <c r="BE96" t="s">
        <v>2133</v>
      </c>
      <c r="BF96" t="str">
        <f>HYPERLINK("http://dx.doi.org/10.1016/j.margeo.2017.08.006","http://dx.doi.org/10.1016/j.margeo.2017.08.006")</f>
        <v>http://dx.doi.org/10.1016/j.margeo.2017.08.006</v>
      </c>
      <c r="BG96" t="s">
        <v>74</v>
      </c>
      <c r="BH96" t="s">
        <v>74</v>
      </c>
      <c r="BI96">
        <v>18</v>
      </c>
      <c r="BJ96" t="s">
        <v>2114</v>
      </c>
      <c r="BK96" t="s">
        <v>101</v>
      </c>
      <c r="BL96" t="s">
        <v>2115</v>
      </c>
      <c r="BM96" t="s">
        <v>2116</v>
      </c>
      <c r="BN96" t="s">
        <v>74</v>
      </c>
      <c r="BO96" t="s">
        <v>511</v>
      </c>
      <c r="BP96" t="s">
        <v>74</v>
      </c>
      <c r="BQ96" t="s">
        <v>74</v>
      </c>
      <c r="BR96" t="s">
        <v>105</v>
      </c>
      <c r="BS96" t="s">
        <v>2134</v>
      </c>
      <c r="BT96" t="str">
        <f>HYPERLINK("https%3A%2F%2Fwww.webofscience.com%2Fwos%2Fwoscc%2Ffull-record%2FWOS:000413279600009","View Full Record in Web of Science")</f>
        <v>View Full Record in Web of Science</v>
      </c>
    </row>
    <row r="97" spans="1:72" x14ac:dyDescent="0.15">
      <c r="A97" t="s">
        <v>72</v>
      </c>
      <c r="B97" t="s">
        <v>2135</v>
      </c>
      <c r="C97" t="s">
        <v>74</v>
      </c>
      <c r="D97" t="s">
        <v>74</v>
      </c>
      <c r="E97" t="s">
        <v>74</v>
      </c>
      <c r="F97" t="s">
        <v>2136</v>
      </c>
      <c r="G97" t="s">
        <v>74</v>
      </c>
      <c r="H97" t="s">
        <v>74</v>
      </c>
      <c r="I97" t="s">
        <v>2137</v>
      </c>
      <c r="J97" t="s">
        <v>2096</v>
      </c>
      <c r="K97" t="s">
        <v>74</v>
      </c>
      <c r="L97" t="s">
        <v>74</v>
      </c>
      <c r="M97" t="s">
        <v>78</v>
      </c>
      <c r="N97" t="s">
        <v>79</v>
      </c>
      <c r="O97" t="s">
        <v>74</v>
      </c>
      <c r="P97" t="s">
        <v>74</v>
      </c>
      <c r="Q97" t="s">
        <v>74</v>
      </c>
      <c r="R97" t="s">
        <v>74</v>
      </c>
      <c r="S97" t="s">
        <v>74</v>
      </c>
      <c r="T97" t="s">
        <v>2138</v>
      </c>
      <c r="U97" t="s">
        <v>2139</v>
      </c>
      <c r="V97" t="s">
        <v>2140</v>
      </c>
      <c r="W97" t="s">
        <v>2141</v>
      </c>
      <c r="X97" t="s">
        <v>2142</v>
      </c>
      <c r="Y97" t="s">
        <v>2143</v>
      </c>
      <c r="Z97" t="s">
        <v>1505</v>
      </c>
      <c r="AA97" t="s">
        <v>74</v>
      </c>
      <c r="AB97" t="s">
        <v>74</v>
      </c>
      <c r="AC97" t="s">
        <v>2144</v>
      </c>
      <c r="AD97" t="s">
        <v>2145</v>
      </c>
      <c r="AE97" t="s">
        <v>2146</v>
      </c>
      <c r="AF97" t="s">
        <v>74</v>
      </c>
      <c r="AG97">
        <v>84</v>
      </c>
      <c r="AH97">
        <v>22</v>
      </c>
      <c r="AI97">
        <v>25</v>
      </c>
      <c r="AJ97">
        <v>1</v>
      </c>
      <c r="AK97">
        <v>11</v>
      </c>
      <c r="AL97" t="s">
        <v>371</v>
      </c>
      <c r="AM97" t="s">
        <v>372</v>
      </c>
      <c r="AN97" t="s">
        <v>373</v>
      </c>
      <c r="AO97" t="s">
        <v>2109</v>
      </c>
      <c r="AP97" t="s">
        <v>2110</v>
      </c>
      <c r="AQ97" t="s">
        <v>74</v>
      </c>
      <c r="AR97" t="s">
        <v>2111</v>
      </c>
      <c r="AS97" t="s">
        <v>2112</v>
      </c>
      <c r="AT97" t="s">
        <v>1815</v>
      </c>
      <c r="AU97">
        <v>2017</v>
      </c>
      <c r="AV97">
        <v>392</v>
      </c>
      <c r="AW97" t="s">
        <v>74</v>
      </c>
      <c r="AX97" t="s">
        <v>74</v>
      </c>
      <c r="AY97" t="s">
        <v>74</v>
      </c>
      <c r="AZ97" t="s">
        <v>74</v>
      </c>
      <c r="BA97" t="s">
        <v>74</v>
      </c>
      <c r="BB97">
        <v>151</v>
      </c>
      <c r="BC97">
        <v>169</v>
      </c>
      <c r="BD97" t="s">
        <v>74</v>
      </c>
      <c r="BE97" t="s">
        <v>2147</v>
      </c>
      <c r="BF97" t="str">
        <f>HYPERLINK("http://dx.doi.org/10.1016/j.margeo.2017.08.005","http://dx.doi.org/10.1016/j.margeo.2017.08.005")</f>
        <v>http://dx.doi.org/10.1016/j.margeo.2017.08.005</v>
      </c>
      <c r="BG97" t="s">
        <v>74</v>
      </c>
      <c r="BH97" t="s">
        <v>74</v>
      </c>
      <c r="BI97">
        <v>19</v>
      </c>
      <c r="BJ97" t="s">
        <v>2114</v>
      </c>
      <c r="BK97" t="s">
        <v>101</v>
      </c>
      <c r="BL97" t="s">
        <v>2115</v>
      </c>
      <c r="BM97" t="s">
        <v>2116</v>
      </c>
      <c r="BN97" t="s">
        <v>74</v>
      </c>
      <c r="BO97" t="s">
        <v>511</v>
      </c>
      <c r="BP97" t="s">
        <v>74</v>
      </c>
      <c r="BQ97" t="s">
        <v>74</v>
      </c>
      <c r="BR97" t="s">
        <v>105</v>
      </c>
      <c r="BS97" t="s">
        <v>2148</v>
      </c>
      <c r="BT97" t="str">
        <f>HYPERLINK("https%3A%2F%2Fwww.webofscience.com%2Fwos%2Fwoscc%2Ffull-record%2FWOS:000413279600011","View Full Record in Web of Science")</f>
        <v>View Full Record in Web of Science</v>
      </c>
    </row>
    <row r="98" spans="1:72" x14ac:dyDescent="0.15">
      <c r="A98" t="s">
        <v>72</v>
      </c>
      <c r="B98" t="s">
        <v>2149</v>
      </c>
      <c r="C98" t="s">
        <v>74</v>
      </c>
      <c r="D98" t="s">
        <v>74</v>
      </c>
      <c r="E98" t="s">
        <v>74</v>
      </c>
      <c r="F98" t="s">
        <v>2150</v>
      </c>
      <c r="G98" t="s">
        <v>74</v>
      </c>
      <c r="H98" t="s">
        <v>74</v>
      </c>
      <c r="I98" t="s">
        <v>2151</v>
      </c>
      <c r="J98" t="s">
        <v>2152</v>
      </c>
      <c r="K98" t="s">
        <v>74</v>
      </c>
      <c r="L98" t="s">
        <v>74</v>
      </c>
      <c r="M98" t="s">
        <v>78</v>
      </c>
      <c r="N98" t="s">
        <v>79</v>
      </c>
      <c r="O98" t="s">
        <v>74</v>
      </c>
      <c r="P98" t="s">
        <v>74</v>
      </c>
      <c r="Q98" t="s">
        <v>74</v>
      </c>
      <c r="R98" t="s">
        <v>74</v>
      </c>
      <c r="S98" t="s">
        <v>74</v>
      </c>
      <c r="T98" t="s">
        <v>2153</v>
      </c>
      <c r="U98" t="s">
        <v>2154</v>
      </c>
      <c r="V98" t="s">
        <v>2155</v>
      </c>
      <c r="W98" t="s">
        <v>2156</v>
      </c>
      <c r="X98" t="s">
        <v>2157</v>
      </c>
      <c r="Y98" t="s">
        <v>2158</v>
      </c>
      <c r="Z98" t="s">
        <v>2159</v>
      </c>
      <c r="AA98" t="s">
        <v>2160</v>
      </c>
      <c r="AB98" t="s">
        <v>2161</v>
      </c>
      <c r="AC98" t="s">
        <v>2162</v>
      </c>
      <c r="AD98" t="s">
        <v>2163</v>
      </c>
      <c r="AE98" t="s">
        <v>2164</v>
      </c>
      <c r="AF98" t="s">
        <v>74</v>
      </c>
      <c r="AG98">
        <v>70</v>
      </c>
      <c r="AH98">
        <v>33</v>
      </c>
      <c r="AI98">
        <v>34</v>
      </c>
      <c r="AJ98">
        <v>0</v>
      </c>
      <c r="AK98">
        <v>30</v>
      </c>
      <c r="AL98" t="s">
        <v>1338</v>
      </c>
      <c r="AM98" t="s">
        <v>1339</v>
      </c>
      <c r="AN98" t="s">
        <v>1340</v>
      </c>
      <c r="AO98" t="s">
        <v>2165</v>
      </c>
      <c r="AP98" t="s">
        <v>2166</v>
      </c>
      <c r="AQ98" t="s">
        <v>74</v>
      </c>
      <c r="AR98" t="s">
        <v>2167</v>
      </c>
      <c r="AS98" t="s">
        <v>2168</v>
      </c>
      <c r="AT98" t="s">
        <v>1237</v>
      </c>
      <c r="AU98">
        <v>2017</v>
      </c>
      <c r="AV98">
        <v>33</v>
      </c>
      <c r="AW98">
        <v>4</v>
      </c>
      <c r="AX98" t="s">
        <v>74</v>
      </c>
      <c r="AY98" t="s">
        <v>74</v>
      </c>
      <c r="AZ98" t="s">
        <v>74</v>
      </c>
      <c r="BA98" t="s">
        <v>74</v>
      </c>
      <c r="BB98">
        <v>1035</v>
      </c>
      <c r="BC98">
        <v>1052</v>
      </c>
      <c r="BD98" t="s">
        <v>74</v>
      </c>
      <c r="BE98" t="s">
        <v>2169</v>
      </c>
      <c r="BF98" t="str">
        <f>HYPERLINK("http://dx.doi.org/10.1111/mms.12423","http://dx.doi.org/10.1111/mms.12423")</f>
        <v>http://dx.doi.org/10.1111/mms.12423</v>
      </c>
      <c r="BG98" t="s">
        <v>74</v>
      </c>
      <c r="BH98" t="s">
        <v>74</v>
      </c>
      <c r="BI98">
        <v>18</v>
      </c>
      <c r="BJ98" t="s">
        <v>2170</v>
      </c>
      <c r="BK98" t="s">
        <v>101</v>
      </c>
      <c r="BL98" t="s">
        <v>2170</v>
      </c>
      <c r="BM98" t="s">
        <v>2171</v>
      </c>
      <c r="BN98" t="s">
        <v>74</v>
      </c>
      <c r="BO98" t="s">
        <v>74</v>
      </c>
      <c r="BP98" t="s">
        <v>74</v>
      </c>
      <c r="BQ98" t="s">
        <v>74</v>
      </c>
      <c r="BR98" t="s">
        <v>105</v>
      </c>
      <c r="BS98" t="s">
        <v>2172</v>
      </c>
      <c r="BT98" t="str">
        <f>HYPERLINK("https%3A%2F%2Fwww.webofscience.com%2Fwos%2Fwoscc%2Ffull-record%2FWOS:000413358500004","View Full Record in Web of Science")</f>
        <v>View Full Record in Web of Science</v>
      </c>
    </row>
    <row r="99" spans="1:72" x14ac:dyDescent="0.15">
      <c r="A99" t="s">
        <v>72</v>
      </c>
      <c r="B99" t="s">
        <v>2173</v>
      </c>
      <c r="C99" t="s">
        <v>74</v>
      </c>
      <c r="D99" t="s">
        <v>74</v>
      </c>
      <c r="E99" t="s">
        <v>74</v>
      </c>
      <c r="F99" t="s">
        <v>2174</v>
      </c>
      <c r="G99" t="s">
        <v>74</v>
      </c>
      <c r="H99" t="s">
        <v>74</v>
      </c>
      <c r="I99" t="s">
        <v>2175</v>
      </c>
      <c r="J99" t="s">
        <v>2176</v>
      </c>
      <c r="K99" t="s">
        <v>74</v>
      </c>
      <c r="L99" t="s">
        <v>74</v>
      </c>
      <c r="M99" t="s">
        <v>78</v>
      </c>
      <c r="N99" t="s">
        <v>79</v>
      </c>
      <c r="O99" t="s">
        <v>74</v>
      </c>
      <c r="P99" t="s">
        <v>74</v>
      </c>
      <c r="Q99" t="s">
        <v>74</v>
      </c>
      <c r="R99" t="s">
        <v>74</v>
      </c>
      <c r="S99" t="s">
        <v>74</v>
      </c>
      <c r="T99" t="s">
        <v>74</v>
      </c>
      <c r="U99" t="s">
        <v>2177</v>
      </c>
      <c r="V99" t="s">
        <v>2178</v>
      </c>
      <c r="W99" t="s">
        <v>2179</v>
      </c>
      <c r="X99" t="s">
        <v>691</v>
      </c>
      <c r="Y99" t="s">
        <v>2180</v>
      </c>
      <c r="Z99" t="s">
        <v>2181</v>
      </c>
      <c r="AA99" t="s">
        <v>74</v>
      </c>
      <c r="AB99" t="s">
        <v>2182</v>
      </c>
      <c r="AC99" t="s">
        <v>2183</v>
      </c>
      <c r="AD99" t="s">
        <v>2184</v>
      </c>
      <c r="AE99" t="s">
        <v>2185</v>
      </c>
      <c r="AF99" t="s">
        <v>74</v>
      </c>
      <c r="AG99">
        <v>85</v>
      </c>
      <c r="AH99">
        <v>11</v>
      </c>
      <c r="AI99">
        <v>12</v>
      </c>
      <c r="AJ99">
        <v>1</v>
      </c>
      <c r="AK99">
        <v>2</v>
      </c>
      <c r="AL99" t="s">
        <v>1338</v>
      </c>
      <c r="AM99" t="s">
        <v>1339</v>
      </c>
      <c r="AN99" t="s">
        <v>1340</v>
      </c>
      <c r="AO99" t="s">
        <v>2186</v>
      </c>
      <c r="AP99" t="s">
        <v>2187</v>
      </c>
      <c r="AQ99" t="s">
        <v>74</v>
      </c>
      <c r="AR99" t="s">
        <v>2188</v>
      </c>
      <c r="AS99" t="s">
        <v>2189</v>
      </c>
      <c r="AT99" t="s">
        <v>1237</v>
      </c>
      <c r="AU99">
        <v>2017</v>
      </c>
      <c r="AV99">
        <v>52</v>
      </c>
      <c r="AW99">
        <v>10</v>
      </c>
      <c r="AX99" t="s">
        <v>74</v>
      </c>
      <c r="AY99" t="s">
        <v>74</v>
      </c>
      <c r="AZ99" t="s">
        <v>74</v>
      </c>
      <c r="BA99" t="s">
        <v>74</v>
      </c>
      <c r="BB99">
        <v>2258</v>
      </c>
      <c r="BC99">
        <v>2274</v>
      </c>
      <c r="BD99" t="s">
        <v>74</v>
      </c>
      <c r="BE99" t="s">
        <v>2190</v>
      </c>
      <c r="BF99" t="str">
        <f>HYPERLINK("http://dx.doi.org/10.1111/maps.12927","http://dx.doi.org/10.1111/maps.12927")</f>
        <v>http://dx.doi.org/10.1111/maps.12927</v>
      </c>
      <c r="BG99" t="s">
        <v>74</v>
      </c>
      <c r="BH99" t="s">
        <v>74</v>
      </c>
      <c r="BI99">
        <v>17</v>
      </c>
      <c r="BJ99" t="s">
        <v>509</v>
      </c>
      <c r="BK99" t="s">
        <v>101</v>
      </c>
      <c r="BL99" t="s">
        <v>509</v>
      </c>
      <c r="BM99" t="s">
        <v>2191</v>
      </c>
      <c r="BN99" t="s">
        <v>74</v>
      </c>
      <c r="BO99" t="s">
        <v>1691</v>
      </c>
      <c r="BP99" t="s">
        <v>74</v>
      </c>
      <c r="BQ99" t="s">
        <v>74</v>
      </c>
      <c r="BR99" t="s">
        <v>105</v>
      </c>
      <c r="BS99" t="s">
        <v>2192</v>
      </c>
      <c r="BT99" t="str">
        <f>HYPERLINK("https%3A%2F%2Fwww.webofscience.com%2Fwos%2Fwoscc%2Ffull-record%2FWOS:000412173600011","View Full Record in Web of Science")</f>
        <v>View Full Record in Web of Science</v>
      </c>
    </row>
    <row r="100" spans="1:72" x14ac:dyDescent="0.15">
      <c r="A100" t="s">
        <v>72</v>
      </c>
      <c r="B100" t="s">
        <v>2193</v>
      </c>
      <c r="C100" t="s">
        <v>74</v>
      </c>
      <c r="D100" t="s">
        <v>74</v>
      </c>
      <c r="E100" t="s">
        <v>74</v>
      </c>
      <c r="F100" t="s">
        <v>2194</v>
      </c>
      <c r="G100" t="s">
        <v>74</v>
      </c>
      <c r="H100" t="s">
        <v>74</v>
      </c>
      <c r="I100" t="s">
        <v>2195</v>
      </c>
      <c r="J100" t="s">
        <v>2196</v>
      </c>
      <c r="K100" t="s">
        <v>74</v>
      </c>
      <c r="L100" t="s">
        <v>74</v>
      </c>
      <c r="M100" t="s">
        <v>78</v>
      </c>
      <c r="N100" t="s">
        <v>79</v>
      </c>
      <c r="O100" t="s">
        <v>74</v>
      </c>
      <c r="P100" t="s">
        <v>74</v>
      </c>
      <c r="Q100" t="s">
        <v>74</v>
      </c>
      <c r="R100" t="s">
        <v>74</v>
      </c>
      <c r="S100" t="s">
        <v>74</v>
      </c>
      <c r="T100" t="s">
        <v>2197</v>
      </c>
      <c r="U100" t="s">
        <v>74</v>
      </c>
      <c r="V100" t="s">
        <v>2198</v>
      </c>
      <c r="W100" t="s">
        <v>2199</v>
      </c>
      <c r="X100" t="s">
        <v>2200</v>
      </c>
      <c r="Y100" t="s">
        <v>2201</v>
      </c>
      <c r="Z100" t="s">
        <v>2202</v>
      </c>
      <c r="AA100" t="s">
        <v>2203</v>
      </c>
      <c r="AB100" t="s">
        <v>2204</v>
      </c>
      <c r="AC100" t="s">
        <v>782</v>
      </c>
      <c r="AD100" t="s">
        <v>783</v>
      </c>
      <c r="AE100" t="s">
        <v>2205</v>
      </c>
      <c r="AF100" t="s">
        <v>74</v>
      </c>
      <c r="AG100">
        <v>6</v>
      </c>
      <c r="AH100">
        <v>4</v>
      </c>
      <c r="AI100">
        <v>4</v>
      </c>
      <c r="AJ100">
        <v>0</v>
      </c>
      <c r="AK100">
        <v>5</v>
      </c>
      <c r="AL100" t="s">
        <v>1338</v>
      </c>
      <c r="AM100" t="s">
        <v>1339</v>
      </c>
      <c r="AN100" t="s">
        <v>1340</v>
      </c>
      <c r="AO100" t="s">
        <v>2206</v>
      </c>
      <c r="AP100" t="s">
        <v>2207</v>
      </c>
      <c r="AQ100" t="s">
        <v>74</v>
      </c>
      <c r="AR100" t="s">
        <v>2208</v>
      </c>
      <c r="AS100" t="s">
        <v>2209</v>
      </c>
      <c r="AT100" t="s">
        <v>1237</v>
      </c>
      <c r="AU100">
        <v>2017</v>
      </c>
      <c r="AV100">
        <v>8</v>
      </c>
      <c r="AW100">
        <v>10</v>
      </c>
      <c r="AX100" t="s">
        <v>74</v>
      </c>
      <c r="AY100" t="s">
        <v>74</v>
      </c>
      <c r="AZ100" t="s">
        <v>74</v>
      </c>
      <c r="BA100" t="s">
        <v>74</v>
      </c>
      <c r="BB100">
        <v>1305</v>
      </c>
      <c r="BC100">
        <v>1308</v>
      </c>
      <c r="BD100" t="s">
        <v>74</v>
      </c>
      <c r="BE100" t="s">
        <v>2210</v>
      </c>
      <c r="BF100" t="str">
        <f>HYPERLINK("http://dx.doi.org/10.1111/2041-210X.12806","http://dx.doi.org/10.1111/2041-210X.12806")</f>
        <v>http://dx.doi.org/10.1111/2041-210X.12806</v>
      </c>
      <c r="BG100" t="s">
        <v>74</v>
      </c>
      <c r="BH100" t="s">
        <v>74</v>
      </c>
      <c r="BI100">
        <v>4</v>
      </c>
      <c r="BJ100" t="s">
        <v>1047</v>
      </c>
      <c r="BK100" t="s">
        <v>101</v>
      </c>
      <c r="BL100" t="s">
        <v>1048</v>
      </c>
      <c r="BM100" t="s">
        <v>2211</v>
      </c>
      <c r="BN100" t="s">
        <v>74</v>
      </c>
      <c r="BO100" t="s">
        <v>104</v>
      </c>
      <c r="BP100" t="s">
        <v>74</v>
      </c>
      <c r="BQ100" t="s">
        <v>74</v>
      </c>
      <c r="BR100" t="s">
        <v>105</v>
      </c>
      <c r="BS100" t="s">
        <v>2212</v>
      </c>
      <c r="BT100" t="str">
        <f>HYPERLINK("https%3A%2F%2Fwww.webofscience.com%2Fwos%2Fwoscc%2Ffull-record%2FWOS:000412858600015","View Full Record in Web of Science")</f>
        <v>View Full Record in Web of Science</v>
      </c>
    </row>
    <row r="101" spans="1:72" x14ac:dyDescent="0.15">
      <c r="A101" t="s">
        <v>72</v>
      </c>
      <c r="B101" t="s">
        <v>2213</v>
      </c>
      <c r="C101" t="s">
        <v>74</v>
      </c>
      <c r="D101" t="s">
        <v>74</v>
      </c>
      <c r="E101" t="s">
        <v>74</v>
      </c>
      <c r="F101" t="s">
        <v>2214</v>
      </c>
      <c r="G101" t="s">
        <v>74</v>
      </c>
      <c r="H101" t="s">
        <v>74</v>
      </c>
      <c r="I101" t="s">
        <v>2215</v>
      </c>
      <c r="J101" t="s">
        <v>2216</v>
      </c>
      <c r="K101" t="s">
        <v>74</v>
      </c>
      <c r="L101" t="s">
        <v>74</v>
      </c>
      <c r="M101" t="s">
        <v>78</v>
      </c>
      <c r="N101" t="s">
        <v>79</v>
      </c>
      <c r="O101" t="s">
        <v>74</v>
      </c>
      <c r="P101" t="s">
        <v>74</v>
      </c>
      <c r="Q101" t="s">
        <v>74</v>
      </c>
      <c r="R101" t="s">
        <v>74</v>
      </c>
      <c r="S101" t="s">
        <v>74</v>
      </c>
      <c r="T101" t="s">
        <v>74</v>
      </c>
      <c r="U101" t="s">
        <v>2217</v>
      </c>
      <c r="V101" t="s">
        <v>2218</v>
      </c>
      <c r="W101" t="s">
        <v>2219</v>
      </c>
      <c r="X101" t="s">
        <v>2220</v>
      </c>
      <c r="Y101" t="s">
        <v>2221</v>
      </c>
      <c r="Z101" t="s">
        <v>2222</v>
      </c>
      <c r="AA101" t="s">
        <v>2223</v>
      </c>
      <c r="AB101" t="s">
        <v>2224</v>
      </c>
      <c r="AC101" t="s">
        <v>2225</v>
      </c>
      <c r="AD101" t="s">
        <v>2226</v>
      </c>
      <c r="AE101" t="s">
        <v>2227</v>
      </c>
      <c r="AF101" t="s">
        <v>74</v>
      </c>
      <c r="AG101">
        <v>61</v>
      </c>
      <c r="AH101">
        <v>26</v>
      </c>
      <c r="AI101">
        <v>26</v>
      </c>
      <c r="AJ101">
        <v>0</v>
      </c>
      <c r="AK101">
        <v>10</v>
      </c>
      <c r="AL101" t="s">
        <v>1366</v>
      </c>
      <c r="AM101" t="s">
        <v>1367</v>
      </c>
      <c r="AN101" t="s">
        <v>1368</v>
      </c>
      <c r="AO101" t="s">
        <v>2228</v>
      </c>
      <c r="AP101" t="s">
        <v>2229</v>
      </c>
      <c r="AQ101" t="s">
        <v>74</v>
      </c>
      <c r="AR101" t="s">
        <v>2230</v>
      </c>
      <c r="AS101" t="s">
        <v>2231</v>
      </c>
      <c r="AT101" t="s">
        <v>1237</v>
      </c>
      <c r="AU101">
        <v>2017</v>
      </c>
      <c r="AV101">
        <v>145</v>
      </c>
      <c r="AW101">
        <v>10</v>
      </c>
      <c r="AX101" t="s">
        <v>74</v>
      </c>
      <c r="AY101" t="s">
        <v>74</v>
      </c>
      <c r="AZ101" t="s">
        <v>74</v>
      </c>
      <c r="BA101" t="s">
        <v>74</v>
      </c>
      <c r="BB101">
        <v>4249</v>
      </c>
      <c r="BC101">
        <v>4275</v>
      </c>
      <c r="BD101" t="s">
        <v>74</v>
      </c>
      <c r="BE101" t="s">
        <v>2232</v>
      </c>
      <c r="BF101" t="str">
        <f>HYPERLINK("http://dx.doi.org/10.1175/MWR-D-16-0435.1","http://dx.doi.org/10.1175/MWR-D-16-0435.1")</f>
        <v>http://dx.doi.org/10.1175/MWR-D-16-0435.1</v>
      </c>
      <c r="BG101" t="s">
        <v>74</v>
      </c>
      <c r="BH101" t="s">
        <v>74</v>
      </c>
      <c r="BI101">
        <v>27</v>
      </c>
      <c r="BJ101" t="s">
        <v>162</v>
      </c>
      <c r="BK101" t="s">
        <v>101</v>
      </c>
      <c r="BL101" t="s">
        <v>162</v>
      </c>
      <c r="BM101" t="s">
        <v>2233</v>
      </c>
      <c r="BN101" t="s">
        <v>74</v>
      </c>
      <c r="BO101" t="s">
        <v>1639</v>
      </c>
      <c r="BP101" t="s">
        <v>74</v>
      </c>
      <c r="BQ101" t="s">
        <v>74</v>
      </c>
      <c r="BR101" t="s">
        <v>105</v>
      </c>
      <c r="BS101" t="s">
        <v>2234</v>
      </c>
      <c r="BT101" t="str">
        <f>HYPERLINK("https%3A%2F%2Fwww.webofscience.com%2Fwos%2Fwoscc%2Ffull-record%2FWOS:000412896100018","View Full Record in Web of Science")</f>
        <v>View Full Record in Web of Science</v>
      </c>
    </row>
    <row r="102" spans="1:72" x14ac:dyDescent="0.15">
      <c r="A102" t="s">
        <v>72</v>
      </c>
      <c r="B102" t="s">
        <v>2235</v>
      </c>
      <c r="C102" t="s">
        <v>74</v>
      </c>
      <c r="D102" t="s">
        <v>74</v>
      </c>
      <c r="E102" t="s">
        <v>74</v>
      </c>
      <c r="F102" t="s">
        <v>2236</v>
      </c>
      <c r="G102" t="s">
        <v>74</v>
      </c>
      <c r="H102" t="s">
        <v>74</v>
      </c>
      <c r="I102" t="s">
        <v>2237</v>
      </c>
      <c r="J102" t="s">
        <v>464</v>
      </c>
      <c r="K102" t="s">
        <v>74</v>
      </c>
      <c r="L102" t="s">
        <v>74</v>
      </c>
      <c r="M102" t="s">
        <v>78</v>
      </c>
      <c r="N102" t="s">
        <v>79</v>
      </c>
      <c r="O102" t="s">
        <v>74</v>
      </c>
      <c r="P102" t="s">
        <v>74</v>
      </c>
      <c r="Q102" t="s">
        <v>74</v>
      </c>
      <c r="R102" t="s">
        <v>74</v>
      </c>
      <c r="S102" t="s">
        <v>74</v>
      </c>
      <c r="T102" t="s">
        <v>2238</v>
      </c>
      <c r="U102" t="s">
        <v>2239</v>
      </c>
      <c r="V102" t="s">
        <v>2240</v>
      </c>
      <c r="W102" t="s">
        <v>2241</v>
      </c>
      <c r="X102" t="s">
        <v>2242</v>
      </c>
      <c r="Y102" t="s">
        <v>2243</v>
      </c>
      <c r="Z102" t="s">
        <v>2244</v>
      </c>
      <c r="AA102" t="s">
        <v>2245</v>
      </c>
      <c r="AB102" t="s">
        <v>2246</v>
      </c>
      <c r="AC102" t="s">
        <v>2247</v>
      </c>
      <c r="AD102" t="s">
        <v>2248</v>
      </c>
      <c r="AE102" t="s">
        <v>2249</v>
      </c>
      <c r="AF102" t="s">
        <v>74</v>
      </c>
      <c r="AG102">
        <v>63</v>
      </c>
      <c r="AH102">
        <v>12</v>
      </c>
      <c r="AI102">
        <v>13</v>
      </c>
      <c r="AJ102">
        <v>2</v>
      </c>
      <c r="AK102">
        <v>38</v>
      </c>
      <c r="AL102" t="s">
        <v>477</v>
      </c>
      <c r="AM102" t="s">
        <v>92</v>
      </c>
      <c r="AN102" t="s">
        <v>478</v>
      </c>
      <c r="AO102" t="s">
        <v>479</v>
      </c>
      <c r="AP102" t="s">
        <v>74</v>
      </c>
      <c r="AQ102" t="s">
        <v>74</v>
      </c>
      <c r="AR102" t="s">
        <v>480</v>
      </c>
      <c r="AS102" t="s">
        <v>481</v>
      </c>
      <c r="AT102" t="s">
        <v>1815</v>
      </c>
      <c r="AU102">
        <v>2017</v>
      </c>
      <c r="AV102">
        <v>114</v>
      </c>
      <c r="AW102">
        <v>44</v>
      </c>
      <c r="AX102" t="s">
        <v>74</v>
      </c>
      <c r="AY102" t="s">
        <v>74</v>
      </c>
      <c r="AZ102" t="s">
        <v>74</v>
      </c>
      <c r="BA102" t="s">
        <v>74</v>
      </c>
      <c r="BB102">
        <v>11781</v>
      </c>
      <c r="BC102">
        <v>11786</v>
      </c>
      <c r="BD102" t="s">
        <v>74</v>
      </c>
      <c r="BE102" t="s">
        <v>2250</v>
      </c>
      <c r="BF102" t="str">
        <f>HYPERLINK("http://dx.doi.org/10.1073/pnas.1703165114","http://dx.doi.org/10.1073/pnas.1703165114")</f>
        <v>http://dx.doi.org/10.1073/pnas.1703165114</v>
      </c>
      <c r="BG102" t="s">
        <v>74</v>
      </c>
      <c r="BH102" t="s">
        <v>74</v>
      </c>
      <c r="BI102">
        <v>6</v>
      </c>
      <c r="BJ102" t="s">
        <v>190</v>
      </c>
      <c r="BK102" t="s">
        <v>101</v>
      </c>
      <c r="BL102" t="s">
        <v>191</v>
      </c>
      <c r="BM102" t="s">
        <v>2251</v>
      </c>
      <c r="BN102">
        <v>29078271</v>
      </c>
      <c r="BO102" t="s">
        <v>122</v>
      </c>
      <c r="BP102" t="s">
        <v>74</v>
      </c>
      <c r="BQ102" t="s">
        <v>74</v>
      </c>
      <c r="BR102" t="s">
        <v>105</v>
      </c>
      <c r="BS102" t="s">
        <v>2252</v>
      </c>
      <c r="BT102" t="str">
        <f>HYPERLINK("https%3A%2F%2Fwww.webofscience.com%2Fwos%2Fwoscc%2Ffull-record%2FWOS:000414127400074","View Full Record in Web of Science")</f>
        <v>View Full Record in Web of Science</v>
      </c>
    </row>
    <row r="103" spans="1:72" x14ac:dyDescent="0.15">
      <c r="A103" t="s">
        <v>72</v>
      </c>
      <c r="B103" t="s">
        <v>2253</v>
      </c>
      <c r="C103" t="s">
        <v>74</v>
      </c>
      <c r="D103" t="s">
        <v>74</v>
      </c>
      <c r="E103" t="s">
        <v>74</v>
      </c>
      <c r="F103" t="s">
        <v>2254</v>
      </c>
      <c r="G103" t="s">
        <v>74</v>
      </c>
      <c r="H103" t="s">
        <v>74</v>
      </c>
      <c r="I103" t="s">
        <v>2255</v>
      </c>
      <c r="J103" t="s">
        <v>2256</v>
      </c>
      <c r="K103" t="s">
        <v>74</v>
      </c>
      <c r="L103" t="s">
        <v>74</v>
      </c>
      <c r="M103" t="s">
        <v>78</v>
      </c>
      <c r="N103" t="s">
        <v>79</v>
      </c>
      <c r="O103" t="s">
        <v>74</v>
      </c>
      <c r="P103" t="s">
        <v>74</v>
      </c>
      <c r="Q103" t="s">
        <v>74</v>
      </c>
      <c r="R103" t="s">
        <v>74</v>
      </c>
      <c r="S103" t="s">
        <v>74</v>
      </c>
      <c r="T103" t="s">
        <v>2257</v>
      </c>
      <c r="U103" t="s">
        <v>2258</v>
      </c>
      <c r="V103" t="s">
        <v>2259</v>
      </c>
      <c r="W103" t="s">
        <v>2260</v>
      </c>
      <c r="X103" t="s">
        <v>2261</v>
      </c>
      <c r="Y103" t="s">
        <v>2262</v>
      </c>
      <c r="Z103" t="s">
        <v>2263</v>
      </c>
      <c r="AA103" t="s">
        <v>2264</v>
      </c>
      <c r="AB103" t="s">
        <v>2265</v>
      </c>
      <c r="AC103" t="s">
        <v>2266</v>
      </c>
      <c r="AD103" t="s">
        <v>2267</v>
      </c>
      <c r="AE103" t="s">
        <v>2268</v>
      </c>
      <c r="AF103" t="s">
        <v>74</v>
      </c>
      <c r="AG103">
        <v>48</v>
      </c>
      <c r="AH103">
        <v>16</v>
      </c>
      <c r="AI103">
        <v>16</v>
      </c>
      <c r="AJ103">
        <v>0</v>
      </c>
      <c r="AK103">
        <v>11</v>
      </c>
      <c r="AL103" t="s">
        <v>1981</v>
      </c>
      <c r="AM103" t="s">
        <v>729</v>
      </c>
      <c r="AN103" t="s">
        <v>1982</v>
      </c>
      <c r="AO103" t="s">
        <v>2269</v>
      </c>
      <c r="AP103" t="s">
        <v>74</v>
      </c>
      <c r="AQ103" t="s">
        <v>74</v>
      </c>
      <c r="AR103" t="s">
        <v>2270</v>
      </c>
      <c r="AS103" t="s">
        <v>2271</v>
      </c>
      <c r="AT103" t="s">
        <v>1815</v>
      </c>
      <c r="AU103">
        <v>2017</v>
      </c>
      <c r="AV103">
        <v>173</v>
      </c>
      <c r="AW103" t="s">
        <v>74</v>
      </c>
      <c r="AX103" t="s">
        <v>74</v>
      </c>
      <c r="AY103" t="s">
        <v>74</v>
      </c>
      <c r="AZ103" t="s">
        <v>74</v>
      </c>
      <c r="BA103" t="s">
        <v>74</v>
      </c>
      <c r="BB103">
        <v>92</v>
      </c>
      <c r="BC103">
        <v>100</v>
      </c>
      <c r="BD103" t="s">
        <v>74</v>
      </c>
      <c r="BE103" t="s">
        <v>2272</v>
      </c>
      <c r="BF103" t="str">
        <f>HYPERLINK("http://dx.doi.org/10.1016/j.quascirev.2017.08.008","http://dx.doi.org/10.1016/j.quascirev.2017.08.008")</f>
        <v>http://dx.doi.org/10.1016/j.quascirev.2017.08.008</v>
      </c>
      <c r="BG103" t="s">
        <v>74</v>
      </c>
      <c r="BH103" t="s">
        <v>74</v>
      </c>
      <c r="BI103">
        <v>9</v>
      </c>
      <c r="BJ103" t="s">
        <v>319</v>
      </c>
      <c r="BK103" t="s">
        <v>101</v>
      </c>
      <c r="BL103" t="s">
        <v>320</v>
      </c>
      <c r="BM103" t="s">
        <v>2273</v>
      </c>
      <c r="BN103" t="s">
        <v>74</v>
      </c>
      <c r="BO103" t="s">
        <v>2274</v>
      </c>
      <c r="BP103" t="s">
        <v>74</v>
      </c>
      <c r="BQ103" t="s">
        <v>74</v>
      </c>
      <c r="BR103" t="s">
        <v>105</v>
      </c>
      <c r="BS103" t="s">
        <v>2275</v>
      </c>
      <c r="BT103" t="str">
        <f>HYPERLINK("https%3A%2F%2Fwww.webofscience.com%2Fwos%2Fwoscc%2Ffull-record%2FWOS:000412266500006","View Full Record in Web of Science")</f>
        <v>View Full Record in Web of Science</v>
      </c>
    </row>
    <row r="104" spans="1:72" x14ac:dyDescent="0.15">
      <c r="A104" t="s">
        <v>72</v>
      </c>
      <c r="B104" t="s">
        <v>2276</v>
      </c>
      <c r="C104" t="s">
        <v>74</v>
      </c>
      <c r="D104" t="s">
        <v>74</v>
      </c>
      <c r="E104" t="s">
        <v>74</v>
      </c>
      <c r="F104" t="s">
        <v>2277</v>
      </c>
      <c r="G104" t="s">
        <v>74</v>
      </c>
      <c r="H104" t="s">
        <v>74</v>
      </c>
      <c r="I104" t="s">
        <v>2278</v>
      </c>
      <c r="J104" t="s">
        <v>2279</v>
      </c>
      <c r="K104" t="s">
        <v>74</v>
      </c>
      <c r="L104" t="s">
        <v>74</v>
      </c>
      <c r="M104" t="s">
        <v>78</v>
      </c>
      <c r="N104" t="s">
        <v>79</v>
      </c>
      <c r="O104" t="s">
        <v>74</v>
      </c>
      <c r="P104" t="s">
        <v>74</v>
      </c>
      <c r="Q104" t="s">
        <v>74</v>
      </c>
      <c r="R104" t="s">
        <v>74</v>
      </c>
      <c r="S104" t="s">
        <v>74</v>
      </c>
      <c r="T104" t="s">
        <v>2280</v>
      </c>
      <c r="U104" t="s">
        <v>2281</v>
      </c>
      <c r="V104" t="s">
        <v>2282</v>
      </c>
      <c r="W104" t="s">
        <v>2283</v>
      </c>
      <c r="X104" t="s">
        <v>2284</v>
      </c>
      <c r="Y104" t="s">
        <v>2285</v>
      </c>
      <c r="Z104" t="s">
        <v>2286</v>
      </c>
      <c r="AA104" t="s">
        <v>2287</v>
      </c>
      <c r="AB104" t="s">
        <v>2288</v>
      </c>
      <c r="AC104" t="s">
        <v>74</v>
      </c>
      <c r="AD104" t="s">
        <v>74</v>
      </c>
      <c r="AE104" t="s">
        <v>74</v>
      </c>
      <c r="AF104" t="s">
        <v>74</v>
      </c>
      <c r="AG104">
        <v>62</v>
      </c>
      <c r="AH104">
        <v>4</v>
      </c>
      <c r="AI104">
        <v>4</v>
      </c>
      <c r="AJ104">
        <v>0</v>
      </c>
      <c r="AK104">
        <v>2</v>
      </c>
      <c r="AL104" t="s">
        <v>2289</v>
      </c>
      <c r="AM104" t="s">
        <v>2290</v>
      </c>
      <c r="AN104" t="s">
        <v>2291</v>
      </c>
      <c r="AO104" t="s">
        <v>2292</v>
      </c>
      <c r="AP104" t="s">
        <v>2293</v>
      </c>
      <c r="AQ104" t="s">
        <v>74</v>
      </c>
      <c r="AR104" t="s">
        <v>2279</v>
      </c>
      <c r="AS104" t="s">
        <v>2294</v>
      </c>
      <c r="AT104" t="s">
        <v>1237</v>
      </c>
      <c r="AU104">
        <v>2017</v>
      </c>
      <c r="AV104">
        <v>33</v>
      </c>
      <c r="AW104">
        <v>2</v>
      </c>
      <c r="AX104" t="s">
        <v>74</v>
      </c>
      <c r="AY104" t="s">
        <v>74</v>
      </c>
      <c r="AZ104" t="s">
        <v>74</v>
      </c>
      <c r="BA104" t="s">
        <v>74</v>
      </c>
      <c r="BB104">
        <v>159</v>
      </c>
      <c r="BC104">
        <v>171</v>
      </c>
      <c r="BD104" t="s">
        <v>74</v>
      </c>
      <c r="BE104" t="s">
        <v>2295</v>
      </c>
      <c r="BF104" t="str">
        <f>HYPERLINK("http://dx.doi.org/10.1007/s41208-017-0033-2","http://dx.doi.org/10.1007/s41208-017-0033-2")</f>
        <v>http://dx.doi.org/10.1007/s41208-017-0033-2</v>
      </c>
      <c r="BG104" t="s">
        <v>74</v>
      </c>
      <c r="BH104" t="s">
        <v>74</v>
      </c>
      <c r="BI104">
        <v>13</v>
      </c>
      <c r="BJ104" t="s">
        <v>2296</v>
      </c>
      <c r="BK104" t="s">
        <v>101</v>
      </c>
      <c r="BL104" t="s">
        <v>2296</v>
      </c>
      <c r="BM104" t="s">
        <v>2297</v>
      </c>
      <c r="BN104" t="s">
        <v>74</v>
      </c>
      <c r="BO104" t="s">
        <v>74</v>
      </c>
      <c r="BP104" t="s">
        <v>74</v>
      </c>
      <c r="BQ104" t="s">
        <v>74</v>
      </c>
      <c r="BR104" t="s">
        <v>105</v>
      </c>
      <c r="BS104" t="s">
        <v>2298</v>
      </c>
      <c r="BT104" t="str">
        <f>HYPERLINK("https%3A%2F%2Fwww.webofscience.com%2Fwos%2Fwoscc%2Ffull-record%2FWOS:000413253000010","View Full Record in Web of Science")</f>
        <v>View Full Record in Web of Science</v>
      </c>
    </row>
    <row r="105" spans="1:72" x14ac:dyDescent="0.15">
      <c r="A105" t="s">
        <v>72</v>
      </c>
      <c r="B105" t="s">
        <v>2299</v>
      </c>
      <c r="C105" t="s">
        <v>74</v>
      </c>
      <c r="D105" t="s">
        <v>74</v>
      </c>
      <c r="E105" t="s">
        <v>74</v>
      </c>
      <c r="F105" t="s">
        <v>2300</v>
      </c>
      <c r="G105" t="s">
        <v>74</v>
      </c>
      <c r="H105" t="s">
        <v>74</v>
      </c>
      <c r="I105" t="s">
        <v>2301</v>
      </c>
      <c r="J105" t="s">
        <v>2302</v>
      </c>
      <c r="K105" t="s">
        <v>74</v>
      </c>
      <c r="L105" t="s">
        <v>74</v>
      </c>
      <c r="M105" t="s">
        <v>78</v>
      </c>
      <c r="N105" t="s">
        <v>79</v>
      </c>
      <c r="O105" t="s">
        <v>74</v>
      </c>
      <c r="P105" t="s">
        <v>74</v>
      </c>
      <c r="Q105" t="s">
        <v>74</v>
      </c>
      <c r="R105" t="s">
        <v>74</v>
      </c>
      <c r="S105" t="s">
        <v>74</v>
      </c>
      <c r="T105" t="s">
        <v>2303</v>
      </c>
      <c r="U105" t="s">
        <v>2304</v>
      </c>
      <c r="V105" t="s">
        <v>2305</v>
      </c>
      <c r="W105" t="s">
        <v>2306</v>
      </c>
      <c r="X105" t="s">
        <v>2307</v>
      </c>
      <c r="Y105" t="s">
        <v>2308</v>
      </c>
      <c r="Z105" t="s">
        <v>2309</v>
      </c>
      <c r="AA105" t="s">
        <v>2310</v>
      </c>
      <c r="AB105" t="s">
        <v>2311</v>
      </c>
      <c r="AC105" t="s">
        <v>2312</v>
      </c>
      <c r="AD105" t="s">
        <v>2313</v>
      </c>
      <c r="AE105" t="s">
        <v>2314</v>
      </c>
      <c r="AF105" t="s">
        <v>74</v>
      </c>
      <c r="AG105">
        <v>67</v>
      </c>
      <c r="AH105">
        <v>16</v>
      </c>
      <c r="AI105">
        <v>16</v>
      </c>
      <c r="AJ105">
        <v>9</v>
      </c>
      <c r="AK105">
        <v>116</v>
      </c>
      <c r="AL105" t="s">
        <v>1981</v>
      </c>
      <c r="AM105" t="s">
        <v>729</v>
      </c>
      <c r="AN105" t="s">
        <v>1982</v>
      </c>
      <c r="AO105" t="s">
        <v>2315</v>
      </c>
      <c r="AP105" t="s">
        <v>2316</v>
      </c>
      <c r="AQ105" t="s">
        <v>74</v>
      </c>
      <c r="AR105" t="s">
        <v>2317</v>
      </c>
      <c r="AS105" t="s">
        <v>2318</v>
      </c>
      <c r="AT105" t="s">
        <v>1237</v>
      </c>
      <c r="AU105">
        <v>2017</v>
      </c>
      <c r="AV105">
        <v>166</v>
      </c>
      <c r="AW105" t="s">
        <v>74</v>
      </c>
      <c r="AX105" t="s">
        <v>74</v>
      </c>
      <c r="AY105" t="s">
        <v>74</v>
      </c>
      <c r="AZ105" t="s">
        <v>74</v>
      </c>
      <c r="BA105" t="s">
        <v>74</v>
      </c>
      <c r="BB105">
        <v>244</v>
      </c>
      <c r="BC105">
        <v>254</v>
      </c>
      <c r="BD105" t="s">
        <v>74</v>
      </c>
      <c r="BE105" t="s">
        <v>2319</v>
      </c>
      <c r="BF105" t="str">
        <f>HYPERLINK("http://dx.doi.org/10.1016/j.atmosenv.2017.07.031","http://dx.doi.org/10.1016/j.atmosenv.2017.07.031")</f>
        <v>http://dx.doi.org/10.1016/j.atmosenv.2017.07.031</v>
      </c>
      <c r="BG105" t="s">
        <v>74</v>
      </c>
      <c r="BH105" t="s">
        <v>74</v>
      </c>
      <c r="BI105">
        <v>11</v>
      </c>
      <c r="BJ105" t="s">
        <v>834</v>
      </c>
      <c r="BK105" t="s">
        <v>101</v>
      </c>
      <c r="BL105" t="s">
        <v>835</v>
      </c>
      <c r="BM105" t="s">
        <v>2320</v>
      </c>
      <c r="BN105" t="s">
        <v>74</v>
      </c>
      <c r="BO105" t="s">
        <v>511</v>
      </c>
      <c r="BP105" t="s">
        <v>74</v>
      </c>
      <c r="BQ105" t="s">
        <v>74</v>
      </c>
      <c r="BR105" t="s">
        <v>105</v>
      </c>
      <c r="BS105" t="s">
        <v>2321</v>
      </c>
      <c r="BT105" t="str">
        <f>HYPERLINK("https%3A%2F%2Fwww.webofscience.com%2Fwos%2Fwoscc%2Ffull-record%2FWOS:000411298800022","View Full Record in Web of Science")</f>
        <v>View Full Record in Web of Science</v>
      </c>
    </row>
    <row r="106" spans="1:72" x14ac:dyDescent="0.15">
      <c r="A106" t="s">
        <v>72</v>
      </c>
      <c r="B106" t="s">
        <v>2322</v>
      </c>
      <c r="C106" t="s">
        <v>74</v>
      </c>
      <c r="D106" t="s">
        <v>74</v>
      </c>
      <c r="E106" t="s">
        <v>74</v>
      </c>
      <c r="F106" t="s">
        <v>2323</v>
      </c>
      <c r="G106" t="s">
        <v>74</v>
      </c>
      <c r="H106" t="s">
        <v>74</v>
      </c>
      <c r="I106" t="s">
        <v>2324</v>
      </c>
      <c r="J106" t="s">
        <v>2302</v>
      </c>
      <c r="K106" t="s">
        <v>74</v>
      </c>
      <c r="L106" t="s">
        <v>74</v>
      </c>
      <c r="M106" t="s">
        <v>78</v>
      </c>
      <c r="N106" t="s">
        <v>79</v>
      </c>
      <c r="O106" t="s">
        <v>74</v>
      </c>
      <c r="P106" t="s">
        <v>74</v>
      </c>
      <c r="Q106" t="s">
        <v>74</v>
      </c>
      <c r="R106" t="s">
        <v>74</v>
      </c>
      <c r="S106" t="s">
        <v>74</v>
      </c>
      <c r="T106" t="s">
        <v>2325</v>
      </c>
      <c r="U106" t="s">
        <v>2326</v>
      </c>
      <c r="V106" t="s">
        <v>2327</v>
      </c>
      <c r="W106" t="s">
        <v>2328</v>
      </c>
      <c r="X106" t="s">
        <v>2329</v>
      </c>
      <c r="Y106" t="s">
        <v>2330</v>
      </c>
      <c r="Z106" t="s">
        <v>2331</v>
      </c>
      <c r="AA106" t="s">
        <v>2332</v>
      </c>
      <c r="AB106" t="s">
        <v>2333</v>
      </c>
      <c r="AC106" t="s">
        <v>74</v>
      </c>
      <c r="AD106" t="s">
        <v>74</v>
      </c>
      <c r="AE106" t="s">
        <v>74</v>
      </c>
      <c r="AF106" t="s">
        <v>74</v>
      </c>
      <c r="AG106">
        <v>34</v>
      </c>
      <c r="AH106">
        <v>13</v>
      </c>
      <c r="AI106">
        <v>14</v>
      </c>
      <c r="AJ106">
        <v>0</v>
      </c>
      <c r="AK106">
        <v>29</v>
      </c>
      <c r="AL106" t="s">
        <v>1981</v>
      </c>
      <c r="AM106" t="s">
        <v>729</v>
      </c>
      <c r="AN106" t="s">
        <v>1982</v>
      </c>
      <c r="AO106" t="s">
        <v>2315</v>
      </c>
      <c r="AP106" t="s">
        <v>2316</v>
      </c>
      <c r="AQ106" t="s">
        <v>74</v>
      </c>
      <c r="AR106" t="s">
        <v>2317</v>
      </c>
      <c r="AS106" t="s">
        <v>2318</v>
      </c>
      <c r="AT106" t="s">
        <v>1237</v>
      </c>
      <c r="AU106">
        <v>2017</v>
      </c>
      <c r="AV106">
        <v>166</v>
      </c>
      <c r="AW106" t="s">
        <v>74</v>
      </c>
      <c r="AX106" t="s">
        <v>74</v>
      </c>
      <c r="AY106" t="s">
        <v>74</v>
      </c>
      <c r="AZ106" t="s">
        <v>74</v>
      </c>
      <c r="BA106" t="s">
        <v>74</v>
      </c>
      <c r="BB106">
        <v>327</v>
      </c>
      <c r="BC106">
        <v>333</v>
      </c>
      <c r="BD106" t="s">
        <v>74</v>
      </c>
      <c r="BE106" t="s">
        <v>2334</v>
      </c>
      <c r="BF106" t="str">
        <f>HYPERLINK("http://dx.doi.org/10.1016/j.atmosenv.2017.07.040","http://dx.doi.org/10.1016/j.atmosenv.2017.07.040")</f>
        <v>http://dx.doi.org/10.1016/j.atmosenv.2017.07.040</v>
      </c>
      <c r="BG106" t="s">
        <v>74</v>
      </c>
      <c r="BH106" t="s">
        <v>74</v>
      </c>
      <c r="BI106">
        <v>7</v>
      </c>
      <c r="BJ106" t="s">
        <v>834</v>
      </c>
      <c r="BK106" t="s">
        <v>101</v>
      </c>
      <c r="BL106" t="s">
        <v>835</v>
      </c>
      <c r="BM106" t="s">
        <v>2320</v>
      </c>
      <c r="BN106" t="s">
        <v>74</v>
      </c>
      <c r="BO106" t="s">
        <v>511</v>
      </c>
      <c r="BP106" t="s">
        <v>74</v>
      </c>
      <c r="BQ106" t="s">
        <v>74</v>
      </c>
      <c r="BR106" t="s">
        <v>105</v>
      </c>
      <c r="BS106" t="s">
        <v>2335</v>
      </c>
      <c r="BT106" t="str">
        <f>HYPERLINK("https%3A%2F%2Fwww.webofscience.com%2Fwos%2Fwoscc%2Ffull-record%2FWOS:000411298800029","View Full Record in Web of Science")</f>
        <v>View Full Record in Web of Science</v>
      </c>
    </row>
    <row r="107" spans="1:72" x14ac:dyDescent="0.15">
      <c r="A107" t="s">
        <v>72</v>
      </c>
      <c r="B107" t="s">
        <v>2336</v>
      </c>
      <c r="C107" t="s">
        <v>74</v>
      </c>
      <c r="D107" t="s">
        <v>74</v>
      </c>
      <c r="E107" t="s">
        <v>74</v>
      </c>
      <c r="F107" t="s">
        <v>2337</v>
      </c>
      <c r="G107" t="s">
        <v>74</v>
      </c>
      <c r="H107" t="s">
        <v>74</v>
      </c>
      <c r="I107" t="s">
        <v>2338</v>
      </c>
      <c r="J107" t="s">
        <v>2339</v>
      </c>
      <c r="K107" t="s">
        <v>74</v>
      </c>
      <c r="L107" t="s">
        <v>74</v>
      </c>
      <c r="M107" t="s">
        <v>78</v>
      </c>
      <c r="N107" t="s">
        <v>79</v>
      </c>
      <c r="O107" t="s">
        <v>74</v>
      </c>
      <c r="P107" t="s">
        <v>74</v>
      </c>
      <c r="Q107" t="s">
        <v>74</v>
      </c>
      <c r="R107" t="s">
        <v>74</v>
      </c>
      <c r="S107" t="s">
        <v>74</v>
      </c>
      <c r="T107" t="s">
        <v>74</v>
      </c>
      <c r="U107" t="s">
        <v>2340</v>
      </c>
      <c r="V107" t="s">
        <v>2341</v>
      </c>
      <c r="W107" t="s">
        <v>2342</v>
      </c>
      <c r="X107" t="s">
        <v>2343</v>
      </c>
      <c r="Y107" t="s">
        <v>2344</v>
      </c>
      <c r="Z107" t="s">
        <v>74</v>
      </c>
      <c r="AA107" t="s">
        <v>74</v>
      </c>
      <c r="AB107" t="s">
        <v>2345</v>
      </c>
      <c r="AC107" t="s">
        <v>2346</v>
      </c>
      <c r="AD107" t="s">
        <v>2347</v>
      </c>
      <c r="AE107" t="s">
        <v>2348</v>
      </c>
      <c r="AF107" t="s">
        <v>74</v>
      </c>
      <c r="AG107">
        <v>32</v>
      </c>
      <c r="AH107">
        <v>9</v>
      </c>
      <c r="AI107">
        <v>9</v>
      </c>
      <c r="AJ107">
        <v>1</v>
      </c>
      <c r="AK107">
        <v>34</v>
      </c>
      <c r="AL107" t="s">
        <v>1292</v>
      </c>
      <c r="AM107" t="s">
        <v>1293</v>
      </c>
      <c r="AN107" t="s">
        <v>1294</v>
      </c>
      <c r="AO107" t="s">
        <v>2349</v>
      </c>
      <c r="AP107" t="s">
        <v>2350</v>
      </c>
      <c r="AQ107" t="s">
        <v>74</v>
      </c>
      <c r="AR107" t="s">
        <v>2339</v>
      </c>
      <c r="AS107" t="s">
        <v>102</v>
      </c>
      <c r="AT107" t="s">
        <v>1237</v>
      </c>
      <c r="AU107">
        <v>2017</v>
      </c>
      <c r="AV107">
        <v>45</v>
      </c>
      <c r="AW107">
        <v>10</v>
      </c>
      <c r="AX107" t="s">
        <v>74</v>
      </c>
      <c r="AY107" t="s">
        <v>74</v>
      </c>
      <c r="AZ107" t="s">
        <v>74</v>
      </c>
      <c r="BA107" t="s">
        <v>74</v>
      </c>
      <c r="BB107">
        <v>927</v>
      </c>
      <c r="BC107">
        <v>930</v>
      </c>
      <c r="BD107" t="s">
        <v>74</v>
      </c>
      <c r="BE107" t="s">
        <v>2351</v>
      </c>
      <c r="BF107" t="str">
        <f>HYPERLINK("http://dx.doi.org/10.1130/G39240.1","http://dx.doi.org/10.1130/G39240.1")</f>
        <v>http://dx.doi.org/10.1130/G39240.1</v>
      </c>
      <c r="BG107" t="s">
        <v>74</v>
      </c>
      <c r="BH107" t="s">
        <v>74</v>
      </c>
      <c r="BI107">
        <v>4</v>
      </c>
      <c r="BJ107" t="s">
        <v>102</v>
      </c>
      <c r="BK107" t="s">
        <v>101</v>
      </c>
      <c r="BL107" t="s">
        <v>102</v>
      </c>
      <c r="BM107" t="s">
        <v>2352</v>
      </c>
      <c r="BN107" t="s">
        <v>74</v>
      </c>
      <c r="BO107" t="s">
        <v>74</v>
      </c>
      <c r="BP107" t="s">
        <v>74</v>
      </c>
      <c r="BQ107" t="s">
        <v>74</v>
      </c>
      <c r="BR107" t="s">
        <v>105</v>
      </c>
      <c r="BS107" t="s">
        <v>2353</v>
      </c>
      <c r="BT107" t="str">
        <f>HYPERLINK("https%3A%2F%2Fwww.webofscience.com%2Fwos%2Fwoscc%2Ffull-record%2FWOS:000411705800021","View Full Record in Web of Science")</f>
        <v>View Full Record in Web of Science</v>
      </c>
    </row>
    <row r="108" spans="1:72" x14ac:dyDescent="0.15">
      <c r="A108" t="s">
        <v>72</v>
      </c>
      <c r="B108" t="s">
        <v>2354</v>
      </c>
      <c r="C108" t="s">
        <v>74</v>
      </c>
      <c r="D108" t="s">
        <v>74</v>
      </c>
      <c r="E108" t="s">
        <v>74</v>
      </c>
      <c r="F108" t="s">
        <v>2355</v>
      </c>
      <c r="G108" t="s">
        <v>74</v>
      </c>
      <c r="H108" t="s">
        <v>74</v>
      </c>
      <c r="I108" t="s">
        <v>2356</v>
      </c>
      <c r="J108" t="s">
        <v>2357</v>
      </c>
      <c r="K108" t="s">
        <v>74</v>
      </c>
      <c r="L108" t="s">
        <v>74</v>
      </c>
      <c r="M108" t="s">
        <v>78</v>
      </c>
      <c r="N108" t="s">
        <v>79</v>
      </c>
      <c r="O108" t="s">
        <v>74</v>
      </c>
      <c r="P108" t="s">
        <v>74</v>
      </c>
      <c r="Q108" t="s">
        <v>74</v>
      </c>
      <c r="R108" t="s">
        <v>74</v>
      </c>
      <c r="S108" t="s">
        <v>74</v>
      </c>
      <c r="T108" t="s">
        <v>2358</v>
      </c>
      <c r="U108" t="s">
        <v>2359</v>
      </c>
      <c r="V108" t="s">
        <v>2360</v>
      </c>
      <c r="W108" t="s">
        <v>2361</v>
      </c>
      <c r="X108" t="s">
        <v>2362</v>
      </c>
      <c r="Y108" t="s">
        <v>2363</v>
      </c>
      <c r="Z108" t="s">
        <v>2364</v>
      </c>
      <c r="AA108" t="s">
        <v>74</v>
      </c>
      <c r="AB108" t="s">
        <v>2365</v>
      </c>
      <c r="AC108" t="s">
        <v>2366</v>
      </c>
      <c r="AD108" t="s">
        <v>2367</v>
      </c>
      <c r="AE108" t="s">
        <v>2368</v>
      </c>
      <c r="AF108" t="s">
        <v>74</v>
      </c>
      <c r="AG108">
        <v>25</v>
      </c>
      <c r="AH108">
        <v>6</v>
      </c>
      <c r="AI108">
        <v>6</v>
      </c>
      <c r="AJ108">
        <v>1</v>
      </c>
      <c r="AK108">
        <v>7</v>
      </c>
      <c r="AL108" t="s">
        <v>1392</v>
      </c>
      <c r="AM108" t="s">
        <v>1393</v>
      </c>
      <c r="AN108" t="s">
        <v>1394</v>
      </c>
      <c r="AO108" t="s">
        <v>2369</v>
      </c>
      <c r="AP108" t="s">
        <v>74</v>
      </c>
      <c r="AQ108" t="s">
        <v>74</v>
      </c>
      <c r="AR108" t="s">
        <v>2370</v>
      </c>
      <c r="AS108" t="s">
        <v>2371</v>
      </c>
      <c r="AT108" t="s">
        <v>1237</v>
      </c>
      <c r="AU108">
        <v>2017</v>
      </c>
      <c r="AV108">
        <v>8</v>
      </c>
      <c r="AW108">
        <v>4</v>
      </c>
      <c r="AX108" t="s">
        <v>74</v>
      </c>
      <c r="AY108" t="s">
        <v>74</v>
      </c>
      <c r="AZ108" t="s">
        <v>74</v>
      </c>
      <c r="BA108" t="s">
        <v>74</v>
      </c>
      <c r="BB108">
        <v>1609</v>
      </c>
      <c r="BC108">
        <v>1617</v>
      </c>
      <c r="BD108" t="s">
        <v>74</v>
      </c>
      <c r="BE108" t="s">
        <v>2372</v>
      </c>
      <c r="BF108" t="str">
        <f>HYPERLINK("http://dx.doi.org/10.1109/TSTE.2017.2698024","http://dx.doi.org/10.1109/TSTE.2017.2698024")</f>
        <v>http://dx.doi.org/10.1109/TSTE.2017.2698024</v>
      </c>
      <c r="BG108" t="s">
        <v>74</v>
      </c>
      <c r="BH108" t="s">
        <v>74</v>
      </c>
      <c r="BI108">
        <v>9</v>
      </c>
      <c r="BJ108" t="s">
        <v>2373</v>
      </c>
      <c r="BK108" t="s">
        <v>101</v>
      </c>
      <c r="BL108" t="s">
        <v>2374</v>
      </c>
      <c r="BM108" t="s">
        <v>2375</v>
      </c>
      <c r="BN108" t="s">
        <v>74</v>
      </c>
      <c r="BO108" t="s">
        <v>164</v>
      </c>
      <c r="BP108" t="s">
        <v>74</v>
      </c>
      <c r="BQ108" t="s">
        <v>74</v>
      </c>
      <c r="BR108" t="s">
        <v>105</v>
      </c>
      <c r="BS108" t="s">
        <v>2376</v>
      </c>
      <c r="BT108" t="str">
        <f>HYPERLINK("https%3A%2F%2Fwww.webofscience.com%2Fwos%2Fwoscc%2Ffull-record%2FWOS:000411646200025","View Full Record in Web of Science")</f>
        <v>View Full Record in Web of Science</v>
      </c>
    </row>
    <row r="109" spans="1:72" x14ac:dyDescent="0.15">
      <c r="A109" t="s">
        <v>72</v>
      </c>
      <c r="B109" t="s">
        <v>2377</v>
      </c>
      <c r="C109" t="s">
        <v>74</v>
      </c>
      <c r="D109" t="s">
        <v>74</v>
      </c>
      <c r="E109" t="s">
        <v>74</v>
      </c>
      <c r="F109" t="s">
        <v>2378</v>
      </c>
      <c r="G109" t="s">
        <v>74</v>
      </c>
      <c r="H109" t="s">
        <v>74</v>
      </c>
      <c r="I109" t="s">
        <v>2379</v>
      </c>
      <c r="J109" t="s">
        <v>2380</v>
      </c>
      <c r="K109" t="s">
        <v>74</v>
      </c>
      <c r="L109" t="s">
        <v>74</v>
      </c>
      <c r="M109" t="s">
        <v>78</v>
      </c>
      <c r="N109" t="s">
        <v>79</v>
      </c>
      <c r="O109" t="s">
        <v>74</v>
      </c>
      <c r="P109" t="s">
        <v>74</v>
      </c>
      <c r="Q109" t="s">
        <v>74</v>
      </c>
      <c r="R109" t="s">
        <v>74</v>
      </c>
      <c r="S109" t="s">
        <v>74</v>
      </c>
      <c r="T109" t="s">
        <v>2381</v>
      </c>
      <c r="U109" t="s">
        <v>2382</v>
      </c>
      <c r="V109" t="s">
        <v>2383</v>
      </c>
      <c r="W109" t="s">
        <v>2384</v>
      </c>
      <c r="X109" t="s">
        <v>2385</v>
      </c>
      <c r="Y109" t="s">
        <v>2386</v>
      </c>
      <c r="Z109" t="s">
        <v>2387</v>
      </c>
      <c r="AA109" t="s">
        <v>2388</v>
      </c>
      <c r="AB109" t="s">
        <v>2389</v>
      </c>
      <c r="AC109" t="s">
        <v>2390</v>
      </c>
      <c r="AD109" t="s">
        <v>2391</v>
      </c>
      <c r="AE109" t="s">
        <v>2392</v>
      </c>
      <c r="AF109" t="s">
        <v>74</v>
      </c>
      <c r="AG109">
        <v>76</v>
      </c>
      <c r="AH109">
        <v>14</v>
      </c>
      <c r="AI109">
        <v>17</v>
      </c>
      <c r="AJ109">
        <v>8</v>
      </c>
      <c r="AK109">
        <v>56</v>
      </c>
      <c r="AL109" t="s">
        <v>2393</v>
      </c>
      <c r="AM109" t="s">
        <v>2394</v>
      </c>
      <c r="AN109" t="s">
        <v>2395</v>
      </c>
      <c r="AO109" t="s">
        <v>2396</v>
      </c>
      <c r="AP109" t="s">
        <v>2397</v>
      </c>
      <c r="AQ109" t="s">
        <v>74</v>
      </c>
      <c r="AR109" t="s">
        <v>2398</v>
      </c>
      <c r="AS109" t="s">
        <v>2399</v>
      </c>
      <c r="AT109" t="s">
        <v>1237</v>
      </c>
      <c r="AU109">
        <v>2017</v>
      </c>
      <c r="AV109">
        <v>178</v>
      </c>
      <c r="AW109">
        <v>8</v>
      </c>
      <c r="AX109" t="s">
        <v>74</v>
      </c>
      <c r="AY109" t="s">
        <v>74</v>
      </c>
      <c r="AZ109" t="s">
        <v>74</v>
      </c>
      <c r="BA109" t="s">
        <v>74</v>
      </c>
      <c r="BB109">
        <v>618</v>
      </c>
      <c r="BC109">
        <v>628</v>
      </c>
      <c r="BD109" t="s">
        <v>74</v>
      </c>
      <c r="BE109" t="s">
        <v>2400</v>
      </c>
      <c r="BF109" t="str">
        <f>HYPERLINK("http://dx.doi.org/10.1086/693019","http://dx.doi.org/10.1086/693019")</f>
        <v>http://dx.doi.org/10.1086/693019</v>
      </c>
      <c r="BG109" t="s">
        <v>74</v>
      </c>
      <c r="BH109" t="s">
        <v>74</v>
      </c>
      <c r="BI109">
        <v>11</v>
      </c>
      <c r="BJ109" t="s">
        <v>811</v>
      </c>
      <c r="BK109" t="s">
        <v>101</v>
      </c>
      <c r="BL109" t="s">
        <v>811</v>
      </c>
      <c r="BM109" t="s">
        <v>2401</v>
      </c>
      <c r="BN109" t="s">
        <v>74</v>
      </c>
      <c r="BO109" t="s">
        <v>74</v>
      </c>
      <c r="BP109" t="s">
        <v>74</v>
      </c>
      <c r="BQ109" t="s">
        <v>74</v>
      </c>
      <c r="BR109" t="s">
        <v>105</v>
      </c>
      <c r="BS109" t="s">
        <v>2402</v>
      </c>
      <c r="BT109" t="str">
        <f>HYPERLINK("https%3A%2F%2Fwww.webofscience.com%2Fwos%2Fwoscc%2Ffull-record%2FWOS:000411409700004","View Full Record in Web of Science")</f>
        <v>View Full Record in Web of Science</v>
      </c>
    </row>
    <row r="110" spans="1:72" x14ac:dyDescent="0.15">
      <c r="A110" t="s">
        <v>72</v>
      </c>
      <c r="B110" t="s">
        <v>2403</v>
      </c>
      <c r="C110" t="s">
        <v>74</v>
      </c>
      <c r="D110" t="s">
        <v>74</v>
      </c>
      <c r="E110" t="s">
        <v>74</v>
      </c>
      <c r="F110" t="s">
        <v>2404</v>
      </c>
      <c r="G110" t="s">
        <v>74</v>
      </c>
      <c r="H110" t="s">
        <v>74</v>
      </c>
      <c r="I110" t="s">
        <v>2405</v>
      </c>
      <c r="J110" t="s">
        <v>2406</v>
      </c>
      <c r="K110" t="s">
        <v>74</v>
      </c>
      <c r="L110" t="s">
        <v>74</v>
      </c>
      <c r="M110" t="s">
        <v>78</v>
      </c>
      <c r="N110" t="s">
        <v>79</v>
      </c>
      <c r="O110" t="s">
        <v>74</v>
      </c>
      <c r="P110" t="s">
        <v>74</v>
      </c>
      <c r="Q110" t="s">
        <v>74</v>
      </c>
      <c r="R110" t="s">
        <v>74</v>
      </c>
      <c r="S110" t="s">
        <v>74</v>
      </c>
      <c r="T110" t="s">
        <v>74</v>
      </c>
      <c r="U110" t="s">
        <v>2407</v>
      </c>
      <c r="V110" t="s">
        <v>2408</v>
      </c>
      <c r="W110" t="s">
        <v>2409</v>
      </c>
      <c r="X110" t="s">
        <v>2410</v>
      </c>
      <c r="Y110" t="s">
        <v>2411</v>
      </c>
      <c r="Z110" t="s">
        <v>2412</v>
      </c>
      <c r="AA110" t="s">
        <v>2413</v>
      </c>
      <c r="AB110" t="s">
        <v>2414</v>
      </c>
      <c r="AC110" t="s">
        <v>2415</v>
      </c>
      <c r="AD110" t="s">
        <v>2416</v>
      </c>
      <c r="AE110" t="s">
        <v>2417</v>
      </c>
      <c r="AF110" t="s">
        <v>74</v>
      </c>
      <c r="AG110">
        <v>66</v>
      </c>
      <c r="AH110">
        <v>61</v>
      </c>
      <c r="AI110">
        <v>65</v>
      </c>
      <c r="AJ110">
        <v>0</v>
      </c>
      <c r="AK110">
        <v>18</v>
      </c>
      <c r="AL110" t="s">
        <v>1366</v>
      </c>
      <c r="AM110" t="s">
        <v>1367</v>
      </c>
      <c r="AN110" t="s">
        <v>1368</v>
      </c>
      <c r="AO110" t="s">
        <v>2418</v>
      </c>
      <c r="AP110" t="s">
        <v>2419</v>
      </c>
      <c r="AQ110" t="s">
        <v>74</v>
      </c>
      <c r="AR110" t="s">
        <v>2420</v>
      </c>
      <c r="AS110" t="s">
        <v>2421</v>
      </c>
      <c r="AT110" t="s">
        <v>1237</v>
      </c>
      <c r="AU110">
        <v>2017</v>
      </c>
      <c r="AV110">
        <v>30</v>
      </c>
      <c r="AW110">
        <v>19</v>
      </c>
      <c r="AX110" t="s">
        <v>74</v>
      </c>
      <c r="AY110" t="s">
        <v>74</v>
      </c>
      <c r="AZ110" t="s">
        <v>74</v>
      </c>
      <c r="BA110" t="s">
        <v>74</v>
      </c>
      <c r="BB110">
        <v>7719</v>
      </c>
      <c r="BC110">
        <v>7737</v>
      </c>
      <c r="BD110" t="s">
        <v>74</v>
      </c>
      <c r="BE110" t="s">
        <v>2422</v>
      </c>
      <c r="BF110" t="str">
        <f>HYPERLINK("http://dx.doi.org/10.1175/JCLI-D-16-0586.1","http://dx.doi.org/10.1175/JCLI-D-16-0586.1")</f>
        <v>http://dx.doi.org/10.1175/JCLI-D-16-0586.1</v>
      </c>
      <c r="BG110" t="s">
        <v>74</v>
      </c>
      <c r="BH110" t="s">
        <v>74</v>
      </c>
      <c r="BI110">
        <v>19</v>
      </c>
      <c r="BJ110" t="s">
        <v>162</v>
      </c>
      <c r="BK110" t="s">
        <v>101</v>
      </c>
      <c r="BL110" t="s">
        <v>162</v>
      </c>
      <c r="BM110" t="s">
        <v>2423</v>
      </c>
      <c r="BN110" t="s">
        <v>74</v>
      </c>
      <c r="BO110" t="s">
        <v>786</v>
      </c>
      <c r="BP110" t="s">
        <v>74</v>
      </c>
      <c r="BQ110" t="s">
        <v>74</v>
      </c>
      <c r="BR110" t="s">
        <v>105</v>
      </c>
      <c r="BS110" t="s">
        <v>2424</v>
      </c>
      <c r="BT110" t="str">
        <f>HYPERLINK("https%3A%2F%2Fwww.webofscience.com%2Fwos%2Fwoscc%2Ffull-record%2FWOS:000411436700007","View Full Record in Web of Science")</f>
        <v>View Full Record in Web of Science</v>
      </c>
    </row>
    <row r="111" spans="1:72" x14ac:dyDescent="0.15">
      <c r="A111" t="s">
        <v>72</v>
      </c>
      <c r="B111" t="s">
        <v>2425</v>
      </c>
      <c r="C111" t="s">
        <v>74</v>
      </c>
      <c r="D111" t="s">
        <v>74</v>
      </c>
      <c r="E111" t="s">
        <v>74</v>
      </c>
      <c r="F111" t="s">
        <v>2426</v>
      </c>
      <c r="G111" t="s">
        <v>74</v>
      </c>
      <c r="H111" t="s">
        <v>74</v>
      </c>
      <c r="I111" t="s">
        <v>2427</v>
      </c>
      <c r="J111" t="s">
        <v>2406</v>
      </c>
      <c r="K111" t="s">
        <v>74</v>
      </c>
      <c r="L111" t="s">
        <v>74</v>
      </c>
      <c r="M111" t="s">
        <v>78</v>
      </c>
      <c r="N111" t="s">
        <v>79</v>
      </c>
      <c r="O111" t="s">
        <v>74</v>
      </c>
      <c r="P111" t="s">
        <v>74</v>
      </c>
      <c r="Q111" t="s">
        <v>74</v>
      </c>
      <c r="R111" t="s">
        <v>74</v>
      </c>
      <c r="S111" t="s">
        <v>74</v>
      </c>
      <c r="T111" t="s">
        <v>74</v>
      </c>
      <c r="U111" t="s">
        <v>2428</v>
      </c>
      <c r="V111" t="s">
        <v>2429</v>
      </c>
      <c r="W111" t="s">
        <v>2430</v>
      </c>
      <c r="X111" t="s">
        <v>2431</v>
      </c>
      <c r="Y111" t="s">
        <v>2432</v>
      </c>
      <c r="Z111" t="s">
        <v>2433</v>
      </c>
      <c r="AA111" t="s">
        <v>2434</v>
      </c>
      <c r="AB111" t="s">
        <v>2435</v>
      </c>
      <c r="AC111" t="s">
        <v>2436</v>
      </c>
      <c r="AD111" t="s">
        <v>2437</v>
      </c>
      <c r="AE111" t="s">
        <v>2438</v>
      </c>
      <c r="AF111" t="s">
        <v>74</v>
      </c>
      <c r="AG111">
        <v>25</v>
      </c>
      <c r="AH111">
        <v>88</v>
      </c>
      <c r="AI111">
        <v>93</v>
      </c>
      <c r="AJ111">
        <v>1</v>
      </c>
      <c r="AK111">
        <v>21</v>
      </c>
      <c r="AL111" t="s">
        <v>1366</v>
      </c>
      <c r="AM111" t="s">
        <v>1367</v>
      </c>
      <c r="AN111" t="s">
        <v>1368</v>
      </c>
      <c r="AO111" t="s">
        <v>2418</v>
      </c>
      <c r="AP111" t="s">
        <v>2419</v>
      </c>
      <c r="AQ111" t="s">
        <v>74</v>
      </c>
      <c r="AR111" t="s">
        <v>2420</v>
      </c>
      <c r="AS111" t="s">
        <v>2421</v>
      </c>
      <c r="AT111" t="s">
        <v>1237</v>
      </c>
      <c r="AU111">
        <v>2017</v>
      </c>
      <c r="AV111">
        <v>30</v>
      </c>
      <c r="AW111">
        <v>20</v>
      </c>
      <c r="AX111" t="s">
        <v>74</v>
      </c>
      <c r="AY111" t="s">
        <v>74</v>
      </c>
      <c r="AZ111" t="s">
        <v>74</v>
      </c>
      <c r="BA111" t="s">
        <v>74</v>
      </c>
      <c r="BB111">
        <v>8207</v>
      </c>
      <c r="BC111">
        <v>8221</v>
      </c>
      <c r="BD111" t="s">
        <v>74</v>
      </c>
      <c r="BE111" t="s">
        <v>2439</v>
      </c>
      <c r="BF111" t="str">
        <f>HYPERLINK("http://dx.doi.org/10.1175/JCLI-D-17-0159.1","http://dx.doi.org/10.1175/JCLI-D-17-0159.1")</f>
        <v>http://dx.doi.org/10.1175/JCLI-D-17-0159.1</v>
      </c>
      <c r="BG111" t="s">
        <v>74</v>
      </c>
      <c r="BH111" t="s">
        <v>74</v>
      </c>
      <c r="BI111">
        <v>15</v>
      </c>
      <c r="BJ111" t="s">
        <v>162</v>
      </c>
      <c r="BK111" t="s">
        <v>101</v>
      </c>
      <c r="BL111" t="s">
        <v>162</v>
      </c>
      <c r="BM111" t="s">
        <v>2440</v>
      </c>
      <c r="BN111" t="s">
        <v>74</v>
      </c>
      <c r="BO111" t="s">
        <v>511</v>
      </c>
      <c r="BP111" t="s">
        <v>74</v>
      </c>
      <c r="BQ111" t="s">
        <v>74</v>
      </c>
      <c r="BR111" t="s">
        <v>105</v>
      </c>
      <c r="BS111" t="s">
        <v>2441</v>
      </c>
      <c r="BT111" t="str">
        <f>HYPERLINK("https%3A%2F%2Fwww.webofscience.com%2Fwos%2Fwoscc%2Ffull-record%2FWOS:000411438000010","View Full Record in Web of Science")</f>
        <v>View Full Record in Web of Science</v>
      </c>
    </row>
    <row r="112" spans="1:72" x14ac:dyDescent="0.15">
      <c r="A112" t="s">
        <v>72</v>
      </c>
      <c r="B112" t="s">
        <v>2442</v>
      </c>
      <c r="C112" t="s">
        <v>74</v>
      </c>
      <c r="D112" t="s">
        <v>74</v>
      </c>
      <c r="E112" t="s">
        <v>74</v>
      </c>
      <c r="F112" t="s">
        <v>2443</v>
      </c>
      <c r="G112" t="s">
        <v>74</v>
      </c>
      <c r="H112" t="s">
        <v>74</v>
      </c>
      <c r="I112" t="s">
        <v>2444</v>
      </c>
      <c r="J112" t="s">
        <v>2445</v>
      </c>
      <c r="K112" t="s">
        <v>74</v>
      </c>
      <c r="L112" t="s">
        <v>74</v>
      </c>
      <c r="M112" t="s">
        <v>78</v>
      </c>
      <c r="N112" t="s">
        <v>79</v>
      </c>
      <c r="O112" t="s">
        <v>74</v>
      </c>
      <c r="P112" t="s">
        <v>74</v>
      </c>
      <c r="Q112" t="s">
        <v>74</v>
      </c>
      <c r="R112" t="s">
        <v>74</v>
      </c>
      <c r="S112" t="s">
        <v>74</v>
      </c>
      <c r="T112" t="s">
        <v>2446</v>
      </c>
      <c r="U112" t="s">
        <v>2447</v>
      </c>
      <c r="V112" t="s">
        <v>2448</v>
      </c>
      <c r="W112" t="s">
        <v>2449</v>
      </c>
      <c r="X112" t="s">
        <v>2450</v>
      </c>
      <c r="Y112" t="s">
        <v>2451</v>
      </c>
      <c r="Z112" t="s">
        <v>2452</v>
      </c>
      <c r="AA112" t="s">
        <v>2453</v>
      </c>
      <c r="AB112" t="s">
        <v>2454</v>
      </c>
      <c r="AC112" t="s">
        <v>2455</v>
      </c>
      <c r="AD112" t="s">
        <v>2456</v>
      </c>
      <c r="AE112" t="s">
        <v>2457</v>
      </c>
      <c r="AF112" t="s">
        <v>74</v>
      </c>
      <c r="AG112">
        <v>47</v>
      </c>
      <c r="AH112">
        <v>2</v>
      </c>
      <c r="AI112">
        <v>3</v>
      </c>
      <c r="AJ112">
        <v>0</v>
      </c>
      <c r="AK112">
        <v>7</v>
      </c>
      <c r="AL112" t="s">
        <v>728</v>
      </c>
      <c r="AM112" t="s">
        <v>729</v>
      </c>
      <c r="AN112" t="s">
        <v>730</v>
      </c>
      <c r="AO112" t="s">
        <v>2458</v>
      </c>
      <c r="AP112" t="s">
        <v>2459</v>
      </c>
      <c r="AQ112" t="s">
        <v>74</v>
      </c>
      <c r="AR112" t="s">
        <v>2460</v>
      </c>
      <c r="AS112" t="s">
        <v>2461</v>
      </c>
      <c r="AT112" t="s">
        <v>1237</v>
      </c>
      <c r="AU112">
        <v>2017</v>
      </c>
      <c r="AV112">
        <v>118</v>
      </c>
      <c r="AW112" t="s">
        <v>74</v>
      </c>
      <c r="AX112" t="s">
        <v>74</v>
      </c>
      <c r="AY112" t="s">
        <v>74</v>
      </c>
      <c r="AZ112" t="s">
        <v>74</v>
      </c>
      <c r="BA112" t="s">
        <v>74</v>
      </c>
      <c r="BB112">
        <v>118</v>
      </c>
      <c r="BC112">
        <v>129</v>
      </c>
      <c r="BD112" t="s">
        <v>74</v>
      </c>
      <c r="BE112" t="s">
        <v>2462</v>
      </c>
      <c r="BF112" t="str">
        <f>HYPERLINK("http://dx.doi.org/10.1016/j.ocemod.2017.09.004","http://dx.doi.org/10.1016/j.ocemod.2017.09.004")</f>
        <v>http://dx.doi.org/10.1016/j.ocemod.2017.09.004</v>
      </c>
      <c r="BG112" t="s">
        <v>74</v>
      </c>
      <c r="BH112" t="s">
        <v>74</v>
      </c>
      <c r="BI112">
        <v>12</v>
      </c>
      <c r="BJ112" t="s">
        <v>2463</v>
      </c>
      <c r="BK112" t="s">
        <v>101</v>
      </c>
      <c r="BL112" t="s">
        <v>2463</v>
      </c>
      <c r="BM112" t="s">
        <v>2464</v>
      </c>
      <c r="BN112" t="s">
        <v>74</v>
      </c>
      <c r="BO112" t="s">
        <v>511</v>
      </c>
      <c r="BP112" t="s">
        <v>74</v>
      </c>
      <c r="BQ112" t="s">
        <v>74</v>
      </c>
      <c r="BR112" t="s">
        <v>105</v>
      </c>
      <c r="BS112" t="s">
        <v>2465</v>
      </c>
      <c r="BT112" t="str">
        <f>HYPERLINK("https%3A%2F%2Fwww.webofscience.com%2Fwos%2Fwoscc%2Ffull-record%2FWOS:000411466900009","View Full Record in Web of Science")</f>
        <v>View Full Record in Web of Science</v>
      </c>
    </row>
    <row r="113" spans="1:72" x14ac:dyDescent="0.15">
      <c r="A113" t="s">
        <v>72</v>
      </c>
      <c r="B113" t="s">
        <v>2466</v>
      </c>
      <c r="C113" t="s">
        <v>74</v>
      </c>
      <c r="D113" t="s">
        <v>74</v>
      </c>
      <c r="E113" t="s">
        <v>74</v>
      </c>
      <c r="F113" t="s">
        <v>2467</v>
      </c>
      <c r="G113" t="s">
        <v>74</v>
      </c>
      <c r="H113" t="s">
        <v>74</v>
      </c>
      <c r="I113" t="s">
        <v>2468</v>
      </c>
      <c r="J113" t="s">
        <v>2469</v>
      </c>
      <c r="K113" t="s">
        <v>74</v>
      </c>
      <c r="L113" t="s">
        <v>74</v>
      </c>
      <c r="M113" t="s">
        <v>78</v>
      </c>
      <c r="N113" t="s">
        <v>79</v>
      </c>
      <c r="O113" t="s">
        <v>74</v>
      </c>
      <c r="P113" t="s">
        <v>74</v>
      </c>
      <c r="Q113" t="s">
        <v>74</v>
      </c>
      <c r="R113" t="s">
        <v>74</v>
      </c>
      <c r="S113" t="s">
        <v>74</v>
      </c>
      <c r="T113" t="s">
        <v>2470</v>
      </c>
      <c r="U113" t="s">
        <v>2471</v>
      </c>
      <c r="V113" t="s">
        <v>2472</v>
      </c>
      <c r="W113" t="s">
        <v>2473</v>
      </c>
      <c r="X113" t="s">
        <v>2474</v>
      </c>
      <c r="Y113" t="s">
        <v>2475</v>
      </c>
      <c r="Z113" t="s">
        <v>2476</v>
      </c>
      <c r="AA113" t="s">
        <v>2477</v>
      </c>
      <c r="AB113" t="s">
        <v>2478</v>
      </c>
      <c r="AC113" t="s">
        <v>2479</v>
      </c>
      <c r="AD113" t="s">
        <v>2480</v>
      </c>
      <c r="AE113" t="s">
        <v>2481</v>
      </c>
      <c r="AF113" t="s">
        <v>74</v>
      </c>
      <c r="AG113">
        <v>73</v>
      </c>
      <c r="AH113">
        <v>31</v>
      </c>
      <c r="AI113">
        <v>33</v>
      </c>
      <c r="AJ113">
        <v>1</v>
      </c>
      <c r="AK113">
        <v>25</v>
      </c>
      <c r="AL113" t="s">
        <v>371</v>
      </c>
      <c r="AM113" t="s">
        <v>372</v>
      </c>
      <c r="AN113" t="s">
        <v>373</v>
      </c>
      <c r="AO113" t="s">
        <v>2482</v>
      </c>
      <c r="AP113" t="s">
        <v>2483</v>
      </c>
      <c r="AQ113" t="s">
        <v>74</v>
      </c>
      <c r="AR113" t="s">
        <v>2484</v>
      </c>
      <c r="AS113" t="s">
        <v>2485</v>
      </c>
      <c r="AT113" t="s">
        <v>1815</v>
      </c>
      <c r="AU113">
        <v>2017</v>
      </c>
      <c r="AV113">
        <v>483</v>
      </c>
      <c r="AW113" t="s">
        <v>74</v>
      </c>
      <c r="AX113" t="s">
        <v>74</v>
      </c>
      <c r="AY113" t="s">
        <v>74</v>
      </c>
      <c r="AZ113" t="s">
        <v>1188</v>
      </c>
      <c r="BA113" t="s">
        <v>74</v>
      </c>
      <c r="BB113">
        <v>125</v>
      </c>
      <c r="BC113">
        <v>135</v>
      </c>
      <c r="BD113" t="s">
        <v>74</v>
      </c>
      <c r="BE113" t="s">
        <v>2486</v>
      </c>
      <c r="BF113" t="str">
        <f>HYPERLINK("http://dx.doi.org/10.1016/j.palaeo.2016.10.035","http://dx.doi.org/10.1016/j.palaeo.2016.10.035")</f>
        <v>http://dx.doi.org/10.1016/j.palaeo.2016.10.035</v>
      </c>
      <c r="BG113" t="s">
        <v>74</v>
      </c>
      <c r="BH113" t="s">
        <v>74</v>
      </c>
      <c r="BI113">
        <v>11</v>
      </c>
      <c r="BJ113" t="s">
        <v>2487</v>
      </c>
      <c r="BK113" t="s">
        <v>101</v>
      </c>
      <c r="BL113" t="s">
        <v>2488</v>
      </c>
      <c r="BM113" t="s">
        <v>2489</v>
      </c>
      <c r="BN113" t="s">
        <v>74</v>
      </c>
      <c r="BO113" t="s">
        <v>74</v>
      </c>
      <c r="BP113" t="s">
        <v>74</v>
      </c>
      <c r="BQ113" t="s">
        <v>74</v>
      </c>
      <c r="BR113" t="s">
        <v>105</v>
      </c>
      <c r="BS113" t="s">
        <v>2490</v>
      </c>
      <c r="BT113" t="str">
        <f>HYPERLINK("https%3A%2F%2Fwww.webofscience.com%2Fwos%2Fwoscc%2Ffull-record%2FWOS:000411547300010","View Full Record in Web of Science")</f>
        <v>View Full Record in Web of Science</v>
      </c>
    </row>
    <row r="114" spans="1:72" x14ac:dyDescent="0.15">
      <c r="A114" t="s">
        <v>72</v>
      </c>
      <c r="B114" t="s">
        <v>2491</v>
      </c>
      <c r="C114" t="s">
        <v>74</v>
      </c>
      <c r="D114" t="s">
        <v>74</v>
      </c>
      <c r="E114" t="s">
        <v>74</v>
      </c>
      <c r="F114" t="s">
        <v>2492</v>
      </c>
      <c r="G114" t="s">
        <v>74</v>
      </c>
      <c r="H114" t="s">
        <v>74</v>
      </c>
      <c r="I114" t="s">
        <v>2493</v>
      </c>
      <c r="J114" t="s">
        <v>2469</v>
      </c>
      <c r="K114" t="s">
        <v>74</v>
      </c>
      <c r="L114" t="s">
        <v>74</v>
      </c>
      <c r="M114" t="s">
        <v>78</v>
      </c>
      <c r="N114" t="s">
        <v>79</v>
      </c>
      <c r="O114" t="s">
        <v>74</v>
      </c>
      <c r="P114" t="s">
        <v>74</v>
      </c>
      <c r="Q114" t="s">
        <v>74</v>
      </c>
      <c r="R114" t="s">
        <v>74</v>
      </c>
      <c r="S114" t="s">
        <v>74</v>
      </c>
      <c r="T114" t="s">
        <v>2494</v>
      </c>
      <c r="U114" t="s">
        <v>2495</v>
      </c>
      <c r="V114" t="s">
        <v>2496</v>
      </c>
      <c r="W114" t="s">
        <v>2497</v>
      </c>
      <c r="X114" t="s">
        <v>2498</v>
      </c>
      <c r="Y114" t="s">
        <v>2499</v>
      </c>
      <c r="Z114" t="s">
        <v>2500</v>
      </c>
      <c r="AA114" t="s">
        <v>2501</v>
      </c>
      <c r="AB114" t="s">
        <v>2502</v>
      </c>
      <c r="AC114" t="s">
        <v>2503</v>
      </c>
      <c r="AD114" t="s">
        <v>2504</v>
      </c>
      <c r="AE114" t="s">
        <v>2505</v>
      </c>
      <c r="AF114" t="s">
        <v>74</v>
      </c>
      <c r="AG114">
        <v>97</v>
      </c>
      <c r="AH114">
        <v>27</v>
      </c>
      <c r="AI114">
        <v>29</v>
      </c>
      <c r="AJ114">
        <v>1</v>
      </c>
      <c r="AK114">
        <v>25</v>
      </c>
      <c r="AL114" t="s">
        <v>371</v>
      </c>
      <c r="AM114" t="s">
        <v>372</v>
      </c>
      <c r="AN114" t="s">
        <v>373</v>
      </c>
      <c r="AO114" t="s">
        <v>2482</v>
      </c>
      <c r="AP114" t="s">
        <v>2483</v>
      </c>
      <c r="AQ114" t="s">
        <v>74</v>
      </c>
      <c r="AR114" t="s">
        <v>2484</v>
      </c>
      <c r="AS114" t="s">
        <v>2485</v>
      </c>
      <c r="AT114" t="s">
        <v>1815</v>
      </c>
      <c r="AU114">
        <v>2017</v>
      </c>
      <c r="AV114">
        <v>483</v>
      </c>
      <c r="AW114" t="s">
        <v>74</v>
      </c>
      <c r="AX114" t="s">
        <v>74</v>
      </c>
      <c r="AY114" t="s">
        <v>74</v>
      </c>
      <c r="AZ114" t="s">
        <v>1188</v>
      </c>
      <c r="BA114" t="s">
        <v>74</v>
      </c>
      <c r="BB114">
        <v>136</v>
      </c>
      <c r="BC114">
        <v>146</v>
      </c>
      <c r="BD114" t="s">
        <v>74</v>
      </c>
      <c r="BE114" t="s">
        <v>2506</v>
      </c>
      <c r="BF114" t="str">
        <f>HYPERLINK("http://dx.doi.org/10.1016/j.palaeo.2016.11.018","http://dx.doi.org/10.1016/j.palaeo.2016.11.018")</f>
        <v>http://dx.doi.org/10.1016/j.palaeo.2016.11.018</v>
      </c>
      <c r="BG114" t="s">
        <v>74</v>
      </c>
      <c r="BH114" t="s">
        <v>74</v>
      </c>
      <c r="BI114">
        <v>11</v>
      </c>
      <c r="BJ114" t="s">
        <v>2487</v>
      </c>
      <c r="BK114" t="s">
        <v>101</v>
      </c>
      <c r="BL114" t="s">
        <v>2488</v>
      </c>
      <c r="BM114" t="s">
        <v>2489</v>
      </c>
      <c r="BN114" t="s">
        <v>74</v>
      </c>
      <c r="BO114" t="s">
        <v>74</v>
      </c>
      <c r="BP114" t="s">
        <v>74</v>
      </c>
      <c r="BQ114" t="s">
        <v>74</v>
      </c>
      <c r="BR114" t="s">
        <v>105</v>
      </c>
      <c r="BS114" t="s">
        <v>2507</v>
      </c>
      <c r="BT114" t="str">
        <f>HYPERLINK("https%3A%2F%2Fwww.webofscience.com%2Fwos%2Fwoscc%2Ffull-record%2FWOS:000411547300011","View Full Record in Web of Science")</f>
        <v>View Full Record in Web of Science</v>
      </c>
    </row>
    <row r="115" spans="1:72" x14ac:dyDescent="0.15">
      <c r="A115" t="s">
        <v>72</v>
      </c>
      <c r="B115" t="s">
        <v>2508</v>
      </c>
      <c r="C115" t="s">
        <v>74</v>
      </c>
      <c r="D115" t="s">
        <v>74</v>
      </c>
      <c r="E115" t="s">
        <v>74</v>
      </c>
      <c r="F115" t="s">
        <v>2509</v>
      </c>
      <c r="G115" t="s">
        <v>74</v>
      </c>
      <c r="H115" t="s">
        <v>74</v>
      </c>
      <c r="I115" t="s">
        <v>2510</v>
      </c>
      <c r="J115" t="s">
        <v>2511</v>
      </c>
      <c r="K115" t="s">
        <v>74</v>
      </c>
      <c r="L115" t="s">
        <v>74</v>
      </c>
      <c r="M115" t="s">
        <v>78</v>
      </c>
      <c r="N115" t="s">
        <v>79</v>
      </c>
      <c r="O115" t="s">
        <v>74</v>
      </c>
      <c r="P115" t="s">
        <v>74</v>
      </c>
      <c r="Q115" t="s">
        <v>74</v>
      </c>
      <c r="R115" t="s">
        <v>74</v>
      </c>
      <c r="S115" t="s">
        <v>74</v>
      </c>
      <c r="T115" t="s">
        <v>2512</v>
      </c>
      <c r="U115" t="s">
        <v>74</v>
      </c>
      <c r="V115" t="s">
        <v>2513</v>
      </c>
      <c r="W115" t="s">
        <v>2514</v>
      </c>
      <c r="X115" t="s">
        <v>2515</v>
      </c>
      <c r="Y115" t="s">
        <v>2516</v>
      </c>
      <c r="Z115" t="s">
        <v>2517</v>
      </c>
      <c r="AA115" t="s">
        <v>2518</v>
      </c>
      <c r="AB115" t="s">
        <v>2519</v>
      </c>
      <c r="AC115" t="s">
        <v>74</v>
      </c>
      <c r="AD115" t="s">
        <v>74</v>
      </c>
      <c r="AE115" t="s">
        <v>74</v>
      </c>
      <c r="AF115" t="s">
        <v>74</v>
      </c>
      <c r="AG115">
        <v>13</v>
      </c>
      <c r="AH115">
        <v>1</v>
      </c>
      <c r="AI115">
        <v>1</v>
      </c>
      <c r="AJ115">
        <v>0</v>
      </c>
      <c r="AK115">
        <v>5</v>
      </c>
      <c r="AL115" t="s">
        <v>2520</v>
      </c>
      <c r="AM115" t="s">
        <v>2521</v>
      </c>
      <c r="AN115" t="s">
        <v>2522</v>
      </c>
      <c r="AO115" t="s">
        <v>2523</v>
      </c>
      <c r="AP115" t="s">
        <v>2524</v>
      </c>
      <c r="AQ115" t="s">
        <v>74</v>
      </c>
      <c r="AR115" t="s">
        <v>2525</v>
      </c>
      <c r="AS115" t="s">
        <v>2526</v>
      </c>
      <c r="AT115" t="s">
        <v>1237</v>
      </c>
      <c r="AU115">
        <v>2017</v>
      </c>
      <c r="AV115">
        <v>21</v>
      </c>
      <c r="AW115">
        <v>4</v>
      </c>
      <c r="AX115" t="s">
        <v>74</v>
      </c>
      <c r="AY115" t="s">
        <v>74</v>
      </c>
      <c r="AZ115" t="s">
        <v>74</v>
      </c>
      <c r="BA115" t="s">
        <v>74</v>
      </c>
      <c r="BB115">
        <v>1669</v>
      </c>
      <c r="BC115">
        <v>1677</v>
      </c>
      <c r="BD115" t="s">
        <v>74</v>
      </c>
      <c r="BE115" t="s">
        <v>2527</v>
      </c>
      <c r="BF115" t="str">
        <f>HYPERLINK("http://dx.doi.org/10.1007/s10291-017-0643-4","http://dx.doi.org/10.1007/s10291-017-0643-4")</f>
        <v>http://dx.doi.org/10.1007/s10291-017-0643-4</v>
      </c>
      <c r="BG115" t="s">
        <v>74</v>
      </c>
      <c r="BH115" t="s">
        <v>74</v>
      </c>
      <c r="BI115">
        <v>9</v>
      </c>
      <c r="BJ115" t="s">
        <v>2528</v>
      </c>
      <c r="BK115" t="s">
        <v>101</v>
      </c>
      <c r="BL115" t="s">
        <v>2528</v>
      </c>
      <c r="BM115" t="s">
        <v>2529</v>
      </c>
      <c r="BN115" t="s">
        <v>74</v>
      </c>
      <c r="BO115" t="s">
        <v>74</v>
      </c>
      <c r="BP115" t="s">
        <v>74</v>
      </c>
      <c r="BQ115" t="s">
        <v>74</v>
      </c>
      <c r="BR115" t="s">
        <v>105</v>
      </c>
      <c r="BS115" t="s">
        <v>2530</v>
      </c>
      <c r="BT115" t="str">
        <f>HYPERLINK("https%3A%2F%2Fwww.webofscience.com%2Fwos%2Fwoscc%2Ffull-record%2FWOS:000411901900022","View Full Record in Web of Science")</f>
        <v>View Full Record in Web of Science</v>
      </c>
    </row>
    <row r="116" spans="1:72" x14ac:dyDescent="0.15">
      <c r="A116" t="s">
        <v>72</v>
      </c>
      <c r="B116" t="s">
        <v>2531</v>
      </c>
      <c r="C116" t="s">
        <v>74</v>
      </c>
      <c r="D116" t="s">
        <v>74</v>
      </c>
      <c r="E116" t="s">
        <v>74</v>
      </c>
      <c r="F116" t="s">
        <v>2532</v>
      </c>
      <c r="G116" t="s">
        <v>74</v>
      </c>
      <c r="H116" t="s">
        <v>74</v>
      </c>
      <c r="I116" t="s">
        <v>2533</v>
      </c>
      <c r="J116" t="s">
        <v>2534</v>
      </c>
      <c r="K116" t="s">
        <v>74</v>
      </c>
      <c r="L116" t="s">
        <v>74</v>
      </c>
      <c r="M116" t="s">
        <v>78</v>
      </c>
      <c r="N116" t="s">
        <v>79</v>
      </c>
      <c r="O116" t="s">
        <v>74</v>
      </c>
      <c r="P116" t="s">
        <v>74</v>
      </c>
      <c r="Q116" t="s">
        <v>74</v>
      </c>
      <c r="R116" t="s">
        <v>74</v>
      </c>
      <c r="S116" t="s">
        <v>74</v>
      </c>
      <c r="T116" t="s">
        <v>2535</v>
      </c>
      <c r="U116" t="s">
        <v>2536</v>
      </c>
      <c r="V116" t="s">
        <v>2537</v>
      </c>
      <c r="W116" t="s">
        <v>2538</v>
      </c>
      <c r="X116" t="s">
        <v>2539</v>
      </c>
      <c r="Y116" t="s">
        <v>2540</v>
      </c>
      <c r="Z116" t="s">
        <v>2541</v>
      </c>
      <c r="AA116" t="s">
        <v>2542</v>
      </c>
      <c r="AB116" t="s">
        <v>2543</v>
      </c>
      <c r="AC116" t="s">
        <v>2544</v>
      </c>
      <c r="AD116" t="s">
        <v>2545</v>
      </c>
      <c r="AE116" t="s">
        <v>2546</v>
      </c>
      <c r="AF116" t="s">
        <v>74</v>
      </c>
      <c r="AG116">
        <v>52</v>
      </c>
      <c r="AH116">
        <v>11</v>
      </c>
      <c r="AI116">
        <v>13</v>
      </c>
      <c r="AJ116">
        <v>5</v>
      </c>
      <c r="AK116">
        <v>43</v>
      </c>
      <c r="AL116" t="s">
        <v>1338</v>
      </c>
      <c r="AM116" t="s">
        <v>1339</v>
      </c>
      <c r="AN116" t="s">
        <v>1340</v>
      </c>
      <c r="AO116" t="s">
        <v>2547</v>
      </c>
      <c r="AP116" t="s">
        <v>2548</v>
      </c>
      <c r="AQ116" t="s">
        <v>74</v>
      </c>
      <c r="AR116" t="s">
        <v>2549</v>
      </c>
      <c r="AS116" t="s">
        <v>2550</v>
      </c>
      <c r="AT116" t="s">
        <v>1237</v>
      </c>
      <c r="AU116">
        <v>2017</v>
      </c>
      <c r="AV116">
        <v>44</v>
      </c>
      <c r="AW116">
        <v>10</v>
      </c>
      <c r="AX116" t="s">
        <v>74</v>
      </c>
      <c r="AY116" t="s">
        <v>74</v>
      </c>
      <c r="AZ116" t="s">
        <v>74</v>
      </c>
      <c r="BA116" t="s">
        <v>74</v>
      </c>
      <c r="BB116">
        <v>2165</v>
      </c>
      <c r="BC116">
        <v>2175</v>
      </c>
      <c r="BD116" t="s">
        <v>74</v>
      </c>
      <c r="BE116" t="s">
        <v>2551</v>
      </c>
      <c r="BF116" t="str">
        <f>HYPERLINK("http://dx.doi.org/10.1111/jbi.13023","http://dx.doi.org/10.1111/jbi.13023")</f>
        <v>http://dx.doi.org/10.1111/jbi.13023</v>
      </c>
      <c r="BG116" t="s">
        <v>74</v>
      </c>
      <c r="BH116" t="s">
        <v>74</v>
      </c>
      <c r="BI116">
        <v>11</v>
      </c>
      <c r="BJ116" t="s">
        <v>2552</v>
      </c>
      <c r="BK116" t="s">
        <v>101</v>
      </c>
      <c r="BL116" t="s">
        <v>2553</v>
      </c>
      <c r="BM116" t="s">
        <v>2554</v>
      </c>
      <c r="BN116" t="s">
        <v>74</v>
      </c>
      <c r="BO116" t="s">
        <v>74</v>
      </c>
      <c r="BP116" t="s">
        <v>74</v>
      </c>
      <c r="BQ116" t="s">
        <v>74</v>
      </c>
      <c r="BR116" t="s">
        <v>105</v>
      </c>
      <c r="BS116" t="s">
        <v>2555</v>
      </c>
      <c r="BT116" t="str">
        <f>HYPERLINK("https%3A%2F%2Fwww.webofscience.com%2Fwos%2Fwoscc%2Ffull-record%2FWOS:000412074300001","View Full Record in Web of Science")</f>
        <v>View Full Record in Web of Science</v>
      </c>
    </row>
    <row r="117" spans="1:72" x14ac:dyDescent="0.15">
      <c r="A117" t="s">
        <v>72</v>
      </c>
      <c r="B117" t="s">
        <v>2556</v>
      </c>
      <c r="C117" t="s">
        <v>74</v>
      </c>
      <c r="D117" t="s">
        <v>74</v>
      </c>
      <c r="E117" t="s">
        <v>74</v>
      </c>
      <c r="F117" t="s">
        <v>2557</v>
      </c>
      <c r="G117" t="s">
        <v>74</v>
      </c>
      <c r="H117" t="s">
        <v>74</v>
      </c>
      <c r="I117" t="s">
        <v>2558</v>
      </c>
      <c r="J117" t="s">
        <v>2534</v>
      </c>
      <c r="K117" t="s">
        <v>74</v>
      </c>
      <c r="L117" t="s">
        <v>74</v>
      </c>
      <c r="M117" t="s">
        <v>78</v>
      </c>
      <c r="N117" t="s">
        <v>79</v>
      </c>
      <c r="O117" t="s">
        <v>74</v>
      </c>
      <c r="P117" t="s">
        <v>74</v>
      </c>
      <c r="Q117" t="s">
        <v>74</v>
      </c>
      <c r="R117" t="s">
        <v>74</v>
      </c>
      <c r="S117" t="s">
        <v>74</v>
      </c>
      <c r="T117" t="s">
        <v>2559</v>
      </c>
      <c r="U117" t="s">
        <v>2560</v>
      </c>
      <c r="V117" t="s">
        <v>2561</v>
      </c>
      <c r="W117" t="s">
        <v>2562</v>
      </c>
      <c r="X117" t="s">
        <v>2563</v>
      </c>
      <c r="Y117" t="s">
        <v>2564</v>
      </c>
      <c r="Z117" t="s">
        <v>2565</v>
      </c>
      <c r="AA117" t="s">
        <v>2566</v>
      </c>
      <c r="AB117" t="s">
        <v>2567</v>
      </c>
      <c r="AC117" t="s">
        <v>2568</v>
      </c>
      <c r="AD117" t="s">
        <v>2569</v>
      </c>
      <c r="AE117" t="s">
        <v>2570</v>
      </c>
      <c r="AF117" t="s">
        <v>74</v>
      </c>
      <c r="AG117">
        <v>71</v>
      </c>
      <c r="AH117">
        <v>0</v>
      </c>
      <c r="AI117">
        <v>0</v>
      </c>
      <c r="AJ117">
        <v>0</v>
      </c>
      <c r="AK117">
        <v>45</v>
      </c>
      <c r="AL117" t="s">
        <v>1338</v>
      </c>
      <c r="AM117" t="s">
        <v>1339</v>
      </c>
      <c r="AN117" t="s">
        <v>1340</v>
      </c>
      <c r="AO117" t="s">
        <v>2547</v>
      </c>
      <c r="AP117" t="s">
        <v>2548</v>
      </c>
      <c r="AQ117" t="s">
        <v>74</v>
      </c>
      <c r="AR117" t="s">
        <v>2549</v>
      </c>
      <c r="AS117" t="s">
        <v>2550</v>
      </c>
      <c r="AT117" t="s">
        <v>1237</v>
      </c>
      <c r="AU117">
        <v>2017</v>
      </c>
      <c r="AV117">
        <v>44</v>
      </c>
      <c r="AW117">
        <v>10</v>
      </c>
      <c r="AX117" t="s">
        <v>74</v>
      </c>
      <c r="AY117" t="s">
        <v>74</v>
      </c>
      <c r="AZ117" t="s">
        <v>74</v>
      </c>
      <c r="BA117" t="s">
        <v>74</v>
      </c>
      <c r="BB117">
        <v>2354</v>
      </c>
      <c r="BC117">
        <v>2364</v>
      </c>
      <c r="BD117" t="s">
        <v>74</v>
      </c>
      <c r="BE117" t="s">
        <v>2571</v>
      </c>
      <c r="BF117" t="str">
        <f>HYPERLINK("http://dx.doi.org/10.1111/jbi.13041","http://dx.doi.org/10.1111/jbi.13041")</f>
        <v>http://dx.doi.org/10.1111/jbi.13041</v>
      </c>
      <c r="BG117" t="s">
        <v>74</v>
      </c>
      <c r="BH117" t="s">
        <v>74</v>
      </c>
      <c r="BI117">
        <v>11</v>
      </c>
      <c r="BJ117" t="s">
        <v>2552</v>
      </c>
      <c r="BK117" t="s">
        <v>101</v>
      </c>
      <c r="BL117" t="s">
        <v>2553</v>
      </c>
      <c r="BM117" t="s">
        <v>2554</v>
      </c>
      <c r="BN117" t="s">
        <v>74</v>
      </c>
      <c r="BO117" t="s">
        <v>74</v>
      </c>
      <c r="BP117" t="s">
        <v>74</v>
      </c>
      <c r="BQ117" t="s">
        <v>74</v>
      </c>
      <c r="BR117" t="s">
        <v>105</v>
      </c>
      <c r="BS117" t="s">
        <v>2572</v>
      </c>
      <c r="BT117" t="str">
        <f>HYPERLINK("https%3A%2F%2Fwww.webofscience.com%2Fwos%2Fwoscc%2Ffull-record%2FWOS:000412074300017","View Full Record in Web of Science")</f>
        <v>View Full Record in Web of Science</v>
      </c>
    </row>
    <row r="118" spans="1:72" x14ac:dyDescent="0.15">
      <c r="A118" t="s">
        <v>72</v>
      </c>
      <c r="B118" t="s">
        <v>2573</v>
      </c>
      <c r="C118" t="s">
        <v>74</v>
      </c>
      <c r="D118" t="s">
        <v>74</v>
      </c>
      <c r="E118" t="s">
        <v>74</v>
      </c>
      <c r="F118" t="s">
        <v>2574</v>
      </c>
      <c r="G118" t="s">
        <v>74</v>
      </c>
      <c r="H118" t="s">
        <v>74</v>
      </c>
      <c r="I118" t="s">
        <v>2575</v>
      </c>
      <c r="J118" t="s">
        <v>2576</v>
      </c>
      <c r="K118" t="s">
        <v>74</v>
      </c>
      <c r="L118" t="s">
        <v>74</v>
      </c>
      <c r="M118" t="s">
        <v>78</v>
      </c>
      <c r="N118" t="s">
        <v>79</v>
      </c>
      <c r="O118" t="s">
        <v>74</v>
      </c>
      <c r="P118" t="s">
        <v>74</v>
      </c>
      <c r="Q118" t="s">
        <v>74</v>
      </c>
      <c r="R118" t="s">
        <v>74</v>
      </c>
      <c r="S118" t="s">
        <v>74</v>
      </c>
      <c r="T118" t="s">
        <v>2577</v>
      </c>
      <c r="U118" t="s">
        <v>2578</v>
      </c>
      <c r="V118" t="s">
        <v>2579</v>
      </c>
      <c r="W118" t="s">
        <v>2580</v>
      </c>
      <c r="X118" t="s">
        <v>2581</v>
      </c>
      <c r="Y118" t="s">
        <v>2582</v>
      </c>
      <c r="Z118" t="s">
        <v>2583</v>
      </c>
      <c r="AA118" t="s">
        <v>74</v>
      </c>
      <c r="AB118" t="s">
        <v>74</v>
      </c>
      <c r="AC118" t="s">
        <v>2584</v>
      </c>
      <c r="AD118" t="s">
        <v>2585</v>
      </c>
      <c r="AE118" t="s">
        <v>2586</v>
      </c>
      <c r="AF118" t="s">
        <v>74</v>
      </c>
      <c r="AG118">
        <v>17</v>
      </c>
      <c r="AH118">
        <v>8</v>
      </c>
      <c r="AI118">
        <v>8</v>
      </c>
      <c r="AJ118">
        <v>0</v>
      </c>
      <c r="AK118">
        <v>2</v>
      </c>
      <c r="AL118" t="s">
        <v>208</v>
      </c>
      <c r="AM118" t="s">
        <v>209</v>
      </c>
      <c r="AN118" t="s">
        <v>210</v>
      </c>
      <c r="AO118" t="s">
        <v>2587</v>
      </c>
      <c r="AP118" t="s">
        <v>2588</v>
      </c>
      <c r="AQ118" t="s">
        <v>74</v>
      </c>
      <c r="AR118" t="s">
        <v>2589</v>
      </c>
      <c r="AS118" t="s">
        <v>2590</v>
      </c>
      <c r="AT118" t="s">
        <v>1237</v>
      </c>
      <c r="AU118">
        <v>2017</v>
      </c>
      <c r="AV118">
        <v>40</v>
      </c>
      <c r="AW118">
        <v>10</v>
      </c>
      <c r="AX118" t="s">
        <v>74</v>
      </c>
      <c r="AY118" t="s">
        <v>74</v>
      </c>
      <c r="AZ118" t="s">
        <v>74</v>
      </c>
      <c r="BA118" t="s">
        <v>74</v>
      </c>
      <c r="BB118">
        <v>1923</v>
      </c>
      <c r="BC118">
        <v>1937</v>
      </c>
      <c r="BD118" t="s">
        <v>74</v>
      </c>
      <c r="BE118" t="s">
        <v>2591</v>
      </c>
      <c r="BF118" t="str">
        <f>HYPERLINK("http://dx.doi.org/10.1007/s00300-017-2108-1","http://dx.doi.org/10.1007/s00300-017-2108-1")</f>
        <v>http://dx.doi.org/10.1007/s00300-017-2108-1</v>
      </c>
      <c r="BG118" t="s">
        <v>74</v>
      </c>
      <c r="BH118" t="s">
        <v>74</v>
      </c>
      <c r="BI118">
        <v>15</v>
      </c>
      <c r="BJ118" t="s">
        <v>2592</v>
      </c>
      <c r="BK118" t="s">
        <v>101</v>
      </c>
      <c r="BL118" t="s">
        <v>2593</v>
      </c>
      <c r="BM118" t="s">
        <v>2594</v>
      </c>
      <c r="BN118" t="s">
        <v>74</v>
      </c>
      <c r="BO118" t="s">
        <v>2091</v>
      </c>
      <c r="BP118" t="s">
        <v>74</v>
      </c>
      <c r="BQ118" t="s">
        <v>74</v>
      </c>
      <c r="BR118" t="s">
        <v>105</v>
      </c>
      <c r="BS118" t="s">
        <v>2595</v>
      </c>
      <c r="BT118" t="str">
        <f>HYPERLINK("https%3A%2F%2Fwww.webofscience.com%2Fwos%2Fwoscc%2Ffull-record%2FWOS:000411873100001","View Full Record in Web of Science")</f>
        <v>View Full Record in Web of Science</v>
      </c>
    </row>
    <row r="119" spans="1:72" x14ac:dyDescent="0.15">
      <c r="A119" t="s">
        <v>72</v>
      </c>
      <c r="B119" t="s">
        <v>2596</v>
      </c>
      <c r="C119" t="s">
        <v>74</v>
      </c>
      <c r="D119" t="s">
        <v>74</v>
      </c>
      <c r="E119" t="s">
        <v>74</v>
      </c>
      <c r="F119" t="s">
        <v>2597</v>
      </c>
      <c r="G119" t="s">
        <v>74</v>
      </c>
      <c r="H119" t="s">
        <v>74</v>
      </c>
      <c r="I119" t="s">
        <v>2598</v>
      </c>
      <c r="J119" t="s">
        <v>2576</v>
      </c>
      <c r="K119" t="s">
        <v>74</v>
      </c>
      <c r="L119" t="s">
        <v>74</v>
      </c>
      <c r="M119" t="s">
        <v>78</v>
      </c>
      <c r="N119" t="s">
        <v>79</v>
      </c>
      <c r="O119" t="s">
        <v>74</v>
      </c>
      <c r="P119" t="s">
        <v>74</v>
      </c>
      <c r="Q119" t="s">
        <v>74</v>
      </c>
      <c r="R119" t="s">
        <v>74</v>
      </c>
      <c r="S119" t="s">
        <v>74</v>
      </c>
      <c r="T119" t="s">
        <v>2599</v>
      </c>
      <c r="U119" t="s">
        <v>2600</v>
      </c>
      <c r="V119" t="s">
        <v>2601</v>
      </c>
      <c r="W119" t="s">
        <v>2602</v>
      </c>
      <c r="X119" t="s">
        <v>2603</v>
      </c>
      <c r="Y119" t="s">
        <v>2604</v>
      </c>
      <c r="Z119" t="s">
        <v>2605</v>
      </c>
      <c r="AA119" t="s">
        <v>2606</v>
      </c>
      <c r="AB119" t="s">
        <v>2607</v>
      </c>
      <c r="AC119" t="s">
        <v>74</v>
      </c>
      <c r="AD119" t="s">
        <v>74</v>
      </c>
      <c r="AE119" t="s">
        <v>74</v>
      </c>
      <c r="AF119" t="s">
        <v>74</v>
      </c>
      <c r="AG119">
        <v>61</v>
      </c>
      <c r="AH119">
        <v>7</v>
      </c>
      <c r="AI119">
        <v>8</v>
      </c>
      <c r="AJ119">
        <v>0</v>
      </c>
      <c r="AK119">
        <v>12</v>
      </c>
      <c r="AL119" t="s">
        <v>208</v>
      </c>
      <c r="AM119" t="s">
        <v>209</v>
      </c>
      <c r="AN119" t="s">
        <v>210</v>
      </c>
      <c r="AO119" t="s">
        <v>2587</v>
      </c>
      <c r="AP119" t="s">
        <v>2588</v>
      </c>
      <c r="AQ119" t="s">
        <v>74</v>
      </c>
      <c r="AR119" t="s">
        <v>2589</v>
      </c>
      <c r="AS119" t="s">
        <v>2590</v>
      </c>
      <c r="AT119" t="s">
        <v>1237</v>
      </c>
      <c r="AU119">
        <v>2017</v>
      </c>
      <c r="AV119">
        <v>40</v>
      </c>
      <c r="AW119">
        <v>10</v>
      </c>
      <c r="AX119" t="s">
        <v>74</v>
      </c>
      <c r="AY119" t="s">
        <v>74</v>
      </c>
      <c r="AZ119" t="s">
        <v>74</v>
      </c>
      <c r="BA119" t="s">
        <v>74</v>
      </c>
      <c r="BB119">
        <v>1975</v>
      </c>
      <c r="BC119">
        <v>1988</v>
      </c>
      <c r="BD119" t="s">
        <v>74</v>
      </c>
      <c r="BE119" t="s">
        <v>2608</v>
      </c>
      <c r="BF119" t="str">
        <f>HYPERLINK("http://dx.doi.org/10.1007/s00300-017-2113-4","http://dx.doi.org/10.1007/s00300-017-2113-4")</f>
        <v>http://dx.doi.org/10.1007/s00300-017-2113-4</v>
      </c>
      <c r="BG119" t="s">
        <v>74</v>
      </c>
      <c r="BH119" t="s">
        <v>74</v>
      </c>
      <c r="BI119">
        <v>14</v>
      </c>
      <c r="BJ119" t="s">
        <v>2592</v>
      </c>
      <c r="BK119" t="s">
        <v>101</v>
      </c>
      <c r="BL119" t="s">
        <v>2593</v>
      </c>
      <c r="BM119" t="s">
        <v>2594</v>
      </c>
      <c r="BN119" t="s">
        <v>74</v>
      </c>
      <c r="BO119" t="s">
        <v>74</v>
      </c>
      <c r="BP119" t="s">
        <v>74</v>
      </c>
      <c r="BQ119" t="s">
        <v>74</v>
      </c>
      <c r="BR119" t="s">
        <v>105</v>
      </c>
      <c r="BS119" t="s">
        <v>2609</v>
      </c>
      <c r="BT119" t="str">
        <f>HYPERLINK("https%3A%2F%2Fwww.webofscience.com%2Fwos%2Fwoscc%2Ffull-record%2FWOS:000411873100005","View Full Record in Web of Science")</f>
        <v>View Full Record in Web of Science</v>
      </c>
    </row>
    <row r="120" spans="1:72" x14ac:dyDescent="0.15">
      <c r="A120" t="s">
        <v>72</v>
      </c>
      <c r="B120" t="s">
        <v>2610</v>
      </c>
      <c r="C120" t="s">
        <v>74</v>
      </c>
      <c r="D120" t="s">
        <v>74</v>
      </c>
      <c r="E120" t="s">
        <v>74</v>
      </c>
      <c r="F120" t="s">
        <v>2611</v>
      </c>
      <c r="G120" t="s">
        <v>74</v>
      </c>
      <c r="H120" t="s">
        <v>74</v>
      </c>
      <c r="I120" t="s">
        <v>2612</v>
      </c>
      <c r="J120" t="s">
        <v>2576</v>
      </c>
      <c r="K120" t="s">
        <v>74</v>
      </c>
      <c r="L120" t="s">
        <v>74</v>
      </c>
      <c r="M120" t="s">
        <v>78</v>
      </c>
      <c r="N120" t="s">
        <v>79</v>
      </c>
      <c r="O120" t="s">
        <v>74</v>
      </c>
      <c r="P120" t="s">
        <v>74</v>
      </c>
      <c r="Q120" t="s">
        <v>74</v>
      </c>
      <c r="R120" t="s">
        <v>74</v>
      </c>
      <c r="S120" t="s">
        <v>74</v>
      </c>
      <c r="T120" t="s">
        <v>2613</v>
      </c>
      <c r="U120" t="s">
        <v>2614</v>
      </c>
      <c r="V120" t="s">
        <v>2615</v>
      </c>
      <c r="W120" t="s">
        <v>2616</v>
      </c>
      <c r="X120" t="s">
        <v>2617</v>
      </c>
      <c r="Y120" t="s">
        <v>2618</v>
      </c>
      <c r="Z120" t="s">
        <v>2619</v>
      </c>
      <c r="AA120" t="s">
        <v>2620</v>
      </c>
      <c r="AB120" t="s">
        <v>2621</v>
      </c>
      <c r="AC120" t="s">
        <v>2622</v>
      </c>
      <c r="AD120" t="s">
        <v>2623</v>
      </c>
      <c r="AE120" t="s">
        <v>2624</v>
      </c>
      <c r="AF120" t="s">
        <v>74</v>
      </c>
      <c r="AG120">
        <v>53</v>
      </c>
      <c r="AH120">
        <v>5</v>
      </c>
      <c r="AI120">
        <v>5</v>
      </c>
      <c r="AJ120">
        <v>1</v>
      </c>
      <c r="AK120">
        <v>23</v>
      </c>
      <c r="AL120" t="s">
        <v>208</v>
      </c>
      <c r="AM120" t="s">
        <v>209</v>
      </c>
      <c r="AN120" t="s">
        <v>210</v>
      </c>
      <c r="AO120" t="s">
        <v>2587</v>
      </c>
      <c r="AP120" t="s">
        <v>2588</v>
      </c>
      <c r="AQ120" t="s">
        <v>74</v>
      </c>
      <c r="AR120" t="s">
        <v>2589</v>
      </c>
      <c r="AS120" t="s">
        <v>2590</v>
      </c>
      <c r="AT120" t="s">
        <v>1237</v>
      </c>
      <c r="AU120">
        <v>2017</v>
      </c>
      <c r="AV120">
        <v>40</v>
      </c>
      <c r="AW120">
        <v>10</v>
      </c>
      <c r="AX120" t="s">
        <v>74</v>
      </c>
      <c r="AY120" t="s">
        <v>74</v>
      </c>
      <c r="AZ120" t="s">
        <v>74</v>
      </c>
      <c r="BA120" t="s">
        <v>74</v>
      </c>
      <c r="BB120">
        <v>1989</v>
      </c>
      <c r="BC120">
        <v>2000</v>
      </c>
      <c r="BD120" t="s">
        <v>74</v>
      </c>
      <c r="BE120" t="s">
        <v>2625</v>
      </c>
      <c r="BF120" t="str">
        <f>HYPERLINK("http://dx.doi.org/10.1007/s00300-017-2117-0","http://dx.doi.org/10.1007/s00300-017-2117-0")</f>
        <v>http://dx.doi.org/10.1007/s00300-017-2117-0</v>
      </c>
      <c r="BG120" t="s">
        <v>74</v>
      </c>
      <c r="BH120" t="s">
        <v>74</v>
      </c>
      <c r="BI120">
        <v>12</v>
      </c>
      <c r="BJ120" t="s">
        <v>2592</v>
      </c>
      <c r="BK120" t="s">
        <v>101</v>
      </c>
      <c r="BL120" t="s">
        <v>2593</v>
      </c>
      <c r="BM120" t="s">
        <v>2594</v>
      </c>
      <c r="BN120" t="s">
        <v>74</v>
      </c>
      <c r="BO120" t="s">
        <v>193</v>
      </c>
      <c r="BP120" t="s">
        <v>74</v>
      </c>
      <c r="BQ120" t="s">
        <v>74</v>
      </c>
      <c r="BR120" t="s">
        <v>105</v>
      </c>
      <c r="BS120" t="s">
        <v>2626</v>
      </c>
      <c r="BT120" t="str">
        <f>HYPERLINK("https%3A%2F%2Fwww.webofscience.com%2Fwos%2Fwoscc%2Ffull-record%2FWOS:000411873100006","View Full Record in Web of Science")</f>
        <v>View Full Record in Web of Science</v>
      </c>
    </row>
    <row r="121" spans="1:72" x14ac:dyDescent="0.15">
      <c r="A121" t="s">
        <v>72</v>
      </c>
      <c r="B121" t="s">
        <v>2627</v>
      </c>
      <c r="C121" t="s">
        <v>74</v>
      </c>
      <c r="D121" t="s">
        <v>74</v>
      </c>
      <c r="E121" t="s">
        <v>74</v>
      </c>
      <c r="F121" t="s">
        <v>2628</v>
      </c>
      <c r="G121" t="s">
        <v>74</v>
      </c>
      <c r="H121" t="s">
        <v>74</v>
      </c>
      <c r="I121" t="s">
        <v>2629</v>
      </c>
      <c r="J121" t="s">
        <v>2576</v>
      </c>
      <c r="K121" t="s">
        <v>74</v>
      </c>
      <c r="L121" t="s">
        <v>74</v>
      </c>
      <c r="M121" t="s">
        <v>78</v>
      </c>
      <c r="N121" t="s">
        <v>79</v>
      </c>
      <c r="O121" t="s">
        <v>74</v>
      </c>
      <c r="P121" t="s">
        <v>74</v>
      </c>
      <c r="Q121" t="s">
        <v>74</v>
      </c>
      <c r="R121" t="s">
        <v>74</v>
      </c>
      <c r="S121" t="s">
        <v>74</v>
      </c>
      <c r="T121" t="s">
        <v>2630</v>
      </c>
      <c r="U121" t="s">
        <v>2631</v>
      </c>
      <c r="V121" t="s">
        <v>2632</v>
      </c>
      <c r="W121" t="s">
        <v>2633</v>
      </c>
      <c r="X121" t="s">
        <v>2634</v>
      </c>
      <c r="Y121" t="s">
        <v>2635</v>
      </c>
      <c r="Z121" t="s">
        <v>2636</v>
      </c>
      <c r="AA121" t="s">
        <v>2637</v>
      </c>
      <c r="AB121" t="s">
        <v>2638</v>
      </c>
      <c r="AC121" t="s">
        <v>2639</v>
      </c>
      <c r="AD121" t="s">
        <v>2640</v>
      </c>
      <c r="AE121" t="s">
        <v>2641</v>
      </c>
      <c r="AF121" t="s">
        <v>74</v>
      </c>
      <c r="AG121">
        <v>71</v>
      </c>
      <c r="AH121">
        <v>32</v>
      </c>
      <c r="AI121">
        <v>35</v>
      </c>
      <c r="AJ121">
        <v>1</v>
      </c>
      <c r="AK121">
        <v>36</v>
      </c>
      <c r="AL121" t="s">
        <v>208</v>
      </c>
      <c r="AM121" t="s">
        <v>209</v>
      </c>
      <c r="AN121" t="s">
        <v>210</v>
      </c>
      <c r="AO121" t="s">
        <v>2587</v>
      </c>
      <c r="AP121" t="s">
        <v>2588</v>
      </c>
      <c r="AQ121" t="s">
        <v>74</v>
      </c>
      <c r="AR121" t="s">
        <v>2589</v>
      </c>
      <c r="AS121" t="s">
        <v>2590</v>
      </c>
      <c r="AT121" t="s">
        <v>1237</v>
      </c>
      <c r="AU121">
        <v>2017</v>
      </c>
      <c r="AV121">
        <v>40</v>
      </c>
      <c r="AW121">
        <v>10</v>
      </c>
      <c r="AX121" t="s">
        <v>74</v>
      </c>
      <c r="AY121" t="s">
        <v>74</v>
      </c>
      <c r="AZ121" t="s">
        <v>74</v>
      </c>
      <c r="BA121" t="s">
        <v>74</v>
      </c>
      <c r="BB121">
        <v>2001</v>
      </c>
      <c r="BC121">
        <v>2013</v>
      </c>
      <c r="BD121" t="s">
        <v>74</v>
      </c>
      <c r="BE121" t="s">
        <v>2642</v>
      </c>
      <c r="BF121" t="str">
        <f>HYPERLINK("http://dx.doi.org/10.1007/s00300-017-2118-z","http://dx.doi.org/10.1007/s00300-017-2118-z")</f>
        <v>http://dx.doi.org/10.1007/s00300-017-2118-z</v>
      </c>
      <c r="BG121" t="s">
        <v>74</v>
      </c>
      <c r="BH121" t="s">
        <v>74</v>
      </c>
      <c r="BI121">
        <v>13</v>
      </c>
      <c r="BJ121" t="s">
        <v>2592</v>
      </c>
      <c r="BK121" t="s">
        <v>101</v>
      </c>
      <c r="BL121" t="s">
        <v>2593</v>
      </c>
      <c r="BM121" t="s">
        <v>2594</v>
      </c>
      <c r="BN121">
        <v>32009725</v>
      </c>
      <c r="BO121" t="s">
        <v>547</v>
      </c>
      <c r="BP121" t="s">
        <v>74</v>
      </c>
      <c r="BQ121" t="s">
        <v>74</v>
      </c>
      <c r="BR121" t="s">
        <v>105</v>
      </c>
      <c r="BS121" t="s">
        <v>2643</v>
      </c>
      <c r="BT121" t="str">
        <f>HYPERLINK("https%3A%2F%2Fwww.webofscience.com%2Fwos%2Fwoscc%2Ffull-record%2FWOS:000411873100007","View Full Record in Web of Science")</f>
        <v>View Full Record in Web of Science</v>
      </c>
    </row>
    <row r="122" spans="1:72" x14ac:dyDescent="0.15">
      <c r="A122" t="s">
        <v>72</v>
      </c>
      <c r="B122" t="s">
        <v>2644</v>
      </c>
      <c r="C122" t="s">
        <v>74</v>
      </c>
      <c r="D122" t="s">
        <v>74</v>
      </c>
      <c r="E122" t="s">
        <v>74</v>
      </c>
      <c r="F122" t="s">
        <v>2645</v>
      </c>
      <c r="G122" t="s">
        <v>74</v>
      </c>
      <c r="H122" t="s">
        <v>74</v>
      </c>
      <c r="I122" t="s">
        <v>2646</v>
      </c>
      <c r="J122" t="s">
        <v>2576</v>
      </c>
      <c r="K122" t="s">
        <v>74</v>
      </c>
      <c r="L122" t="s">
        <v>74</v>
      </c>
      <c r="M122" t="s">
        <v>78</v>
      </c>
      <c r="N122" t="s">
        <v>79</v>
      </c>
      <c r="O122" t="s">
        <v>74</v>
      </c>
      <c r="P122" t="s">
        <v>74</v>
      </c>
      <c r="Q122" t="s">
        <v>74</v>
      </c>
      <c r="R122" t="s">
        <v>74</v>
      </c>
      <c r="S122" t="s">
        <v>74</v>
      </c>
      <c r="T122" t="s">
        <v>2647</v>
      </c>
      <c r="U122" t="s">
        <v>2648</v>
      </c>
      <c r="V122" t="s">
        <v>2649</v>
      </c>
      <c r="W122" t="s">
        <v>2650</v>
      </c>
      <c r="X122" t="s">
        <v>2651</v>
      </c>
      <c r="Y122" t="s">
        <v>2652</v>
      </c>
      <c r="Z122" t="s">
        <v>2653</v>
      </c>
      <c r="AA122" t="s">
        <v>2654</v>
      </c>
      <c r="AB122" t="s">
        <v>2655</v>
      </c>
      <c r="AC122" t="s">
        <v>2656</v>
      </c>
      <c r="AD122" t="s">
        <v>2657</v>
      </c>
      <c r="AE122" t="s">
        <v>2658</v>
      </c>
      <c r="AF122" t="s">
        <v>74</v>
      </c>
      <c r="AG122">
        <v>63</v>
      </c>
      <c r="AH122">
        <v>10</v>
      </c>
      <c r="AI122">
        <v>10</v>
      </c>
      <c r="AJ122">
        <v>4</v>
      </c>
      <c r="AK122">
        <v>19</v>
      </c>
      <c r="AL122" t="s">
        <v>208</v>
      </c>
      <c r="AM122" t="s">
        <v>209</v>
      </c>
      <c r="AN122" t="s">
        <v>2659</v>
      </c>
      <c r="AO122" t="s">
        <v>2587</v>
      </c>
      <c r="AP122" t="s">
        <v>2588</v>
      </c>
      <c r="AQ122" t="s">
        <v>74</v>
      </c>
      <c r="AR122" t="s">
        <v>2589</v>
      </c>
      <c r="AS122" t="s">
        <v>2590</v>
      </c>
      <c r="AT122" t="s">
        <v>1237</v>
      </c>
      <c r="AU122">
        <v>2017</v>
      </c>
      <c r="AV122">
        <v>40</v>
      </c>
      <c r="AW122">
        <v>10</v>
      </c>
      <c r="AX122" t="s">
        <v>74</v>
      </c>
      <c r="AY122" t="s">
        <v>74</v>
      </c>
      <c r="AZ122" t="s">
        <v>74</v>
      </c>
      <c r="BA122" t="s">
        <v>74</v>
      </c>
      <c r="BB122">
        <v>2035</v>
      </c>
      <c r="BC122">
        <v>2045</v>
      </c>
      <c r="BD122" t="s">
        <v>74</v>
      </c>
      <c r="BE122" t="s">
        <v>2660</v>
      </c>
      <c r="BF122" t="str">
        <f>HYPERLINK("http://dx.doi.org/10.1007/s00300-017-2123-2","http://dx.doi.org/10.1007/s00300-017-2123-2")</f>
        <v>http://dx.doi.org/10.1007/s00300-017-2123-2</v>
      </c>
      <c r="BG122" t="s">
        <v>74</v>
      </c>
      <c r="BH122" t="s">
        <v>74</v>
      </c>
      <c r="BI122">
        <v>11</v>
      </c>
      <c r="BJ122" t="s">
        <v>2592</v>
      </c>
      <c r="BK122" t="s">
        <v>101</v>
      </c>
      <c r="BL122" t="s">
        <v>2593</v>
      </c>
      <c r="BM122" t="s">
        <v>2594</v>
      </c>
      <c r="BN122" t="s">
        <v>74</v>
      </c>
      <c r="BO122" t="s">
        <v>529</v>
      </c>
      <c r="BP122" t="s">
        <v>74</v>
      </c>
      <c r="BQ122" t="s">
        <v>74</v>
      </c>
      <c r="BR122" t="s">
        <v>105</v>
      </c>
      <c r="BS122" t="s">
        <v>2661</v>
      </c>
      <c r="BT122" t="str">
        <f>HYPERLINK("https%3A%2F%2Fwww.webofscience.com%2Fwos%2Fwoscc%2Ffull-record%2FWOS:000411873100010","View Full Record in Web of Science")</f>
        <v>View Full Record in Web of Science</v>
      </c>
    </row>
    <row r="123" spans="1:72" x14ac:dyDescent="0.15">
      <c r="A123" t="s">
        <v>72</v>
      </c>
      <c r="B123" t="s">
        <v>2662</v>
      </c>
      <c r="C123" t="s">
        <v>74</v>
      </c>
      <c r="D123" t="s">
        <v>74</v>
      </c>
      <c r="E123" t="s">
        <v>74</v>
      </c>
      <c r="F123" t="s">
        <v>2663</v>
      </c>
      <c r="G123" t="s">
        <v>74</v>
      </c>
      <c r="H123" t="s">
        <v>74</v>
      </c>
      <c r="I123" t="s">
        <v>2664</v>
      </c>
      <c r="J123" t="s">
        <v>2576</v>
      </c>
      <c r="K123" t="s">
        <v>74</v>
      </c>
      <c r="L123" t="s">
        <v>74</v>
      </c>
      <c r="M123" t="s">
        <v>78</v>
      </c>
      <c r="N123" t="s">
        <v>79</v>
      </c>
      <c r="O123" t="s">
        <v>74</v>
      </c>
      <c r="P123" t="s">
        <v>74</v>
      </c>
      <c r="Q123" t="s">
        <v>74</v>
      </c>
      <c r="R123" t="s">
        <v>74</v>
      </c>
      <c r="S123" t="s">
        <v>74</v>
      </c>
      <c r="T123" t="s">
        <v>2665</v>
      </c>
      <c r="U123" t="s">
        <v>2666</v>
      </c>
      <c r="V123" t="s">
        <v>2667</v>
      </c>
      <c r="W123" t="s">
        <v>2668</v>
      </c>
      <c r="X123" t="s">
        <v>2669</v>
      </c>
      <c r="Y123" t="s">
        <v>2670</v>
      </c>
      <c r="Z123" t="s">
        <v>2671</v>
      </c>
      <c r="AA123" t="s">
        <v>74</v>
      </c>
      <c r="AB123" t="s">
        <v>74</v>
      </c>
      <c r="AC123" t="s">
        <v>2672</v>
      </c>
      <c r="AD123" t="s">
        <v>2673</v>
      </c>
      <c r="AE123" t="s">
        <v>2674</v>
      </c>
      <c r="AF123" t="s">
        <v>74</v>
      </c>
      <c r="AG123">
        <v>38</v>
      </c>
      <c r="AH123">
        <v>19</v>
      </c>
      <c r="AI123">
        <v>22</v>
      </c>
      <c r="AJ123">
        <v>2</v>
      </c>
      <c r="AK123">
        <v>10</v>
      </c>
      <c r="AL123" t="s">
        <v>208</v>
      </c>
      <c r="AM123" t="s">
        <v>209</v>
      </c>
      <c r="AN123" t="s">
        <v>210</v>
      </c>
      <c r="AO123" t="s">
        <v>2587</v>
      </c>
      <c r="AP123" t="s">
        <v>2588</v>
      </c>
      <c r="AQ123" t="s">
        <v>74</v>
      </c>
      <c r="AR123" t="s">
        <v>2589</v>
      </c>
      <c r="AS123" t="s">
        <v>2590</v>
      </c>
      <c r="AT123" t="s">
        <v>1237</v>
      </c>
      <c r="AU123">
        <v>2017</v>
      </c>
      <c r="AV123">
        <v>40</v>
      </c>
      <c r="AW123">
        <v>10</v>
      </c>
      <c r="AX123" t="s">
        <v>74</v>
      </c>
      <c r="AY123" t="s">
        <v>74</v>
      </c>
      <c r="AZ123" t="s">
        <v>74</v>
      </c>
      <c r="BA123" t="s">
        <v>74</v>
      </c>
      <c r="BB123">
        <v>2047</v>
      </c>
      <c r="BC123">
        <v>2054</v>
      </c>
      <c r="BD123" t="s">
        <v>74</v>
      </c>
      <c r="BE123" t="s">
        <v>2675</v>
      </c>
      <c r="BF123" t="str">
        <f>HYPERLINK("http://dx.doi.org/10.1007/s00300-017-2125-0","http://dx.doi.org/10.1007/s00300-017-2125-0")</f>
        <v>http://dx.doi.org/10.1007/s00300-017-2125-0</v>
      </c>
      <c r="BG123" t="s">
        <v>74</v>
      </c>
      <c r="BH123" t="s">
        <v>74</v>
      </c>
      <c r="BI123">
        <v>8</v>
      </c>
      <c r="BJ123" t="s">
        <v>2592</v>
      </c>
      <c r="BK123" t="s">
        <v>101</v>
      </c>
      <c r="BL123" t="s">
        <v>2593</v>
      </c>
      <c r="BM123" t="s">
        <v>2594</v>
      </c>
      <c r="BN123" t="s">
        <v>74</v>
      </c>
      <c r="BO123" t="s">
        <v>74</v>
      </c>
      <c r="BP123" t="s">
        <v>74</v>
      </c>
      <c r="BQ123" t="s">
        <v>74</v>
      </c>
      <c r="BR123" t="s">
        <v>105</v>
      </c>
      <c r="BS123" t="s">
        <v>2676</v>
      </c>
      <c r="BT123" t="str">
        <f>HYPERLINK("https%3A%2F%2Fwww.webofscience.com%2Fwos%2Fwoscc%2Ffull-record%2FWOS:000411873100011","View Full Record in Web of Science")</f>
        <v>View Full Record in Web of Science</v>
      </c>
    </row>
    <row r="124" spans="1:72" x14ac:dyDescent="0.15">
      <c r="A124" t="s">
        <v>72</v>
      </c>
      <c r="B124" t="s">
        <v>2677</v>
      </c>
      <c r="C124" t="s">
        <v>74</v>
      </c>
      <c r="D124" t="s">
        <v>74</v>
      </c>
      <c r="E124" t="s">
        <v>74</v>
      </c>
      <c r="F124" t="s">
        <v>2678</v>
      </c>
      <c r="G124" t="s">
        <v>74</v>
      </c>
      <c r="H124" t="s">
        <v>74</v>
      </c>
      <c r="I124" t="s">
        <v>2679</v>
      </c>
      <c r="J124" t="s">
        <v>2576</v>
      </c>
      <c r="K124" t="s">
        <v>74</v>
      </c>
      <c r="L124" t="s">
        <v>74</v>
      </c>
      <c r="M124" t="s">
        <v>78</v>
      </c>
      <c r="N124" t="s">
        <v>79</v>
      </c>
      <c r="O124" t="s">
        <v>74</v>
      </c>
      <c r="P124" t="s">
        <v>74</v>
      </c>
      <c r="Q124" t="s">
        <v>74</v>
      </c>
      <c r="R124" t="s">
        <v>74</v>
      </c>
      <c r="S124" t="s">
        <v>74</v>
      </c>
      <c r="T124" t="s">
        <v>2680</v>
      </c>
      <c r="U124" t="s">
        <v>2681</v>
      </c>
      <c r="V124" t="s">
        <v>2682</v>
      </c>
      <c r="W124" t="s">
        <v>2683</v>
      </c>
      <c r="X124" t="s">
        <v>2684</v>
      </c>
      <c r="Y124" t="s">
        <v>2685</v>
      </c>
      <c r="Z124" t="s">
        <v>2686</v>
      </c>
      <c r="AA124" t="s">
        <v>2687</v>
      </c>
      <c r="AB124" t="s">
        <v>2688</v>
      </c>
      <c r="AC124" t="s">
        <v>2689</v>
      </c>
      <c r="AD124" t="s">
        <v>2690</v>
      </c>
      <c r="AE124" t="s">
        <v>2691</v>
      </c>
      <c r="AF124" t="s">
        <v>74</v>
      </c>
      <c r="AG124">
        <v>26</v>
      </c>
      <c r="AH124">
        <v>9</v>
      </c>
      <c r="AI124">
        <v>9</v>
      </c>
      <c r="AJ124">
        <v>0</v>
      </c>
      <c r="AK124">
        <v>21</v>
      </c>
      <c r="AL124" t="s">
        <v>208</v>
      </c>
      <c r="AM124" t="s">
        <v>209</v>
      </c>
      <c r="AN124" t="s">
        <v>210</v>
      </c>
      <c r="AO124" t="s">
        <v>2587</v>
      </c>
      <c r="AP124" t="s">
        <v>2588</v>
      </c>
      <c r="AQ124" t="s">
        <v>74</v>
      </c>
      <c r="AR124" t="s">
        <v>2589</v>
      </c>
      <c r="AS124" t="s">
        <v>2590</v>
      </c>
      <c r="AT124" t="s">
        <v>1237</v>
      </c>
      <c r="AU124">
        <v>2017</v>
      </c>
      <c r="AV124">
        <v>40</v>
      </c>
      <c r="AW124">
        <v>10</v>
      </c>
      <c r="AX124" t="s">
        <v>74</v>
      </c>
      <c r="AY124" t="s">
        <v>74</v>
      </c>
      <c r="AZ124" t="s">
        <v>74</v>
      </c>
      <c r="BA124" t="s">
        <v>74</v>
      </c>
      <c r="BB124">
        <v>2127</v>
      </c>
      <c r="BC124">
        <v>2131</v>
      </c>
      <c r="BD124" t="s">
        <v>74</v>
      </c>
      <c r="BE124" t="s">
        <v>2692</v>
      </c>
      <c r="BF124" t="str">
        <f>HYPERLINK("http://dx.doi.org/10.1007/s00300-017-2121-4","http://dx.doi.org/10.1007/s00300-017-2121-4")</f>
        <v>http://dx.doi.org/10.1007/s00300-017-2121-4</v>
      </c>
      <c r="BG124" t="s">
        <v>74</v>
      </c>
      <c r="BH124" t="s">
        <v>74</v>
      </c>
      <c r="BI124">
        <v>5</v>
      </c>
      <c r="BJ124" t="s">
        <v>2592</v>
      </c>
      <c r="BK124" t="s">
        <v>101</v>
      </c>
      <c r="BL124" t="s">
        <v>2593</v>
      </c>
      <c r="BM124" t="s">
        <v>2594</v>
      </c>
      <c r="BN124" t="s">
        <v>74</v>
      </c>
      <c r="BO124" t="s">
        <v>1240</v>
      </c>
      <c r="BP124" t="s">
        <v>74</v>
      </c>
      <c r="BQ124" t="s">
        <v>74</v>
      </c>
      <c r="BR124" t="s">
        <v>105</v>
      </c>
      <c r="BS124" t="s">
        <v>2693</v>
      </c>
      <c r="BT124" t="str">
        <f>HYPERLINK("https%3A%2F%2Fwww.webofscience.com%2Fwos%2Fwoscc%2Ffull-record%2FWOS:000411873100019","View Full Record in Web of Science")</f>
        <v>View Full Record in Web of Science</v>
      </c>
    </row>
    <row r="125" spans="1:72" x14ac:dyDescent="0.15">
      <c r="A125" t="s">
        <v>72</v>
      </c>
      <c r="B125" t="s">
        <v>2694</v>
      </c>
      <c r="C125" t="s">
        <v>74</v>
      </c>
      <c r="D125" t="s">
        <v>74</v>
      </c>
      <c r="E125" t="s">
        <v>74</v>
      </c>
      <c r="F125" t="s">
        <v>2695</v>
      </c>
      <c r="G125" t="s">
        <v>74</v>
      </c>
      <c r="H125" t="s">
        <v>74</v>
      </c>
      <c r="I125" t="s">
        <v>2696</v>
      </c>
      <c r="J125" t="s">
        <v>2697</v>
      </c>
      <c r="K125" t="s">
        <v>74</v>
      </c>
      <c r="L125" t="s">
        <v>74</v>
      </c>
      <c r="M125" t="s">
        <v>78</v>
      </c>
      <c r="N125" t="s">
        <v>79</v>
      </c>
      <c r="O125" t="s">
        <v>74</v>
      </c>
      <c r="P125" t="s">
        <v>74</v>
      </c>
      <c r="Q125" t="s">
        <v>74</v>
      </c>
      <c r="R125" t="s">
        <v>74</v>
      </c>
      <c r="S125" t="s">
        <v>74</v>
      </c>
      <c r="T125" t="s">
        <v>2698</v>
      </c>
      <c r="U125" t="s">
        <v>74</v>
      </c>
      <c r="V125" t="s">
        <v>2699</v>
      </c>
      <c r="W125" t="s">
        <v>2700</v>
      </c>
      <c r="X125" t="s">
        <v>2701</v>
      </c>
      <c r="Y125" t="s">
        <v>2702</v>
      </c>
      <c r="Z125" t="s">
        <v>2703</v>
      </c>
      <c r="AA125" t="s">
        <v>74</v>
      </c>
      <c r="AB125" t="s">
        <v>74</v>
      </c>
      <c r="AC125" t="s">
        <v>74</v>
      </c>
      <c r="AD125" t="s">
        <v>74</v>
      </c>
      <c r="AE125" t="s">
        <v>74</v>
      </c>
      <c r="AF125" t="s">
        <v>74</v>
      </c>
      <c r="AG125">
        <v>5</v>
      </c>
      <c r="AH125">
        <v>5</v>
      </c>
      <c r="AI125">
        <v>8</v>
      </c>
      <c r="AJ125">
        <v>1</v>
      </c>
      <c r="AK125">
        <v>21</v>
      </c>
      <c r="AL125" t="s">
        <v>1981</v>
      </c>
      <c r="AM125" t="s">
        <v>729</v>
      </c>
      <c r="AN125" t="s">
        <v>1982</v>
      </c>
      <c r="AO125" t="s">
        <v>2704</v>
      </c>
      <c r="AP125" t="s">
        <v>2705</v>
      </c>
      <c r="AQ125" t="s">
        <v>74</v>
      </c>
      <c r="AR125" t="s">
        <v>2706</v>
      </c>
      <c r="AS125" t="s">
        <v>2707</v>
      </c>
      <c r="AT125" t="s">
        <v>1237</v>
      </c>
      <c r="AU125">
        <v>2017</v>
      </c>
      <c r="AV125">
        <v>139</v>
      </c>
      <c r="AW125" t="s">
        <v>74</v>
      </c>
      <c r="AX125" t="s">
        <v>74</v>
      </c>
      <c r="AY125" t="s">
        <v>74</v>
      </c>
      <c r="AZ125" t="s">
        <v>74</v>
      </c>
      <c r="BA125" t="s">
        <v>74</v>
      </c>
      <c r="BB125">
        <v>313</v>
      </c>
      <c r="BC125">
        <v>320</v>
      </c>
      <c r="BD125" t="s">
        <v>74</v>
      </c>
      <c r="BE125" t="s">
        <v>2708</v>
      </c>
      <c r="BF125" t="str">
        <f>HYPERLINK("http://dx.doi.org/10.1016/j.actaastro.2017.07.023","http://dx.doi.org/10.1016/j.actaastro.2017.07.023")</f>
        <v>http://dx.doi.org/10.1016/j.actaastro.2017.07.023</v>
      </c>
      <c r="BG125" t="s">
        <v>74</v>
      </c>
      <c r="BH125" t="s">
        <v>74</v>
      </c>
      <c r="BI125">
        <v>8</v>
      </c>
      <c r="BJ125" t="s">
        <v>1555</v>
      </c>
      <c r="BK125" t="s">
        <v>101</v>
      </c>
      <c r="BL125" t="s">
        <v>1556</v>
      </c>
      <c r="BM125" t="s">
        <v>2709</v>
      </c>
      <c r="BN125" t="s">
        <v>74</v>
      </c>
      <c r="BO125" t="s">
        <v>74</v>
      </c>
      <c r="BP125" t="s">
        <v>74</v>
      </c>
      <c r="BQ125" t="s">
        <v>74</v>
      </c>
      <c r="BR125" t="s">
        <v>105</v>
      </c>
      <c r="BS125" t="s">
        <v>2710</v>
      </c>
      <c r="BT125" t="str">
        <f>HYPERLINK("https%3A%2F%2Fwww.webofscience.com%2Fwos%2Fwoscc%2Ffull-record%2FWOS:000411299700034","View Full Record in Web of Science")</f>
        <v>View Full Record in Web of Science</v>
      </c>
    </row>
    <row r="126" spans="1:72" x14ac:dyDescent="0.15">
      <c r="A126" t="s">
        <v>72</v>
      </c>
      <c r="B126" t="s">
        <v>2711</v>
      </c>
      <c r="C126" t="s">
        <v>74</v>
      </c>
      <c r="D126" t="s">
        <v>74</v>
      </c>
      <c r="E126" t="s">
        <v>74</v>
      </c>
      <c r="F126" t="s">
        <v>2712</v>
      </c>
      <c r="G126" t="s">
        <v>74</v>
      </c>
      <c r="H126" t="s">
        <v>74</v>
      </c>
      <c r="I126" t="s">
        <v>2713</v>
      </c>
      <c r="J126" t="s">
        <v>2714</v>
      </c>
      <c r="K126" t="s">
        <v>74</v>
      </c>
      <c r="L126" t="s">
        <v>74</v>
      </c>
      <c r="M126" t="s">
        <v>78</v>
      </c>
      <c r="N126" t="s">
        <v>79</v>
      </c>
      <c r="O126" t="s">
        <v>74</v>
      </c>
      <c r="P126" t="s">
        <v>74</v>
      </c>
      <c r="Q126" t="s">
        <v>74</v>
      </c>
      <c r="R126" t="s">
        <v>74</v>
      </c>
      <c r="S126" t="s">
        <v>74</v>
      </c>
      <c r="T126" t="s">
        <v>2715</v>
      </c>
      <c r="U126" t="s">
        <v>2716</v>
      </c>
      <c r="V126" t="s">
        <v>2717</v>
      </c>
      <c r="W126" t="s">
        <v>2718</v>
      </c>
      <c r="X126" t="s">
        <v>2719</v>
      </c>
      <c r="Y126" t="s">
        <v>2720</v>
      </c>
      <c r="Z126" t="s">
        <v>2721</v>
      </c>
      <c r="AA126" t="s">
        <v>2722</v>
      </c>
      <c r="AB126" t="s">
        <v>2723</v>
      </c>
      <c r="AC126" t="s">
        <v>2724</v>
      </c>
      <c r="AD126" t="s">
        <v>2725</v>
      </c>
      <c r="AE126" t="s">
        <v>2726</v>
      </c>
      <c r="AF126" t="s">
        <v>74</v>
      </c>
      <c r="AG126">
        <v>131</v>
      </c>
      <c r="AH126">
        <v>20</v>
      </c>
      <c r="AI126">
        <v>22</v>
      </c>
      <c r="AJ126">
        <v>1</v>
      </c>
      <c r="AK126">
        <v>48</v>
      </c>
      <c r="AL126" t="s">
        <v>1338</v>
      </c>
      <c r="AM126" t="s">
        <v>1339</v>
      </c>
      <c r="AN126" t="s">
        <v>1340</v>
      </c>
      <c r="AO126" t="s">
        <v>2727</v>
      </c>
      <c r="AP126" t="s">
        <v>2728</v>
      </c>
      <c r="AQ126" t="s">
        <v>74</v>
      </c>
      <c r="AR126" t="s">
        <v>2729</v>
      </c>
      <c r="AS126" t="s">
        <v>2730</v>
      </c>
      <c r="AT126" t="s">
        <v>1237</v>
      </c>
      <c r="AU126">
        <v>2017</v>
      </c>
      <c r="AV126">
        <v>20</v>
      </c>
      <c r="AW126">
        <v>5</v>
      </c>
      <c r="AX126" t="s">
        <v>74</v>
      </c>
      <c r="AY126" t="s">
        <v>74</v>
      </c>
      <c r="AZ126" t="s">
        <v>74</v>
      </c>
      <c r="BA126" t="s">
        <v>74</v>
      </c>
      <c r="BB126">
        <v>409</v>
      </c>
      <c r="BC126">
        <v>424</v>
      </c>
      <c r="BD126" t="s">
        <v>74</v>
      </c>
      <c r="BE126" t="s">
        <v>2731</v>
      </c>
      <c r="BF126" t="str">
        <f>HYPERLINK("http://dx.doi.org/10.1111/acv.12339","http://dx.doi.org/10.1111/acv.12339")</f>
        <v>http://dx.doi.org/10.1111/acv.12339</v>
      </c>
      <c r="BG126" t="s">
        <v>74</v>
      </c>
      <c r="BH126" t="s">
        <v>74</v>
      </c>
      <c r="BI126">
        <v>16</v>
      </c>
      <c r="BJ126" t="s">
        <v>2592</v>
      </c>
      <c r="BK126" t="s">
        <v>101</v>
      </c>
      <c r="BL126" t="s">
        <v>2593</v>
      </c>
      <c r="BM126" t="s">
        <v>2732</v>
      </c>
      <c r="BN126" t="s">
        <v>74</v>
      </c>
      <c r="BO126" t="s">
        <v>193</v>
      </c>
      <c r="BP126" t="s">
        <v>74</v>
      </c>
      <c r="BQ126" t="s">
        <v>74</v>
      </c>
      <c r="BR126" t="s">
        <v>105</v>
      </c>
      <c r="BS126" t="s">
        <v>2733</v>
      </c>
      <c r="BT126" t="str">
        <f>HYPERLINK("https%3A%2F%2Fwww.webofscience.com%2Fwos%2Fwoscc%2Ffull-record%2FWOS:000413319000006","View Full Record in Web of Science")</f>
        <v>View Full Record in Web of Science</v>
      </c>
    </row>
    <row r="127" spans="1:72" x14ac:dyDescent="0.15">
      <c r="A127" t="s">
        <v>72</v>
      </c>
      <c r="B127" t="s">
        <v>2734</v>
      </c>
      <c r="C127" t="s">
        <v>74</v>
      </c>
      <c r="D127" t="s">
        <v>74</v>
      </c>
      <c r="E127" t="s">
        <v>74</v>
      </c>
      <c r="F127" t="s">
        <v>2735</v>
      </c>
      <c r="G127" t="s">
        <v>74</v>
      </c>
      <c r="H127" t="s">
        <v>74</v>
      </c>
      <c r="I127" t="s">
        <v>2736</v>
      </c>
      <c r="J127" t="s">
        <v>1670</v>
      </c>
      <c r="K127" t="s">
        <v>74</v>
      </c>
      <c r="L127" t="s">
        <v>74</v>
      </c>
      <c r="M127" t="s">
        <v>78</v>
      </c>
      <c r="N127" t="s">
        <v>2737</v>
      </c>
      <c r="O127" t="s">
        <v>74</v>
      </c>
      <c r="P127" t="s">
        <v>74</v>
      </c>
      <c r="Q127" t="s">
        <v>74</v>
      </c>
      <c r="R127" t="s">
        <v>74</v>
      </c>
      <c r="S127" t="s">
        <v>74</v>
      </c>
      <c r="T127" t="s">
        <v>74</v>
      </c>
      <c r="U127" t="s">
        <v>74</v>
      </c>
      <c r="V127" t="s">
        <v>74</v>
      </c>
      <c r="W127" t="s">
        <v>74</v>
      </c>
      <c r="X127" t="s">
        <v>74</v>
      </c>
      <c r="Y127" t="s">
        <v>74</v>
      </c>
      <c r="Z127" t="s">
        <v>74</v>
      </c>
      <c r="AA127" t="s">
        <v>74</v>
      </c>
      <c r="AB127" t="s">
        <v>74</v>
      </c>
      <c r="AC127" t="s">
        <v>74</v>
      </c>
      <c r="AD127" t="s">
        <v>74</v>
      </c>
      <c r="AE127" t="s">
        <v>74</v>
      </c>
      <c r="AF127" t="s">
        <v>74</v>
      </c>
      <c r="AG127">
        <v>0</v>
      </c>
      <c r="AH127">
        <v>2</v>
      </c>
      <c r="AI127">
        <v>2</v>
      </c>
      <c r="AJ127">
        <v>1</v>
      </c>
      <c r="AK127">
        <v>20</v>
      </c>
      <c r="AL127" t="s">
        <v>1270</v>
      </c>
      <c r="AM127" t="s">
        <v>209</v>
      </c>
      <c r="AN127" t="s">
        <v>1682</v>
      </c>
      <c r="AO127" t="s">
        <v>1683</v>
      </c>
      <c r="AP127" t="s">
        <v>1684</v>
      </c>
      <c r="AQ127" t="s">
        <v>74</v>
      </c>
      <c r="AR127" t="s">
        <v>1685</v>
      </c>
      <c r="AS127" t="s">
        <v>1686</v>
      </c>
      <c r="AT127" t="s">
        <v>1237</v>
      </c>
      <c r="AU127">
        <v>2017</v>
      </c>
      <c r="AV127">
        <v>29</v>
      </c>
      <c r="AW127">
        <v>5</v>
      </c>
      <c r="AX127" t="s">
        <v>74</v>
      </c>
      <c r="AY127" t="s">
        <v>74</v>
      </c>
      <c r="AZ127" t="s">
        <v>74</v>
      </c>
      <c r="BA127" t="s">
        <v>74</v>
      </c>
      <c r="BB127">
        <v>395</v>
      </c>
      <c r="BC127">
        <v>395</v>
      </c>
      <c r="BD127" t="s">
        <v>74</v>
      </c>
      <c r="BE127" t="s">
        <v>2738</v>
      </c>
      <c r="BF127" t="str">
        <f>HYPERLINK("http://dx.doi.org/10.1017/S0954102017000323","http://dx.doi.org/10.1017/S0954102017000323")</f>
        <v>http://dx.doi.org/10.1017/S0954102017000323</v>
      </c>
      <c r="BG127" t="s">
        <v>74</v>
      </c>
      <c r="BH127" t="s">
        <v>74</v>
      </c>
      <c r="BI127">
        <v>1</v>
      </c>
      <c r="BJ127" t="s">
        <v>1688</v>
      </c>
      <c r="BK127" t="s">
        <v>101</v>
      </c>
      <c r="BL127" t="s">
        <v>1689</v>
      </c>
      <c r="BM127" t="s">
        <v>1690</v>
      </c>
      <c r="BN127" t="s">
        <v>74</v>
      </c>
      <c r="BO127" t="s">
        <v>104</v>
      </c>
      <c r="BP127" t="s">
        <v>74</v>
      </c>
      <c r="BQ127" t="s">
        <v>74</v>
      </c>
      <c r="BR127" t="s">
        <v>105</v>
      </c>
      <c r="BS127" t="s">
        <v>2739</v>
      </c>
      <c r="BT127" t="str">
        <f>HYPERLINK("https%3A%2F%2Fwww.webofscience.com%2Fwos%2Fwoscc%2Ffull-record%2FWOS:000412678800001","View Full Record in Web of Science")</f>
        <v>View Full Record in Web of Science</v>
      </c>
    </row>
    <row r="128" spans="1:72" x14ac:dyDescent="0.15">
      <c r="A128" t="s">
        <v>72</v>
      </c>
      <c r="B128" t="s">
        <v>2740</v>
      </c>
      <c r="C128" t="s">
        <v>74</v>
      </c>
      <c r="D128" t="s">
        <v>74</v>
      </c>
      <c r="E128" t="s">
        <v>74</v>
      </c>
      <c r="F128" t="s">
        <v>2741</v>
      </c>
      <c r="G128" t="s">
        <v>74</v>
      </c>
      <c r="H128" t="s">
        <v>74</v>
      </c>
      <c r="I128" t="s">
        <v>2742</v>
      </c>
      <c r="J128" t="s">
        <v>1670</v>
      </c>
      <c r="K128" t="s">
        <v>74</v>
      </c>
      <c r="L128" t="s">
        <v>74</v>
      </c>
      <c r="M128" t="s">
        <v>78</v>
      </c>
      <c r="N128" t="s">
        <v>79</v>
      </c>
      <c r="O128" t="s">
        <v>74</v>
      </c>
      <c r="P128" t="s">
        <v>74</v>
      </c>
      <c r="Q128" t="s">
        <v>74</v>
      </c>
      <c r="R128" t="s">
        <v>74</v>
      </c>
      <c r="S128" t="s">
        <v>74</v>
      </c>
      <c r="T128" t="s">
        <v>74</v>
      </c>
      <c r="U128" t="s">
        <v>74</v>
      </c>
      <c r="V128" t="s">
        <v>74</v>
      </c>
      <c r="W128" t="s">
        <v>2743</v>
      </c>
      <c r="X128" t="s">
        <v>2744</v>
      </c>
      <c r="Y128" t="s">
        <v>2745</v>
      </c>
      <c r="Z128" t="s">
        <v>2746</v>
      </c>
      <c r="AA128" t="s">
        <v>2747</v>
      </c>
      <c r="AB128" t="s">
        <v>2748</v>
      </c>
      <c r="AC128" t="s">
        <v>2749</v>
      </c>
      <c r="AD128" t="s">
        <v>2750</v>
      </c>
      <c r="AE128" t="s">
        <v>2751</v>
      </c>
      <c r="AF128" t="s">
        <v>74</v>
      </c>
      <c r="AG128">
        <v>7</v>
      </c>
      <c r="AH128">
        <v>3</v>
      </c>
      <c r="AI128">
        <v>3</v>
      </c>
      <c r="AJ128">
        <v>1</v>
      </c>
      <c r="AK128">
        <v>7</v>
      </c>
      <c r="AL128" t="s">
        <v>1270</v>
      </c>
      <c r="AM128" t="s">
        <v>209</v>
      </c>
      <c r="AN128" t="s">
        <v>1682</v>
      </c>
      <c r="AO128" t="s">
        <v>1683</v>
      </c>
      <c r="AP128" t="s">
        <v>1684</v>
      </c>
      <c r="AQ128" t="s">
        <v>74</v>
      </c>
      <c r="AR128" t="s">
        <v>1685</v>
      </c>
      <c r="AS128" t="s">
        <v>1686</v>
      </c>
      <c r="AT128" t="s">
        <v>1237</v>
      </c>
      <c r="AU128">
        <v>2017</v>
      </c>
      <c r="AV128">
        <v>29</v>
      </c>
      <c r="AW128">
        <v>5</v>
      </c>
      <c r="AX128" t="s">
        <v>74</v>
      </c>
      <c r="AY128" t="s">
        <v>74</v>
      </c>
      <c r="AZ128" t="s">
        <v>74</v>
      </c>
      <c r="BA128" t="s">
        <v>74</v>
      </c>
      <c r="BB128">
        <v>427</v>
      </c>
      <c r="BC128">
        <v>428</v>
      </c>
      <c r="BD128" t="s">
        <v>74</v>
      </c>
      <c r="BE128" t="s">
        <v>2752</v>
      </c>
      <c r="BF128" t="str">
        <f>HYPERLINK("http://dx.doi.org/10.1017/S0954102017000141","http://dx.doi.org/10.1017/S0954102017000141")</f>
        <v>http://dx.doi.org/10.1017/S0954102017000141</v>
      </c>
      <c r="BG128" t="s">
        <v>74</v>
      </c>
      <c r="BH128" t="s">
        <v>74</v>
      </c>
      <c r="BI128">
        <v>2</v>
      </c>
      <c r="BJ128" t="s">
        <v>1688</v>
      </c>
      <c r="BK128" t="s">
        <v>101</v>
      </c>
      <c r="BL128" t="s">
        <v>1689</v>
      </c>
      <c r="BM128" t="s">
        <v>1690</v>
      </c>
      <c r="BN128" t="s">
        <v>74</v>
      </c>
      <c r="BO128" t="s">
        <v>74</v>
      </c>
      <c r="BP128" t="s">
        <v>74</v>
      </c>
      <c r="BQ128" t="s">
        <v>74</v>
      </c>
      <c r="BR128" t="s">
        <v>105</v>
      </c>
      <c r="BS128" t="s">
        <v>2753</v>
      </c>
      <c r="BT128" t="str">
        <f>HYPERLINK("https%3A%2F%2Fwww.webofscience.com%2Fwos%2Fwoscc%2Ffull-record%2FWOS:000412678800005","View Full Record in Web of Science")</f>
        <v>View Full Record in Web of Science</v>
      </c>
    </row>
    <row r="129" spans="1:72" x14ac:dyDescent="0.15">
      <c r="A129" t="s">
        <v>72</v>
      </c>
      <c r="B129" t="s">
        <v>2754</v>
      </c>
      <c r="C129" t="s">
        <v>74</v>
      </c>
      <c r="D129" t="s">
        <v>74</v>
      </c>
      <c r="E129" t="s">
        <v>74</v>
      </c>
      <c r="F129" t="s">
        <v>2755</v>
      </c>
      <c r="G129" t="s">
        <v>74</v>
      </c>
      <c r="H129" t="s">
        <v>74</v>
      </c>
      <c r="I129" t="s">
        <v>2756</v>
      </c>
      <c r="J129" t="s">
        <v>2757</v>
      </c>
      <c r="K129" t="s">
        <v>74</v>
      </c>
      <c r="L129" t="s">
        <v>74</v>
      </c>
      <c r="M129" t="s">
        <v>78</v>
      </c>
      <c r="N129" t="s">
        <v>79</v>
      </c>
      <c r="O129" t="s">
        <v>74</v>
      </c>
      <c r="P129" t="s">
        <v>74</v>
      </c>
      <c r="Q129" t="s">
        <v>74</v>
      </c>
      <c r="R129" t="s">
        <v>74</v>
      </c>
      <c r="S129" t="s">
        <v>74</v>
      </c>
      <c r="T129" t="s">
        <v>2758</v>
      </c>
      <c r="U129" t="s">
        <v>2759</v>
      </c>
      <c r="V129" t="s">
        <v>2760</v>
      </c>
      <c r="W129" t="s">
        <v>2761</v>
      </c>
      <c r="X129" t="s">
        <v>2762</v>
      </c>
      <c r="Y129" t="s">
        <v>2763</v>
      </c>
      <c r="Z129" t="s">
        <v>2764</v>
      </c>
      <c r="AA129" t="s">
        <v>2765</v>
      </c>
      <c r="AB129" t="s">
        <v>2766</v>
      </c>
      <c r="AC129" t="s">
        <v>2767</v>
      </c>
      <c r="AD129" t="s">
        <v>2768</v>
      </c>
      <c r="AE129" t="s">
        <v>2769</v>
      </c>
      <c r="AF129" t="s">
        <v>74</v>
      </c>
      <c r="AG129">
        <v>69</v>
      </c>
      <c r="AH129">
        <v>15</v>
      </c>
      <c r="AI129">
        <v>15</v>
      </c>
      <c r="AJ129">
        <v>2</v>
      </c>
      <c r="AK129">
        <v>27</v>
      </c>
      <c r="AL129" t="s">
        <v>2770</v>
      </c>
      <c r="AM129" t="s">
        <v>2771</v>
      </c>
      <c r="AN129" t="s">
        <v>2772</v>
      </c>
      <c r="AO129" t="s">
        <v>2773</v>
      </c>
      <c r="AP129" t="s">
        <v>2774</v>
      </c>
      <c r="AQ129" t="s">
        <v>74</v>
      </c>
      <c r="AR129" t="s">
        <v>2757</v>
      </c>
      <c r="AS129" t="s">
        <v>2775</v>
      </c>
      <c r="AT129" t="s">
        <v>1237</v>
      </c>
      <c r="AU129">
        <v>2017</v>
      </c>
      <c r="AV129">
        <v>17</v>
      </c>
      <c r="AW129">
        <v>10</v>
      </c>
      <c r="AX129" t="s">
        <v>74</v>
      </c>
      <c r="AY129" t="s">
        <v>74</v>
      </c>
      <c r="AZ129" t="s">
        <v>74</v>
      </c>
      <c r="BA129" t="s">
        <v>74</v>
      </c>
      <c r="BB129">
        <v>984</v>
      </c>
      <c r="BC129">
        <v>996</v>
      </c>
      <c r="BD129" t="s">
        <v>74</v>
      </c>
      <c r="BE129" t="s">
        <v>2776</v>
      </c>
      <c r="BF129" t="str">
        <f>HYPERLINK("http://dx.doi.org/10.1089/ast.2016.1467","http://dx.doi.org/10.1089/ast.2016.1467")</f>
        <v>http://dx.doi.org/10.1089/ast.2016.1467</v>
      </c>
      <c r="BG129" t="s">
        <v>74</v>
      </c>
      <c r="BH129" t="s">
        <v>74</v>
      </c>
      <c r="BI129">
        <v>13</v>
      </c>
      <c r="BJ129" t="s">
        <v>2777</v>
      </c>
      <c r="BK129" t="s">
        <v>101</v>
      </c>
      <c r="BL129" t="s">
        <v>2778</v>
      </c>
      <c r="BM129" t="s">
        <v>2779</v>
      </c>
      <c r="BN129">
        <v>29016195</v>
      </c>
      <c r="BO129" t="s">
        <v>1170</v>
      </c>
      <c r="BP129" t="s">
        <v>74</v>
      </c>
      <c r="BQ129" t="s">
        <v>74</v>
      </c>
      <c r="BR129" t="s">
        <v>105</v>
      </c>
      <c r="BS129" t="s">
        <v>2780</v>
      </c>
      <c r="BT129" t="str">
        <f>HYPERLINK("https%3A%2F%2Fwww.webofscience.com%2Fwos%2Fwoscc%2Ffull-record%2FWOS:000413278600007","View Full Record in Web of Science")</f>
        <v>View Full Record in Web of Science</v>
      </c>
    </row>
    <row r="130" spans="1:72" x14ac:dyDescent="0.15">
      <c r="A130" t="s">
        <v>72</v>
      </c>
      <c r="B130" t="s">
        <v>2781</v>
      </c>
      <c r="C130" t="s">
        <v>74</v>
      </c>
      <c r="D130" t="s">
        <v>74</v>
      </c>
      <c r="E130" t="s">
        <v>74</v>
      </c>
      <c r="F130" t="s">
        <v>2782</v>
      </c>
      <c r="G130" t="s">
        <v>74</v>
      </c>
      <c r="H130" t="s">
        <v>74</v>
      </c>
      <c r="I130" t="s">
        <v>2783</v>
      </c>
      <c r="J130" t="s">
        <v>2784</v>
      </c>
      <c r="K130" t="s">
        <v>74</v>
      </c>
      <c r="L130" t="s">
        <v>74</v>
      </c>
      <c r="M130" t="s">
        <v>78</v>
      </c>
      <c r="N130" t="s">
        <v>79</v>
      </c>
      <c r="O130" t="s">
        <v>74</v>
      </c>
      <c r="P130" t="s">
        <v>74</v>
      </c>
      <c r="Q130" t="s">
        <v>74</v>
      </c>
      <c r="R130" t="s">
        <v>74</v>
      </c>
      <c r="S130" t="s">
        <v>74</v>
      </c>
      <c r="T130" t="s">
        <v>2785</v>
      </c>
      <c r="U130" t="s">
        <v>2786</v>
      </c>
      <c r="V130" t="s">
        <v>2787</v>
      </c>
      <c r="W130" t="s">
        <v>2788</v>
      </c>
      <c r="X130" t="s">
        <v>2789</v>
      </c>
      <c r="Y130" t="s">
        <v>2790</v>
      </c>
      <c r="Z130" t="s">
        <v>2791</v>
      </c>
      <c r="AA130" t="s">
        <v>74</v>
      </c>
      <c r="AB130" t="s">
        <v>2792</v>
      </c>
      <c r="AC130" t="s">
        <v>2793</v>
      </c>
      <c r="AD130" t="s">
        <v>2793</v>
      </c>
      <c r="AE130" t="s">
        <v>2794</v>
      </c>
      <c r="AF130" t="s">
        <v>74</v>
      </c>
      <c r="AG130">
        <v>29</v>
      </c>
      <c r="AH130">
        <v>7</v>
      </c>
      <c r="AI130">
        <v>9</v>
      </c>
      <c r="AJ130">
        <v>2</v>
      </c>
      <c r="AK130">
        <v>28</v>
      </c>
      <c r="AL130" t="s">
        <v>2795</v>
      </c>
      <c r="AM130" t="s">
        <v>2796</v>
      </c>
      <c r="AN130" t="s">
        <v>2797</v>
      </c>
      <c r="AO130" t="s">
        <v>2798</v>
      </c>
      <c r="AP130" t="s">
        <v>2799</v>
      </c>
      <c r="AQ130" t="s">
        <v>74</v>
      </c>
      <c r="AR130" t="s">
        <v>2784</v>
      </c>
      <c r="AS130" t="s">
        <v>2784</v>
      </c>
      <c r="AT130" t="s">
        <v>1237</v>
      </c>
      <c r="AU130">
        <v>2017</v>
      </c>
      <c r="AV130">
        <v>134</v>
      </c>
      <c r="AW130">
        <v>4</v>
      </c>
      <c r="AX130" t="s">
        <v>74</v>
      </c>
      <c r="AY130" t="s">
        <v>74</v>
      </c>
      <c r="AZ130" t="s">
        <v>74</v>
      </c>
      <c r="BA130" t="s">
        <v>74</v>
      </c>
      <c r="BB130">
        <v>894</v>
      </c>
      <c r="BC130">
        <v>902</v>
      </c>
      <c r="BD130" t="s">
        <v>74</v>
      </c>
      <c r="BE130" t="s">
        <v>2800</v>
      </c>
      <c r="BF130" t="str">
        <f>HYPERLINK("http://dx.doi.org/10.1642/AUK-17-4.1","http://dx.doi.org/10.1642/AUK-17-4.1")</f>
        <v>http://dx.doi.org/10.1642/AUK-17-4.1</v>
      </c>
      <c r="BG130" t="s">
        <v>74</v>
      </c>
      <c r="BH130" t="s">
        <v>74</v>
      </c>
      <c r="BI130">
        <v>9</v>
      </c>
      <c r="BJ130" t="s">
        <v>2801</v>
      </c>
      <c r="BK130" t="s">
        <v>101</v>
      </c>
      <c r="BL130" t="s">
        <v>2802</v>
      </c>
      <c r="BM130" t="s">
        <v>2803</v>
      </c>
      <c r="BN130" t="s">
        <v>74</v>
      </c>
      <c r="BO130" t="s">
        <v>2804</v>
      </c>
      <c r="BP130" t="s">
        <v>74</v>
      </c>
      <c r="BQ130" t="s">
        <v>74</v>
      </c>
      <c r="BR130" t="s">
        <v>105</v>
      </c>
      <c r="BS130" t="s">
        <v>2805</v>
      </c>
      <c r="BT130" t="str">
        <f>HYPERLINK("https%3A%2F%2Fwww.webofscience.com%2Fwos%2Fwoscc%2Ffull-record%2FWOS:000412829200010","View Full Record in Web of Science")</f>
        <v>View Full Record in Web of Science</v>
      </c>
    </row>
    <row r="131" spans="1:72" x14ac:dyDescent="0.15">
      <c r="A131" t="s">
        <v>72</v>
      </c>
      <c r="B131" t="s">
        <v>2806</v>
      </c>
      <c r="C131" t="s">
        <v>74</v>
      </c>
      <c r="D131" t="s">
        <v>74</v>
      </c>
      <c r="E131" t="s">
        <v>74</v>
      </c>
      <c r="F131" t="s">
        <v>2807</v>
      </c>
      <c r="G131" t="s">
        <v>74</v>
      </c>
      <c r="H131" t="s">
        <v>74</v>
      </c>
      <c r="I131" t="s">
        <v>2808</v>
      </c>
      <c r="J131" t="s">
        <v>2809</v>
      </c>
      <c r="K131" t="s">
        <v>74</v>
      </c>
      <c r="L131" t="s">
        <v>74</v>
      </c>
      <c r="M131" t="s">
        <v>78</v>
      </c>
      <c r="N131" t="s">
        <v>79</v>
      </c>
      <c r="O131" t="s">
        <v>74</v>
      </c>
      <c r="P131" t="s">
        <v>74</v>
      </c>
      <c r="Q131" t="s">
        <v>74</v>
      </c>
      <c r="R131" t="s">
        <v>74</v>
      </c>
      <c r="S131" t="s">
        <v>74</v>
      </c>
      <c r="T131" t="s">
        <v>2810</v>
      </c>
      <c r="U131" t="s">
        <v>2811</v>
      </c>
      <c r="V131" t="s">
        <v>2812</v>
      </c>
      <c r="W131" t="s">
        <v>2813</v>
      </c>
      <c r="X131" t="s">
        <v>2814</v>
      </c>
      <c r="Y131" t="s">
        <v>2815</v>
      </c>
      <c r="Z131" t="s">
        <v>2816</v>
      </c>
      <c r="AA131" t="s">
        <v>2817</v>
      </c>
      <c r="AB131" t="s">
        <v>2818</v>
      </c>
      <c r="AC131" t="s">
        <v>2819</v>
      </c>
      <c r="AD131" t="s">
        <v>2820</v>
      </c>
      <c r="AE131" t="s">
        <v>2821</v>
      </c>
      <c r="AF131" t="s">
        <v>74</v>
      </c>
      <c r="AG131">
        <v>58</v>
      </c>
      <c r="AH131">
        <v>23</v>
      </c>
      <c r="AI131">
        <v>25</v>
      </c>
      <c r="AJ131">
        <v>1</v>
      </c>
      <c r="AK131">
        <v>27</v>
      </c>
      <c r="AL131" t="s">
        <v>208</v>
      </c>
      <c r="AM131" t="s">
        <v>209</v>
      </c>
      <c r="AN131" t="s">
        <v>2659</v>
      </c>
      <c r="AO131" t="s">
        <v>2822</v>
      </c>
      <c r="AP131" t="s">
        <v>2823</v>
      </c>
      <c r="AQ131" t="s">
        <v>74</v>
      </c>
      <c r="AR131" t="s">
        <v>2824</v>
      </c>
      <c r="AS131" t="s">
        <v>2825</v>
      </c>
      <c r="AT131" t="s">
        <v>1213</v>
      </c>
      <c r="AU131">
        <v>2017</v>
      </c>
      <c r="AV131">
        <v>48</v>
      </c>
      <c r="AW131">
        <v>4</v>
      </c>
      <c r="AX131" t="s">
        <v>74</v>
      </c>
      <c r="AY131" t="s">
        <v>74</v>
      </c>
      <c r="AZ131" t="s">
        <v>74</v>
      </c>
      <c r="BA131" t="s">
        <v>74</v>
      </c>
      <c r="BB131">
        <v>671</v>
      </c>
      <c r="BC131">
        <v>679</v>
      </c>
      <c r="BD131" t="s">
        <v>74</v>
      </c>
      <c r="BE131" t="s">
        <v>2826</v>
      </c>
      <c r="BF131" t="str">
        <f>HYPERLINK("http://dx.doi.org/10.1016/j.bjm.2017.01.011","http://dx.doi.org/10.1016/j.bjm.2017.01.011")</f>
        <v>http://dx.doi.org/10.1016/j.bjm.2017.01.011</v>
      </c>
      <c r="BG131" t="s">
        <v>74</v>
      </c>
      <c r="BH131" t="s">
        <v>74</v>
      </c>
      <c r="BI131">
        <v>9</v>
      </c>
      <c r="BJ131" t="s">
        <v>457</v>
      </c>
      <c r="BK131" t="s">
        <v>101</v>
      </c>
      <c r="BL131" t="s">
        <v>457</v>
      </c>
      <c r="BM131" t="s">
        <v>2827</v>
      </c>
      <c r="BN131">
        <v>28651890</v>
      </c>
      <c r="BO131" t="s">
        <v>529</v>
      </c>
      <c r="BP131" t="s">
        <v>74</v>
      </c>
      <c r="BQ131" t="s">
        <v>74</v>
      </c>
      <c r="BR131" t="s">
        <v>105</v>
      </c>
      <c r="BS131" t="s">
        <v>2828</v>
      </c>
      <c r="BT131" t="str">
        <f>HYPERLINK("https%3A%2F%2Fwww.webofscience.com%2Fwos%2Fwoscc%2Ffull-record%2FWOS:000414697800010","View Full Record in Web of Science")</f>
        <v>View Full Record in Web of Science</v>
      </c>
    </row>
    <row r="132" spans="1:72" x14ac:dyDescent="0.15">
      <c r="A132" t="s">
        <v>72</v>
      </c>
      <c r="B132" t="s">
        <v>2829</v>
      </c>
      <c r="C132" t="s">
        <v>74</v>
      </c>
      <c r="D132" t="s">
        <v>74</v>
      </c>
      <c r="E132" t="s">
        <v>74</v>
      </c>
      <c r="F132" t="s">
        <v>2830</v>
      </c>
      <c r="G132" t="s">
        <v>74</v>
      </c>
      <c r="H132" t="s">
        <v>74</v>
      </c>
      <c r="I132" t="s">
        <v>2831</v>
      </c>
      <c r="J132" t="s">
        <v>2832</v>
      </c>
      <c r="K132" t="s">
        <v>74</v>
      </c>
      <c r="L132" t="s">
        <v>74</v>
      </c>
      <c r="M132" t="s">
        <v>78</v>
      </c>
      <c r="N132" t="s">
        <v>79</v>
      </c>
      <c r="O132" t="s">
        <v>74</v>
      </c>
      <c r="P132" t="s">
        <v>74</v>
      </c>
      <c r="Q132" t="s">
        <v>74</v>
      </c>
      <c r="R132" t="s">
        <v>74</v>
      </c>
      <c r="S132" t="s">
        <v>74</v>
      </c>
      <c r="T132" t="s">
        <v>74</v>
      </c>
      <c r="U132" t="s">
        <v>2833</v>
      </c>
      <c r="V132" t="s">
        <v>2834</v>
      </c>
      <c r="W132" t="s">
        <v>2835</v>
      </c>
      <c r="X132" t="s">
        <v>2836</v>
      </c>
      <c r="Y132" t="s">
        <v>2837</v>
      </c>
      <c r="Z132" t="s">
        <v>2838</v>
      </c>
      <c r="AA132" t="s">
        <v>74</v>
      </c>
      <c r="AB132" t="s">
        <v>2839</v>
      </c>
      <c r="AC132" t="s">
        <v>2840</v>
      </c>
      <c r="AD132" t="s">
        <v>2841</v>
      </c>
      <c r="AE132" t="s">
        <v>2842</v>
      </c>
      <c r="AF132" t="s">
        <v>74</v>
      </c>
      <c r="AG132">
        <v>74</v>
      </c>
      <c r="AH132">
        <v>16</v>
      </c>
      <c r="AI132">
        <v>16</v>
      </c>
      <c r="AJ132">
        <v>0</v>
      </c>
      <c r="AK132">
        <v>10</v>
      </c>
      <c r="AL132" t="s">
        <v>2843</v>
      </c>
      <c r="AM132" t="s">
        <v>2844</v>
      </c>
      <c r="AN132" t="s">
        <v>2845</v>
      </c>
      <c r="AO132" t="s">
        <v>2846</v>
      </c>
      <c r="AP132" t="s">
        <v>2847</v>
      </c>
      <c r="AQ132" t="s">
        <v>74</v>
      </c>
      <c r="AR132" t="s">
        <v>2848</v>
      </c>
      <c r="AS132" t="s">
        <v>2849</v>
      </c>
      <c r="AT132" t="s">
        <v>1237</v>
      </c>
      <c r="AU132">
        <v>2017</v>
      </c>
      <c r="AV132">
        <v>54</v>
      </c>
      <c r="AW132">
        <v>10</v>
      </c>
      <c r="AX132" t="s">
        <v>74</v>
      </c>
      <c r="AY132" t="s">
        <v>74</v>
      </c>
      <c r="AZ132" t="s">
        <v>74</v>
      </c>
      <c r="BA132" t="s">
        <v>74</v>
      </c>
      <c r="BB132">
        <v>1049</v>
      </c>
      <c r="BC132">
        <v>1062</v>
      </c>
      <c r="BD132" t="s">
        <v>74</v>
      </c>
      <c r="BE132" t="s">
        <v>2850</v>
      </c>
      <c r="BF132" t="str">
        <f>HYPERLINK("http://dx.doi.org/10.1139/cjes-2017-0002","http://dx.doi.org/10.1139/cjes-2017-0002")</f>
        <v>http://dx.doi.org/10.1139/cjes-2017-0002</v>
      </c>
      <c r="BG132" t="s">
        <v>74</v>
      </c>
      <c r="BH132" t="s">
        <v>74</v>
      </c>
      <c r="BI132">
        <v>14</v>
      </c>
      <c r="BJ132" t="s">
        <v>100</v>
      </c>
      <c r="BK132" t="s">
        <v>101</v>
      </c>
      <c r="BL132" t="s">
        <v>102</v>
      </c>
      <c r="BM132" t="s">
        <v>2851</v>
      </c>
      <c r="BN132" t="s">
        <v>74</v>
      </c>
      <c r="BO132" t="s">
        <v>74</v>
      </c>
      <c r="BP132" t="s">
        <v>74</v>
      </c>
      <c r="BQ132" t="s">
        <v>74</v>
      </c>
      <c r="BR132" t="s">
        <v>105</v>
      </c>
      <c r="BS132" t="s">
        <v>2852</v>
      </c>
      <c r="BT132" t="str">
        <f>HYPERLINK("https%3A%2F%2Fwww.webofscience.com%2Fwos%2Fwoscc%2Ffull-record%2FWOS:000412172500003","View Full Record in Web of Science")</f>
        <v>View Full Record in Web of Science</v>
      </c>
    </row>
    <row r="133" spans="1:72" x14ac:dyDescent="0.15">
      <c r="A133" t="s">
        <v>72</v>
      </c>
      <c r="B133" t="s">
        <v>2853</v>
      </c>
      <c r="C133" t="s">
        <v>74</v>
      </c>
      <c r="D133" t="s">
        <v>74</v>
      </c>
      <c r="E133" t="s">
        <v>74</v>
      </c>
      <c r="F133" t="s">
        <v>2854</v>
      </c>
      <c r="G133" t="s">
        <v>74</v>
      </c>
      <c r="H133" t="s">
        <v>74</v>
      </c>
      <c r="I133" t="s">
        <v>2855</v>
      </c>
      <c r="J133" t="s">
        <v>2856</v>
      </c>
      <c r="K133" t="s">
        <v>74</v>
      </c>
      <c r="L133" t="s">
        <v>74</v>
      </c>
      <c r="M133" t="s">
        <v>78</v>
      </c>
      <c r="N133" t="s">
        <v>2737</v>
      </c>
      <c r="O133" t="s">
        <v>74</v>
      </c>
      <c r="P133" t="s">
        <v>74</v>
      </c>
      <c r="Q133" t="s">
        <v>74</v>
      </c>
      <c r="R133" t="s">
        <v>74</v>
      </c>
      <c r="S133" t="s">
        <v>74</v>
      </c>
      <c r="T133" t="s">
        <v>74</v>
      </c>
      <c r="U133" t="s">
        <v>74</v>
      </c>
      <c r="V133" t="s">
        <v>74</v>
      </c>
      <c r="W133" t="s">
        <v>2857</v>
      </c>
      <c r="X133" t="s">
        <v>2858</v>
      </c>
      <c r="Y133" t="s">
        <v>2859</v>
      </c>
      <c r="Z133" t="s">
        <v>2860</v>
      </c>
      <c r="AA133" t="s">
        <v>2861</v>
      </c>
      <c r="AB133" t="s">
        <v>2862</v>
      </c>
      <c r="AC133" t="s">
        <v>74</v>
      </c>
      <c r="AD133" t="s">
        <v>74</v>
      </c>
      <c r="AE133" t="s">
        <v>74</v>
      </c>
      <c r="AF133" t="s">
        <v>74</v>
      </c>
      <c r="AG133">
        <v>0</v>
      </c>
      <c r="AH133">
        <v>0</v>
      </c>
      <c r="AI133">
        <v>0</v>
      </c>
      <c r="AJ133">
        <v>0</v>
      </c>
      <c r="AK133">
        <v>11</v>
      </c>
      <c r="AL133" t="s">
        <v>1981</v>
      </c>
      <c r="AM133" t="s">
        <v>729</v>
      </c>
      <c r="AN133" t="s">
        <v>1982</v>
      </c>
      <c r="AO133" t="s">
        <v>2863</v>
      </c>
      <c r="AP133" t="s">
        <v>2864</v>
      </c>
      <c r="AQ133" t="s">
        <v>74</v>
      </c>
      <c r="AR133" t="s">
        <v>2856</v>
      </c>
      <c r="AS133" t="s">
        <v>2865</v>
      </c>
      <c r="AT133" t="s">
        <v>1237</v>
      </c>
      <c r="AU133">
        <v>2017</v>
      </c>
      <c r="AV133">
        <v>185</v>
      </c>
      <c r="AW133" t="s">
        <v>74</v>
      </c>
      <c r="AX133" t="s">
        <v>74</v>
      </c>
      <c r="AY133" t="s">
        <v>74</v>
      </c>
      <c r="AZ133" t="s">
        <v>74</v>
      </c>
      <c r="BA133" t="s">
        <v>74</v>
      </c>
      <c r="BB133">
        <v>499</v>
      </c>
      <c r="BC133">
        <v>500</v>
      </c>
      <c r="BD133" t="s">
        <v>74</v>
      </c>
      <c r="BE133" t="s">
        <v>2866</v>
      </c>
      <c r="BF133" t="str">
        <f>HYPERLINK("http://dx.doi.org/10.1016/j.chemosphere.2017.07.026","http://dx.doi.org/10.1016/j.chemosphere.2017.07.026")</f>
        <v>http://dx.doi.org/10.1016/j.chemosphere.2017.07.026</v>
      </c>
      <c r="BG133" t="s">
        <v>74</v>
      </c>
      <c r="BH133" t="s">
        <v>74</v>
      </c>
      <c r="BI133">
        <v>2</v>
      </c>
      <c r="BJ133" t="s">
        <v>2867</v>
      </c>
      <c r="BK133" t="s">
        <v>101</v>
      </c>
      <c r="BL133" t="s">
        <v>1048</v>
      </c>
      <c r="BM133" t="s">
        <v>2868</v>
      </c>
      <c r="BN133">
        <v>28715760</v>
      </c>
      <c r="BO133" t="s">
        <v>74</v>
      </c>
      <c r="BP133" t="s">
        <v>74</v>
      </c>
      <c r="BQ133" t="s">
        <v>74</v>
      </c>
      <c r="BR133" t="s">
        <v>105</v>
      </c>
      <c r="BS133" t="s">
        <v>2869</v>
      </c>
      <c r="BT133" t="str">
        <f>HYPERLINK("https%3A%2F%2Fwww.webofscience.com%2Fwos%2Fwoscc%2Ffull-record%2FWOS:000408597300057","View Full Record in Web of Science")</f>
        <v>View Full Record in Web of Science</v>
      </c>
    </row>
    <row r="134" spans="1:72" x14ac:dyDescent="0.15">
      <c r="A134" t="s">
        <v>72</v>
      </c>
      <c r="B134" t="s">
        <v>2870</v>
      </c>
      <c r="C134" t="s">
        <v>74</v>
      </c>
      <c r="D134" t="s">
        <v>74</v>
      </c>
      <c r="E134" t="s">
        <v>74</v>
      </c>
      <c r="F134" t="s">
        <v>2871</v>
      </c>
      <c r="G134" t="s">
        <v>74</v>
      </c>
      <c r="H134" t="s">
        <v>74</v>
      </c>
      <c r="I134" t="s">
        <v>2872</v>
      </c>
      <c r="J134" t="s">
        <v>2856</v>
      </c>
      <c r="K134" t="s">
        <v>74</v>
      </c>
      <c r="L134" t="s">
        <v>74</v>
      </c>
      <c r="M134" t="s">
        <v>78</v>
      </c>
      <c r="N134" t="s">
        <v>79</v>
      </c>
      <c r="O134" t="s">
        <v>74</v>
      </c>
      <c r="P134" t="s">
        <v>74</v>
      </c>
      <c r="Q134" t="s">
        <v>74</v>
      </c>
      <c r="R134" t="s">
        <v>74</v>
      </c>
      <c r="S134" t="s">
        <v>74</v>
      </c>
      <c r="T134" t="s">
        <v>2873</v>
      </c>
      <c r="U134" t="s">
        <v>2874</v>
      </c>
      <c r="V134" t="s">
        <v>2875</v>
      </c>
      <c r="W134" t="s">
        <v>2876</v>
      </c>
      <c r="X134" t="s">
        <v>2877</v>
      </c>
      <c r="Y134" t="s">
        <v>2878</v>
      </c>
      <c r="Z134" t="s">
        <v>2879</v>
      </c>
      <c r="AA134" t="s">
        <v>2880</v>
      </c>
      <c r="AB134" t="s">
        <v>2881</v>
      </c>
      <c r="AC134" t="s">
        <v>2882</v>
      </c>
      <c r="AD134" t="s">
        <v>2883</v>
      </c>
      <c r="AE134" t="s">
        <v>2884</v>
      </c>
      <c r="AF134" t="s">
        <v>74</v>
      </c>
      <c r="AG134">
        <v>84</v>
      </c>
      <c r="AH134">
        <v>21</v>
      </c>
      <c r="AI134">
        <v>22</v>
      </c>
      <c r="AJ134">
        <v>0</v>
      </c>
      <c r="AK134">
        <v>48</v>
      </c>
      <c r="AL134" t="s">
        <v>1981</v>
      </c>
      <c r="AM134" t="s">
        <v>729</v>
      </c>
      <c r="AN134" t="s">
        <v>1982</v>
      </c>
      <c r="AO134" t="s">
        <v>2863</v>
      </c>
      <c r="AP134" t="s">
        <v>2864</v>
      </c>
      <c r="AQ134" t="s">
        <v>74</v>
      </c>
      <c r="AR134" t="s">
        <v>2856</v>
      </c>
      <c r="AS134" t="s">
        <v>2865</v>
      </c>
      <c r="AT134" t="s">
        <v>1237</v>
      </c>
      <c r="AU134">
        <v>2017</v>
      </c>
      <c r="AV134">
        <v>185</v>
      </c>
      <c r="AW134" t="s">
        <v>74</v>
      </c>
      <c r="AX134" t="s">
        <v>74</v>
      </c>
      <c r="AY134" t="s">
        <v>74</v>
      </c>
      <c r="AZ134" t="s">
        <v>74</v>
      </c>
      <c r="BA134" t="s">
        <v>74</v>
      </c>
      <c r="BB134">
        <v>1122</v>
      </c>
      <c r="BC134">
        <v>1135</v>
      </c>
      <c r="BD134" t="s">
        <v>74</v>
      </c>
      <c r="BE134" t="s">
        <v>2885</v>
      </c>
      <c r="BF134" t="str">
        <f>HYPERLINK("http://dx.doi.org/10.1016/j.chemosphere.2017.07.087","http://dx.doi.org/10.1016/j.chemosphere.2017.07.087")</f>
        <v>http://dx.doi.org/10.1016/j.chemosphere.2017.07.087</v>
      </c>
      <c r="BG134" t="s">
        <v>74</v>
      </c>
      <c r="BH134" t="s">
        <v>74</v>
      </c>
      <c r="BI134">
        <v>14</v>
      </c>
      <c r="BJ134" t="s">
        <v>2867</v>
      </c>
      <c r="BK134" t="s">
        <v>101</v>
      </c>
      <c r="BL134" t="s">
        <v>1048</v>
      </c>
      <c r="BM134" t="s">
        <v>2868</v>
      </c>
      <c r="BN134">
        <v>28764133</v>
      </c>
      <c r="BO134" t="s">
        <v>2091</v>
      </c>
      <c r="BP134" t="s">
        <v>74</v>
      </c>
      <c r="BQ134" t="s">
        <v>74</v>
      </c>
      <c r="BR134" t="s">
        <v>105</v>
      </c>
      <c r="BS134" t="s">
        <v>2886</v>
      </c>
      <c r="BT134" t="str">
        <f>HYPERLINK("https%3A%2F%2Fwww.webofscience.com%2Fwos%2Fwoscc%2Ffull-record%2FWOS:000408597300125","View Full Record in Web of Science")</f>
        <v>View Full Record in Web of Science</v>
      </c>
    </row>
    <row r="135" spans="1:72" x14ac:dyDescent="0.15">
      <c r="A135" t="s">
        <v>72</v>
      </c>
      <c r="B135" t="s">
        <v>2887</v>
      </c>
      <c r="C135" t="s">
        <v>74</v>
      </c>
      <c r="D135" t="s">
        <v>74</v>
      </c>
      <c r="E135" t="s">
        <v>74</v>
      </c>
      <c r="F135" t="s">
        <v>2888</v>
      </c>
      <c r="G135" t="s">
        <v>74</v>
      </c>
      <c r="H135" t="s">
        <v>74</v>
      </c>
      <c r="I135" t="s">
        <v>2889</v>
      </c>
      <c r="J135" t="s">
        <v>2890</v>
      </c>
      <c r="K135" t="s">
        <v>74</v>
      </c>
      <c r="L135" t="s">
        <v>74</v>
      </c>
      <c r="M135" t="s">
        <v>2891</v>
      </c>
      <c r="N135" t="s">
        <v>79</v>
      </c>
      <c r="O135" t="s">
        <v>74</v>
      </c>
      <c r="P135" t="s">
        <v>74</v>
      </c>
      <c r="Q135" t="s">
        <v>74</v>
      </c>
      <c r="R135" t="s">
        <v>74</v>
      </c>
      <c r="S135" t="s">
        <v>74</v>
      </c>
      <c r="T135" t="s">
        <v>2892</v>
      </c>
      <c r="U135" t="s">
        <v>2893</v>
      </c>
      <c r="V135" t="s">
        <v>2894</v>
      </c>
      <c r="W135" t="s">
        <v>2895</v>
      </c>
      <c r="X135" t="s">
        <v>2896</v>
      </c>
      <c r="Y135" t="s">
        <v>2897</v>
      </c>
      <c r="Z135" t="s">
        <v>2898</v>
      </c>
      <c r="AA135" t="s">
        <v>2899</v>
      </c>
      <c r="AB135" t="s">
        <v>2900</v>
      </c>
      <c r="AC135" t="s">
        <v>74</v>
      </c>
      <c r="AD135" t="s">
        <v>74</v>
      </c>
      <c r="AE135" t="s">
        <v>74</v>
      </c>
      <c r="AF135" t="s">
        <v>74</v>
      </c>
      <c r="AG135">
        <v>63</v>
      </c>
      <c r="AH135">
        <v>2</v>
      </c>
      <c r="AI135">
        <v>2</v>
      </c>
      <c r="AJ135">
        <v>2</v>
      </c>
      <c r="AK135">
        <v>66</v>
      </c>
      <c r="AL135" t="s">
        <v>2901</v>
      </c>
      <c r="AM135" t="s">
        <v>2902</v>
      </c>
      <c r="AN135" t="s">
        <v>2903</v>
      </c>
      <c r="AO135" t="s">
        <v>2904</v>
      </c>
      <c r="AP135" t="s">
        <v>74</v>
      </c>
      <c r="AQ135" t="s">
        <v>74</v>
      </c>
      <c r="AR135" t="s">
        <v>2905</v>
      </c>
      <c r="AS135" t="s">
        <v>2906</v>
      </c>
      <c r="AT135" t="s">
        <v>1237</v>
      </c>
      <c r="AU135">
        <v>2017</v>
      </c>
      <c r="AV135">
        <v>60</v>
      </c>
      <c r="AW135">
        <v>10</v>
      </c>
      <c r="AX135" t="s">
        <v>74</v>
      </c>
      <c r="AY135" t="s">
        <v>74</v>
      </c>
      <c r="AZ135" t="s">
        <v>74</v>
      </c>
      <c r="BA135" t="s">
        <v>74</v>
      </c>
      <c r="BB135">
        <v>3730</v>
      </c>
      <c r="BC135">
        <v>3744</v>
      </c>
      <c r="BD135" t="s">
        <v>74</v>
      </c>
      <c r="BE135" t="s">
        <v>2907</v>
      </c>
      <c r="BF135" t="str">
        <f>HYPERLINK("http://dx.doi.org/10.6038/cjg20171004","http://dx.doi.org/10.6038/cjg20171004")</f>
        <v>http://dx.doi.org/10.6038/cjg20171004</v>
      </c>
      <c r="BG135" t="s">
        <v>74</v>
      </c>
      <c r="BH135" t="s">
        <v>74</v>
      </c>
      <c r="BI135">
        <v>15</v>
      </c>
      <c r="BJ135" t="s">
        <v>509</v>
      </c>
      <c r="BK135" t="s">
        <v>101</v>
      </c>
      <c r="BL135" t="s">
        <v>509</v>
      </c>
      <c r="BM135" t="s">
        <v>2908</v>
      </c>
      <c r="BN135" t="s">
        <v>74</v>
      </c>
      <c r="BO135" t="s">
        <v>74</v>
      </c>
      <c r="BP135" t="s">
        <v>74</v>
      </c>
      <c r="BQ135" t="s">
        <v>74</v>
      </c>
      <c r="BR135" t="s">
        <v>105</v>
      </c>
      <c r="BS135" t="s">
        <v>2909</v>
      </c>
      <c r="BT135" t="str">
        <f>HYPERLINK("https%3A%2F%2Fwww.webofscience.com%2Fwos%2Fwoscc%2Ffull-record%2FWOS:000413176400004","View Full Record in Web of Science")</f>
        <v>View Full Record in Web of Science</v>
      </c>
    </row>
    <row r="136" spans="1:72" x14ac:dyDescent="0.15">
      <c r="A136" t="s">
        <v>72</v>
      </c>
      <c r="B136" t="s">
        <v>2910</v>
      </c>
      <c r="C136" t="s">
        <v>74</v>
      </c>
      <c r="D136" t="s">
        <v>74</v>
      </c>
      <c r="E136" t="s">
        <v>74</v>
      </c>
      <c r="F136" t="s">
        <v>2911</v>
      </c>
      <c r="G136" t="s">
        <v>74</v>
      </c>
      <c r="H136" t="s">
        <v>74</v>
      </c>
      <c r="I136" t="s">
        <v>2912</v>
      </c>
      <c r="J136" t="s">
        <v>2890</v>
      </c>
      <c r="K136" t="s">
        <v>74</v>
      </c>
      <c r="L136" t="s">
        <v>74</v>
      </c>
      <c r="M136" t="s">
        <v>2891</v>
      </c>
      <c r="N136" t="s">
        <v>79</v>
      </c>
      <c r="O136" t="s">
        <v>74</v>
      </c>
      <c r="P136" t="s">
        <v>74</v>
      </c>
      <c r="Q136" t="s">
        <v>74</v>
      </c>
      <c r="R136" t="s">
        <v>74</v>
      </c>
      <c r="S136" t="s">
        <v>74</v>
      </c>
      <c r="T136" t="s">
        <v>2913</v>
      </c>
      <c r="U136" t="s">
        <v>2914</v>
      </c>
      <c r="V136" t="s">
        <v>2915</v>
      </c>
      <c r="W136" t="s">
        <v>2916</v>
      </c>
      <c r="X136" t="s">
        <v>2917</v>
      </c>
      <c r="Y136" t="s">
        <v>2918</v>
      </c>
      <c r="Z136" t="s">
        <v>2919</v>
      </c>
      <c r="AA136" t="s">
        <v>2920</v>
      </c>
      <c r="AB136" t="s">
        <v>2921</v>
      </c>
      <c r="AC136" t="s">
        <v>74</v>
      </c>
      <c r="AD136" t="s">
        <v>74</v>
      </c>
      <c r="AE136" t="s">
        <v>74</v>
      </c>
      <c r="AF136" t="s">
        <v>74</v>
      </c>
      <c r="AG136">
        <v>42</v>
      </c>
      <c r="AH136">
        <v>3</v>
      </c>
      <c r="AI136">
        <v>7</v>
      </c>
      <c r="AJ136">
        <v>2</v>
      </c>
      <c r="AK136">
        <v>32</v>
      </c>
      <c r="AL136" t="s">
        <v>2901</v>
      </c>
      <c r="AM136" t="s">
        <v>2902</v>
      </c>
      <c r="AN136" t="s">
        <v>2903</v>
      </c>
      <c r="AO136" t="s">
        <v>2904</v>
      </c>
      <c r="AP136" t="s">
        <v>74</v>
      </c>
      <c r="AQ136" t="s">
        <v>74</v>
      </c>
      <c r="AR136" t="s">
        <v>2905</v>
      </c>
      <c r="AS136" t="s">
        <v>2906</v>
      </c>
      <c r="AT136" t="s">
        <v>1237</v>
      </c>
      <c r="AU136">
        <v>2017</v>
      </c>
      <c r="AV136">
        <v>60</v>
      </c>
      <c r="AW136">
        <v>10</v>
      </c>
      <c r="AX136" t="s">
        <v>74</v>
      </c>
      <c r="AY136" t="s">
        <v>74</v>
      </c>
      <c r="AZ136" t="s">
        <v>74</v>
      </c>
      <c r="BA136" t="s">
        <v>74</v>
      </c>
      <c r="BB136">
        <v>3780</v>
      </c>
      <c r="BC136">
        <v>3792</v>
      </c>
      <c r="BD136" t="s">
        <v>74</v>
      </c>
      <c r="BE136" t="s">
        <v>2922</v>
      </c>
      <c r="BF136" t="str">
        <f>HYPERLINK("http://dx.doi.org/10.6038/cjg20171008","http://dx.doi.org/10.6038/cjg20171008")</f>
        <v>http://dx.doi.org/10.6038/cjg20171008</v>
      </c>
      <c r="BG136" t="s">
        <v>74</v>
      </c>
      <c r="BH136" t="s">
        <v>74</v>
      </c>
      <c r="BI136">
        <v>13</v>
      </c>
      <c r="BJ136" t="s">
        <v>509</v>
      </c>
      <c r="BK136" t="s">
        <v>101</v>
      </c>
      <c r="BL136" t="s">
        <v>509</v>
      </c>
      <c r="BM136" t="s">
        <v>2908</v>
      </c>
      <c r="BN136" t="s">
        <v>74</v>
      </c>
      <c r="BO136" t="s">
        <v>74</v>
      </c>
      <c r="BP136" t="s">
        <v>74</v>
      </c>
      <c r="BQ136" t="s">
        <v>74</v>
      </c>
      <c r="BR136" t="s">
        <v>105</v>
      </c>
      <c r="BS136" t="s">
        <v>2923</v>
      </c>
      <c r="BT136" t="str">
        <f>HYPERLINK("https%3A%2F%2Fwww.webofscience.com%2Fwos%2Fwoscc%2Ffull-record%2FWOS:000413176400008","View Full Record in Web of Science")</f>
        <v>View Full Record in Web of Science</v>
      </c>
    </row>
    <row r="137" spans="1:72" x14ac:dyDescent="0.15">
      <c r="A137" t="s">
        <v>72</v>
      </c>
      <c r="B137" t="s">
        <v>2924</v>
      </c>
      <c r="C137" t="s">
        <v>74</v>
      </c>
      <c r="D137" t="s">
        <v>74</v>
      </c>
      <c r="E137" t="s">
        <v>74</v>
      </c>
      <c r="F137" t="s">
        <v>2925</v>
      </c>
      <c r="G137" t="s">
        <v>74</v>
      </c>
      <c r="H137" t="s">
        <v>74</v>
      </c>
      <c r="I137" t="s">
        <v>2926</v>
      </c>
      <c r="J137" t="s">
        <v>2927</v>
      </c>
      <c r="K137" t="s">
        <v>74</v>
      </c>
      <c r="L137" t="s">
        <v>74</v>
      </c>
      <c r="M137" t="s">
        <v>78</v>
      </c>
      <c r="N137" t="s">
        <v>79</v>
      </c>
      <c r="O137" t="s">
        <v>74</v>
      </c>
      <c r="P137" t="s">
        <v>74</v>
      </c>
      <c r="Q137" t="s">
        <v>74</v>
      </c>
      <c r="R137" t="s">
        <v>74</v>
      </c>
      <c r="S137" t="s">
        <v>74</v>
      </c>
      <c r="T137" t="s">
        <v>2928</v>
      </c>
      <c r="U137" t="s">
        <v>2929</v>
      </c>
      <c r="V137" t="s">
        <v>2930</v>
      </c>
      <c r="W137" t="s">
        <v>2931</v>
      </c>
      <c r="X137" t="s">
        <v>2932</v>
      </c>
      <c r="Y137" t="s">
        <v>2933</v>
      </c>
      <c r="Z137" t="s">
        <v>2934</v>
      </c>
      <c r="AA137" t="s">
        <v>2935</v>
      </c>
      <c r="AB137" t="s">
        <v>2936</v>
      </c>
      <c r="AC137" t="s">
        <v>2937</v>
      </c>
      <c r="AD137" t="s">
        <v>2937</v>
      </c>
      <c r="AE137" t="s">
        <v>2938</v>
      </c>
      <c r="AF137" t="s">
        <v>74</v>
      </c>
      <c r="AG137">
        <v>79</v>
      </c>
      <c r="AH137">
        <v>36</v>
      </c>
      <c r="AI137">
        <v>37</v>
      </c>
      <c r="AJ137">
        <v>2</v>
      </c>
      <c r="AK137">
        <v>78</v>
      </c>
      <c r="AL137" t="s">
        <v>208</v>
      </c>
      <c r="AM137" t="s">
        <v>209</v>
      </c>
      <c r="AN137" t="s">
        <v>210</v>
      </c>
      <c r="AO137" t="s">
        <v>2939</v>
      </c>
      <c r="AP137" t="s">
        <v>2940</v>
      </c>
      <c r="AQ137" t="s">
        <v>74</v>
      </c>
      <c r="AR137" t="s">
        <v>2941</v>
      </c>
      <c r="AS137" t="s">
        <v>2942</v>
      </c>
      <c r="AT137" t="s">
        <v>1237</v>
      </c>
      <c r="AU137">
        <v>2017</v>
      </c>
      <c r="AV137">
        <v>49</v>
      </c>
      <c r="AW137" t="s">
        <v>2943</v>
      </c>
      <c r="AX137" t="s">
        <v>74</v>
      </c>
      <c r="AY137" t="s">
        <v>74</v>
      </c>
      <c r="AZ137" t="s">
        <v>74</v>
      </c>
      <c r="BA137" t="s">
        <v>74</v>
      </c>
      <c r="BB137">
        <v>2585</v>
      </c>
      <c r="BC137">
        <v>2603</v>
      </c>
      <c r="BD137" t="s">
        <v>74</v>
      </c>
      <c r="BE137" t="s">
        <v>2944</v>
      </c>
      <c r="BF137" t="str">
        <f>HYPERLINK("http://dx.doi.org/10.1007/s00382-016-3461-4","http://dx.doi.org/10.1007/s00382-016-3461-4")</f>
        <v>http://dx.doi.org/10.1007/s00382-016-3461-4</v>
      </c>
      <c r="BG137" t="s">
        <v>74</v>
      </c>
      <c r="BH137" t="s">
        <v>74</v>
      </c>
      <c r="BI137">
        <v>19</v>
      </c>
      <c r="BJ137" t="s">
        <v>162</v>
      </c>
      <c r="BK137" t="s">
        <v>101</v>
      </c>
      <c r="BL137" t="s">
        <v>162</v>
      </c>
      <c r="BM137" t="s">
        <v>2945</v>
      </c>
      <c r="BN137" t="s">
        <v>74</v>
      </c>
      <c r="BO137" t="s">
        <v>74</v>
      </c>
      <c r="BP137" t="s">
        <v>74</v>
      </c>
      <c r="BQ137" t="s">
        <v>74</v>
      </c>
      <c r="BR137" t="s">
        <v>105</v>
      </c>
      <c r="BS137" t="s">
        <v>2946</v>
      </c>
      <c r="BT137" t="str">
        <f>HYPERLINK("https%3A%2F%2Fwww.webofscience.com%2Fwos%2Fwoscc%2Ffull-record%2FWOS:000410803300021","View Full Record in Web of Science")</f>
        <v>View Full Record in Web of Science</v>
      </c>
    </row>
    <row r="138" spans="1:72" x14ac:dyDescent="0.15">
      <c r="A138" t="s">
        <v>72</v>
      </c>
      <c r="B138" t="s">
        <v>2947</v>
      </c>
      <c r="C138" t="s">
        <v>74</v>
      </c>
      <c r="D138" t="s">
        <v>74</v>
      </c>
      <c r="E138" t="s">
        <v>74</v>
      </c>
      <c r="F138" t="s">
        <v>2948</v>
      </c>
      <c r="G138" t="s">
        <v>74</v>
      </c>
      <c r="H138" t="s">
        <v>74</v>
      </c>
      <c r="I138" t="s">
        <v>2949</v>
      </c>
      <c r="J138" t="s">
        <v>2950</v>
      </c>
      <c r="K138" t="s">
        <v>74</v>
      </c>
      <c r="L138" t="s">
        <v>74</v>
      </c>
      <c r="M138" t="s">
        <v>78</v>
      </c>
      <c r="N138" t="s">
        <v>79</v>
      </c>
      <c r="O138" t="s">
        <v>74</v>
      </c>
      <c r="P138" t="s">
        <v>74</v>
      </c>
      <c r="Q138" t="s">
        <v>74</v>
      </c>
      <c r="R138" t="s">
        <v>74</v>
      </c>
      <c r="S138" t="s">
        <v>74</v>
      </c>
      <c r="T138" t="s">
        <v>2951</v>
      </c>
      <c r="U138" t="s">
        <v>2952</v>
      </c>
      <c r="V138" t="s">
        <v>2953</v>
      </c>
      <c r="W138" t="s">
        <v>2954</v>
      </c>
      <c r="X138" t="s">
        <v>2955</v>
      </c>
      <c r="Y138" t="s">
        <v>2956</v>
      </c>
      <c r="Z138" t="s">
        <v>2957</v>
      </c>
      <c r="AA138" t="s">
        <v>2958</v>
      </c>
      <c r="AB138" t="s">
        <v>2959</v>
      </c>
      <c r="AC138" t="s">
        <v>74</v>
      </c>
      <c r="AD138" t="s">
        <v>74</v>
      </c>
      <c r="AE138" t="s">
        <v>74</v>
      </c>
      <c r="AF138" t="s">
        <v>74</v>
      </c>
      <c r="AG138">
        <v>58</v>
      </c>
      <c r="AH138">
        <v>25</v>
      </c>
      <c r="AI138">
        <v>27</v>
      </c>
      <c r="AJ138">
        <v>0</v>
      </c>
      <c r="AK138">
        <v>27</v>
      </c>
      <c r="AL138" t="s">
        <v>1338</v>
      </c>
      <c r="AM138" t="s">
        <v>1339</v>
      </c>
      <c r="AN138" t="s">
        <v>1340</v>
      </c>
      <c r="AO138" t="s">
        <v>2960</v>
      </c>
      <c r="AP138" t="s">
        <v>2961</v>
      </c>
      <c r="AQ138" t="s">
        <v>74</v>
      </c>
      <c r="AR138" t="s">
        <v>2962</v>
      </c>
      <c r="AS138" t="s">
        <v>2963</v>
      </c>
      <c r="AT138" t="s">
        <v>1237</v>
      </c>
      <c r="AU138">
        <v>2017</v>
      </c>
      <c r="AV138">
        <v>23</v>
      </c>
      <c r="AW138">
        <v>10</v>
      </c>
      <c r="AX138" t="s">
        <v>74</v>
      </c>
      <c r="AY138" t="s">
        <v>74</v>
      </c>
      <c r="AZ138" t="s">
        <v>74</v>
      </c>
      <c r="BA138" t="s">
        <v>74</v>
      </c>
      <c r="BB138">
        <v>1216</v>
      </c>
      <c r="BC138">
        <v>1230</v>
      </c>
      <c r="BD138" t="s">
        <v>74</v>
      </c>
      <c r="BE138" t="s">
        <v>2964</v>
      </c>
      <c r="BF138" t="str">
        <f>HYPERLINK("http://dx.doi.org/10.1111/ddi.12613","http://dx.doi.org/10.1111/ddi.12613")</f>
        <v>http://dx.doi.org/10.1111/ddi.12613</v>
      </c>
      <c r="BG138" t="s">
        <v>74</v>
      </c>
      <c r="BH138" t="s">
        <v>74</v>
      </c>
      <c r="BI138">
        <v>15</v>
      </c>
      <c r="BJ138" t="s">
        <v>2592</v>
      </c>
      <c r="BK138" t="s">
        <v>101</v>
      </c>
      <c r="BL138" t="s">
        <v>2593</v>
      </c>
      <c r="BM138" t="s">
        <v>2965</v>
      </c>
      <c r="BN138" t="s">
        <v>74</v>
      </c>
      <c r="BO138" t="s">
        <v>511</v>
      </c>
      <c r="BP138" t="s">
        <v>74</v>
      </c>
      <c r="BQ138" t="s">
        <v>74</v>
      </c>
      <c r="BR138" t="s">
        <v>105</v>
      </c>
      <c r="BS138" t="s">
        <v>2966</v>
      </c>
      <c r="BT138" t="str">
        <f>HYPERLINK("https%3A%2F%2Fwww.webofscience.com%2Fwos%2Fwoscc%2Ffull-record%2FWOS:000409469400011","View Full Record in Web of Science")</f>
        <v>View Full Record in Web of Science</v>
      </c>
    </row>
    <row r="139" spans="1:72" x14ac:dyDescent="0.15">
      <c r="A139" t="s">
        <v>72</v>
      </c>
      <c r="B139" t="s">
        <v>2967</v>
      </c>
      <c r="C139" t="s">
        <v>74</v>
      </c>
      <c r="D139" t="s">
        <v>74</v>
      </c>
      <c r="E139" t="s">
        <v>74</v>
      </c>
      <c r="F139" t="s">
        <v>2968</v>
      </c>
      <c r="G139" t="s">
        <v>74</v>
      </c>
      <c r="H139" t="s">
        <v>74</v>
      </c>
      <c r="I139" t="s">
        <v>2969</v>
      </c>
      <c r="J139" t="s">
        <v>2970</v>
      </c>
      <c r="K139" t="s">
        <v>74</v>
      </c>
      <c r="L139" t="s">
        <v>74</v>
      </c>
      <c r="M139" t="s">
        <v>78</v>
      </c>
      <c r="N139" t="s">
        <v>79</v>
      </c>
      <c r="O139" t="s">
        <v>74</v>
      </c>
      <c r="P139" t="s">
        <v>74</v>
      </c>
      <c r="Q139" t="s">
        <v>74</v>
      </c>
      <c r="R139" t="s">
        <v>74</v>
      </c>
      <c r="S139" t="s">
        <v>74</v>
      </c>
      <c r="T139" t="s">
        <v>2971</v>
      </c>
      <c r="U139" t="s">
        <v>2972</v>
      </c>
      <c r="V139" t="s">
        <v>2973</v>
      </c>
      <c r="W139" t="s">
        <v>2974</v>
      </c>
      <c r="X139" t="s">
        <v>2975</v>
      </c>
      <c r="Y139" t="s">
        <v>2976</v>
      </c>
      <c r="Z139" t="s">
        <v>2977</v>
      </c>
      <c r="AA139" t="s">
        <v>2978</v>
      </c>
      <c r="AB139" t="s">
        <v>2979</v>
      </c>
      <c r="AC139" t="s">
        <v>2980</v>
      </c>
      <c r="AD139" t="s">
        <v>2981</v>
      </c>
      <c r="AE139" t="s">
        <v>2982</v>
      </c>
      <c r="AF139" t="s">
        <v>74</v>
      </c>
      <c r="AG139">
        <v>62</v>
      </c>
      <c r="AH139">
        <v>35</v>
      </c>
      <c r="AI139">
        <v>43</v>
      </c>
      <c r="AJ139">
        <v>3</v>
      </c>
      <c r="AK139">
        <v>37</v>
      </c>
      <c r="AL139" t="s">
        <v>91</v>
      </c>
      <c r="AM139" t="s">
        <v>92</v>
      </c>
      <c r="AN139" t="s">
        <v>93</v>
      </c>
      <c r="AO139" t="s">
        <v>74</v>
      </c>
      <c r="AP139" t="s">
        <v>2983</v>
      </c>
      <c r="AQ139" t="s">
        <v>74</v>
      </c>
      <c r="AR139" t="s">
        <v>2970</v>
      </c>
      <c r="AS139" t="s">
        <v>2984</v>
      </c>
      <c r="AT139" t="s">
        <v>1237</v>
      </c>
      <c r="AU139">
        <v>2017</v>
      </c>
      <c r="AV139">
        <v>5</v>
      </c>
      <c r="AW139">
        <v>10</v>
      </c>
      <c r="AX139" t="s">
        <v>74</v>
      </c>
      <c r="AY139" t="s">
        <v>74</v>
      </c>
      <c r="AZ139" t="s">
        <v>74</v>
      </c>
      <c r="BA139" t="s">
        <v>74</v>
      </c>
      <c r="BB139">
        <v>1015</v>
      </c>
      <c r="BC139">
        <v>1026</v>
      </c>
      <c r="BD139" t="s">
        <v>74</v>
      </c>
      <c r="BE139" t="s">
        <v>2985</v>
      </c>
      <c r="BF139" t="str">
        <f>HYPERLINK("http://dx.doi.org/10.1002/2017EF000607","http://dx.doi.org/10.1002/2017EF000607")</f>
        <v>http://dx.doi.org/10.1002/2017EF000607</v>
      </c>
      <c r="BG139" t="s">
        <v>74</v>
      </c>
      <c r="BH139" t="s">
        <v>74</v>
      </c>
      <c r="BI139">
        <v>12</v>
      </c>
      <c r="BJ139" t="s">
        <v>2986</v>
      </c>
      <c r="BK139" t="s">
        <v>765</v>
      </c>
      <c r="BL139" t="s">
        <v>2987</v>
      </c>
      <c r="BM139" t="s">
        <v>2988</v>
      </c>
      <c r="BN139" t="s">
        <v>74</v>
      </c>
      <c r="BO139" t="s">
        <v>1131</v>
      </c>
      <c r="BP139" t="s">
        <v>74</v>
      </c>
      <c r="BQ139" t="s">
        <v>74</v>
      </c>
      <c r="BR139" t="s">
        <v>105</v>
      </c>
      <c r="BS139" t="s">
        <v>2989</v>
      </c>
      <c r="BT139" t="str">
        <f>HYPERLINK("https%3A%2F%2Fwww.webofscience.com%2Fwos%2Fwoscc%2Ffull-record%2FWOS:000415124900006","View Full Record in Web of Science")</f>
        <v>View Full Record in Web of Science</v>
      </c>
    </row>
    <row r="140" spans="1:72" x14ac:dyDescent="0.15">
      <c r="A140" t="s">
        <v>72</v>
      </c>
      <c r="B140" t="s">
        <v>2990</v>
      </c>
      <c r="C140" t="s">
        <v>74</v>
      </c>
      <c r="D140" t="s">
        <v>74</v>
      </c>
      <c r="E140" t="s">
        <v>74</v>
      </c>
      <c r="F140" t="s">
        <v>2991</v>
      </c>
      <c r="G140" t="s">
        <v>74</v>
      </c>
      <c r="H140" t="s">
        <v>74</v>
      </c>
      <c r="I140" t="s">
        <v>2992</v>
      </c>
      <c r="J140" t="s">
        <v>2993</v>
      </c>
      <c r="K140" t="s">
        <v>74</v>
      </c>
      <c r="L140" t="s">
        <v>74</v>
      </c>
      <c r="M140" t="s">
        <v>78</v>
      </c>
      <c r="N140" t="s">
        <v>79</v>
      </c>
      <c r="O140" t="s">
        <v>74</v>
      </c>
      <c r="P140" t="s">
        <v>74</v>
      </c>
      <c r="Q140" t="s">
        <v>74</v>
      </c>
      <c r="R140" t="s">
        <v>74</v>
      </c>
      <c r="S140" t="s">
        <v>74</v>
      </c>
      <c r="T140" t="s">
        <v>2994</v>
      </c>
      <c r="U140" t="s">
        <v>2995</v>
      </c>
      <c r="V140" t="s">
        <v>2996</v>
      </c>
      <c r="W140" t="s">
        <v>2997</v>
      </c>
      <c r="X140" t="s">
        <v>2998</v>
      </c>
      <c r="Y140" t="s">
        <v>2999</v>
      </c>
      <c r="Z140" t="s">
        <v>3000</v>
      </c>
      <c r="AA140" t="s">
        <v>3001</v>
      </c>
      <c r="AB140" t="s">
        <v>3002</v>
      </c>
      <c r="AC140" t="s">
        <v>3003</v>
      </c>
      <c r="AD140" t="s">
        <v>3004</v>
      </c>
      <c r="AE140" t="s">
        <v>3005</v>
      </c>
      <c r="AF140" t="s">
        <v>74</v>
      </c>
      <c r="AG140">
        <v>87</v>
      </c>
      <c r="AH140">
        <v>22</v>
      </c>
      <c r="AI140">
        <v>23</v>
      </c>
      <c r="AJ140">
        <v>11</v>
      </c>
      <c r="AK140">
        <v>58</v>
      </c>
      <c r="AL140" t="s">
        <v>502</v>
      </c>
      <c r="AM140" t="s">
        <v>372</v>
      </c>
      <c r="AN140" t="s">
        <v>503</v>
      </c>
      <c r="AO140" t="s">
        <v>3006</v>
      </c>
      <c r="AP140" t="s">
        <v>3007</v>
      </c>
      <c r="AQ140" t="s">
        <v>74</v>
      </c>
      <c r="AR140" t="s">
        <v>3008</v>
      </c>
      <c r="AS140" t="s">
        <v>3009</v>
      </c>
      <c r="AT140" t="s">
        <v>1237</v>
      </c>
      <c r="AU140">
        <v>2017</v>
      </c>
      <c r="AV140">
        <v>81</v>
      </c>
      <c r="AW140" t="s">
        <v>74</v>
      </c>
      <c r="AX140" t="s">
        <v>74</v>
      </c>
      <c r="AY140" t="s">
        <v>74</v>
      </c>
      <c r="AZ140" t="s">
        <v>74</v>
      </c>
      <c r="BA140" t="s">
        <v>74</v>
      </c>
      <c r="BB140">
        <v>453</v>
      </c>
      <c r="BC140">
        <v>460</v>
      </c>
      <c r="BD140" t="s">
        <v>74</v>
      </c>
      <c r="BE140" t="s">
        <v>3010</v>
      </c>
      <c r="BF140" t="str">
        <f>HYPERLINK("http://dx.doi.org/10.1016/j.ecolind.2017.06.016","http://dx.doi.org/10.1016/j.ecolind.2017.06.016")</f>
        <v>http://dx.doi.org/10.1016/j.ecolind.2017.06.016</v>
      </c>
      <c r="BG140" t="s">
        <v>74</v>
      </c>
      <c r="BH140" t="s">
        <v>74</v>
      </c>
      <c r="BI140">
        <v>8</v>
      </c>
      <c r="BJ140" t="s">
        <v>3011</v>
      </c>
      <c r="BK140" t="s">
        <v>101</v>
      </c>
      <c r="BL140" t="s">
        <v>2593</v>
      </c>
      <c r="BM140" t="s">
        <v>3012</v>
      </c>
      <c r="BN140" t="s">
        <v>74</v>
      </c>
      <c r="BO140" t="s">
        <v>74</v>
      </c>
      <c r="BP140" t="s">
        <v>74</v>
      </c>
      <c r="BQ140" t="s">
        <v>74</v>
      </c>
      <c r="BR140" t="s">
        <v>105</v>
      </c>
      <c r="BS140" t="s">
        <v>3013</v>
      </c>
      <c r="BT140" t="str">
        <f>HYPERLINK("https%3A%2F%2Fwww.webofscience.com%2Fwos%2Fwoscc%2Ffull-record%2FWOS:000417229100044","View Full Record in Web of Science")</f>
        <v>View Full Record in Web of Science</v>
      </c>
    </row>
    <row r="141" spans="1:72" x14ac:dyDescent="0.15">
      <c r="A141" t="s">
        <v>72</v>
      </c>
      <c r="B141" t="s">
        <v>3014</v>
      </c>
      <c r="C141" t="s">
        <v>74</v>
      </c>
      <c r="D141" t="s">
        <v>74</v>
      </c>
      <c r="E141" t="s">
        <v>74</v>
      </c>
      <c r="F141" t="s">
        <v>3015</v>
      </c>
      <c r="G141" t="s">
        <v>74</v>
      </c>
      <c r="H141" t="s">
        <v>74</v>
      </c>
      <c r="I141" t="s">
        <v>3016</v>
      </c>
      <c r="J141" t="s">
        <v>3017</v>
      </c>
      <c r="K141" t="s">
        <v>74</v>
      </c>
      <c r="L141" t="s">
        <v>74</v>
      </c>
      <c r="M141" t="s">
        <v>78</v>
      </c>
      <c r="N141" t="s">
        <v>79</v>
      </c>
      <c r="O141" t="s">
        <v>74</v>
      </c>
      <c r="P141" t="s">
        <v>74</v>
      </c>
      <c r="Q141" t="s">
        <v>74</v>
      </c>
      <c r="R141" t="s">
        <v>74</v>
      </c>
      <c r="S141" t="s">
        <v>74</v>
      </c>
      <c r="T141" t="s">
        <v>3018</v>
      </c>
      <c r="U141" t="s">
        <v>3019</v>
      </c>
      <c r="V141" t="s">
        <v>3020</v>
      </c>
      <c r="W141" t="s">
        <v>3021</v>
      </c>
      <c r="X141" t="s">
        <v>3022</v>
      </c>
      <c r="Y141" t="s">
        <v>3023</v>
      </c>
      <c r="Z141" t="s">
        <v>3024</v>
      </c>
      <c r="AA141" t="s">
        <v>3025</v>
      </c>
      <c r="AB141" t="s">
        <v>3026</v>
      </c>
      <c r="AC141" t="s">
        <v>3027</v>
      </c>
      <c r="AD141" t="s">
        <v>3028</v>
      </c>
      <c r="AE141" t="s">
        <v>3029</v>
      </c>
      <c r="AF141" t="s">
        <v>74</v>
      </c>
      <c r="AG141">
        <v>75</v>
      </c>
      <c r="AH141">
        <v>20</v>
      </c>
      <c r="AI141">
        <v>21</v>
      </c>
      <c r="AJ141">
        <v>2</v>
      </c>
      <c r="AK141">
        <v>16</v>
      </c>
      <c r="AL141" t="s">
        <v>1338</v>
      </c>
      <c r="AM141" t="s">
        <v>1339</v>
      </c>
      <c r="AN141" t="s">
        <v>1340</v>
      </c>
      <c r="AO141" t="s">
        <v>3030</v>
      </c>
      <c r="AP141" t="s">
        <v>74</v>
      </c>
      <c r="AQ141" t="s">
        <v>74</v>
      </c>
      <c r="AR141" t="s">
        <v>3031</v>
      </c>
      <c r="AS141" t="s">
        <v>3032</v>
      </c>
      <c r="AT141" t="s">
        <v>1237</v>
      </c>
      <c r="AU141">
        <v>2017</v>
      </c>
      <c r="AV141">
        <v>7</v>
      </c>
      <c r="AW141">
        <v>19</v>
      </c>
      <c r="AX141" t="s">
        <v>74</v>
      </c>
      <c r="AY141" t="s">
        <v>74</v>
      </c>
      <c r="AZ141" t="s">
        <v>74</v>
      </c>
      <c r="BA141" t="s">
        <v>74</v>
      </c>
      <c r="BB141">
        <v>8087</v>
      </c>
      <c r="BC141">
        <v>8099</v>
      </c>
      <c r="BD141" t="s">
        <v>74</v>
      </c>
      <c r="BE141" t="s">
        <v>3033</v>
      </c>
      <c r="BF141" t="str">
        <f>HYPERLINK("http://dx.doi.org/10.1002/ece3.3327","http://dx.doi.org/10.1002/ece3.3327")</f>
        <v>http://dx.doi.org/10.1002/ece3.3327</v>
      </c>
      <c r="BG141" t="s">
        <v>74</v>
      </c>
      <c r="BH141" t="s">
        <v>74</v>
      </c>
      <c r="BI141">
        <v>13</v>
      </c>
      <c r="BJ141" t="s">
        <v>3034</v>
      </c>
      <c r="BK141" t="s">
        <v>101</v>
      </c>
      <c r="BL141" t="s">
        <v>3035</v>
      </c>
      <c r="BM141" t="s">
        <v>3036</v>
      </c>
      <c r="BN141">
        <v>29043058</v>
      </c>
      <c r="BO141" t="s">
        <v>3037</v>
      </c>
      <c r="BP141" t="s">
        <v>74</v>
      </c>
      <c r="BQ141" t="s">
        <v>74</v>
      </c>
      <c r="BR141" t="s">
        <v>105</v>
      </c>
      <c r="BS141" t="s">
        <v>3038</v>
      </c>
      <c r="BT141" t="str">
        <f>HYPERLINK("https%3A%2F%2Fwww.webofscience.com%2Fwos%2Fwoscc%2Ffull-record%2FWOS:000412523700044","View Full Record in Web of Science")</f>
        <v>View Full Record in Web of Science</v>
      </c>
    </row>
    <row r="142" spans="1:72" x14ac:dyDescent="0.15">
      <c r="A142" t="s">
        <v>72</v>
      </c>
      <c r="B142" t="s">
        <v>3039</v>
      </c>
      <c r="C142" t="s">
        <v>74</v>
      </c>
      <c r="D142" t="s">
        <v>74</v>
      </c>
      <c r="E142" t="s">
        <v>74</v>
      </c>
      <c r="F142" t="s">
        <v>3040</v>
      </c>
      <c r="G142" t="s">
        <v>74</v>
      </c>
      <c r="H142" t="s">
        <v>74</v>
      </c>
      <c r="I142" t="s">
        <v>3041</v>
      </c>
      <c r="J142" t="s">
        <v>3042</v>
      </c>
      <c r="K142" t="s">
        <v>74</v>
      </c>
      <c r="L142" t="s">
        <v>74</v>
      </c>
      <c r="M142" t="s">
        <v>78</v>
      </c>
      <c r="N142" t="s">
        <v>79</v>
      </c>
      <c r="O142" t="s">
        <v>74</v>
      </c>
      <c r="P142" t="s">
        <v>74</v>
      </c>
      <c r="Q142" t="s">
        <v>74</v>
      </c>
      <c r="R142" t="s">
        <v>74</v>
      </c>
      <c r="S142" t="s">
        <v>74</v>
      </c>
      <c r="T142" t="s">
        <v>3043</v>
      </c>
      <c r="U142" t="s">
        <v>3044</v>
      </c>
      <c r="V142" t="s">
        <v>3045</v>
      </c>
      <c r="W142" t="s">
        <v>3046</v>
      </c>
      <c r="X142" t="s">
        <v>3047</v>
      </c>
      <c r="Y142" t="s">
        <v>3048</v>
      </c>
      <c r="Z142" t="s">
        <v>3049</v>
      </c>
      <c r="AA142" t="s">
        <v>3050</v>
      </c>
      <c r="AB142" t="s">
        <v>3051</v>
      </c>
      <c r="AC142" t="s">
        <v>3052</v>
      </c>
      <c r="AD142" t="s">
        <v>3053</v>
      </c>
      <c r="AE142" t="s">
        <v>3054</v>
      </c>
      <c r="AF142" t="s">
        <v>74</v>
      </c>
      <c r="AG142">
        <v>65</v>
      </c>
      <c r="AH142">
        <v>18</v>
      </c>
      <c r="AI142">
        <v>20</v>
      </c>
      <c r="AJ142">
        <v>10</v>
      </c>
      <c r="AK142">
        <v>95</v>
      </c>
      <c r="AL142" t="s">
        <v>1338</v>
      </c>
      <c r="AM142" t="s">
        <v>1339</v>
      </c>
      <c r="AN142" t="s">
        <v>1340</v>
      </c>
      <c r="AO142" t="s">
        <v>3055</v>
      </c>
      <c r="AP142" t="s">
        <v>3056</v>
      </c>
      <c r="AQ142" t="s">
        <v>74</v>
      </c>
      <c r="AR142" t="s">
        <v>3057</v>
      </c>
      <c r="AS142" t="s">
        <v>3058</v>
      </c>
      <c r="AT142" t="s">
        <v>1237</v>
      </c>
      <c r="AU142">
        <v>2017</v>
      </c>
      <c r="AV142">
        <v>20</v>
      </c>
      <c r="AW142">
        <v>10</v>
      </c>
      <c r="AX142" t="s">
        <v>74</v>
      </c>
      <c r="AY142" t="s">
        <v>74</v>
      </c>
      <c r="AZ142" t="s">
        <v>74</v>
      </c>
      <c r="BA142" t="s">
        <v>74</v>
      </c>
      <c r="BB142">
        <v>1242</v>
      </c>
      <c r="BC142">
        <v>1249</v>
      </c>
      <c r="BD142" t="s">
        <v>74</v>
      </c>
      <c r="BE142" t="s">
        <v>3059</v>
      </c>
      <c r="BF142" t="str">
        <f>HYPERLINK("http://dx.doi.org/10.1111/ele.12819","http://dx.doi.org/10.1111/ele.12819")</f>
        <v>http://dx.doi.org/10.1111/ele.12819</v>
      </c>
      <c r="BG142" t="s">
        <v>74</v>
      </c>
      <c r="BH142" t="s">
        <v>74</v>
      </c>
      <c r="BI142">
        <v>8</v>
      </c>
      <c r="BJ142" t="s">
        <v>1047</v>
      </c>
      <c r="BK142" t="s">
        <v>101</v>
      </c>
      <c r="BL142" t="s">
        <v>1048</v>
      </c>
      <c r="BM142" t="s">
        <v>3060</v>
      </c>
      <c r="BN142">
        <v>28797136</v>
      </c>
      <c r="BO142" t="s">
        <v>74</v>
      </c>
      <c r="BP142" t="s">
        <v>74</v>
      </c>
      <c r="BQ142" t="s">
        <v>74</v>
      </c>
      <c r="BR142" t="s">
        <v>105</v>
      </c>
      <c r="BS142" t="s">
        <v>3061</v>
      </c>
      <c r="BT142" t="str">
        <f>HYPERLINK("https%3A%2F%2Fwww.webofscience.com%2Fwos%2Fwoscc%2Ffull-record%2FWOS:000411035600003","View Full Record in Web of Science")</f>
        <v>View Full Record in Web of Science</v>
      </c>
    </row>
    <row r="143" spans="1:72" x14ac:dyDescent="0.15">
      <c r="A143" t="s">
        <v>72</v>
      </c>
      <c r="B143" t="s">
        <v>3062</v>
      </c>
      <c r="C143" t="s">
        <v>74</v>
      </c>
      <c r="D143" t="s">
        <v>74</v>
      </c>
      <c r="E143" t="s">
        <v>74</v>
      </c>
      <c r="F143" t="s">
        <v>3063</v>
      </c>
      <c r="G143" t="s">
        <v>74</v>
      </c>
      <c r="H143" t="s">
        <v>74</v>
      </c>
      <c r="I143" t="s">
        <v>3064</v>
      </c>
      <c r="J143" t="s">
        <v>3065</v>
      </c>
      <c r="K143" t="s">
        <v>74</v>
      </c>
      <c r="L143" t="s">
        <v>74</v>
      </c>
      <c r="M143" t="s">
        <v>78</v>
      </c>
      <c r="N143" t="s">
        <v>79</v>
      </c>
      <c r="O143" t="s">
        <v>74</v>
      </c>
      <c r="P143" t="s">
        <v>74</v>
      </c>
      <c r="Q143" t="s">
        <v>74</v>
      </c>
      <c r="R143" t="s">
        <v>74</v>
      </c>
      <c r="S143" t="s">
        <v>74</v>
      </c>
      <c r="T143" t="s">
        <v>3066</v>
      </c>
      <c r="U143" t="s">
        <v>3067</v>
      </c>
      <c r="V143" t="s">
        <v>3068</v>
      </c>
      <c r="W143" t="s">
        <v>3069</v>
      </c>
      <c r="X143" t="s">
        <v>3070</v>
      </c>
      <c r="Y143" t="s">
        <v>3071</v>
      </c>
      <c r="Z143" t="s">
        <v>3072</v>
      </c>
      <c r="AA143" t="s">
        <v>3073</v>
      </c>
      <c r="AB143" t="s">
        <v>3074</v>
      </c>
      <c r="AC143" t="s">
        <v>3075</v>
      </c>
      <c r="AD143" t="s">
        <v>3076</v>
      </c>
      <c r="AE143" t="s">
        <v>3077</v>
      </c>
      <c r="AF143" t="s">
        <v>74</v>
      </c>
      <c r="AG143">
        <v>114</v>
      </c>
      <c r="AH143">
        <v>121</v>
      </c>
      <c r="AI143">
        <v>133</v>
      </c>
      <c r="AJ143">
        <v>5</v>
      </c>
      <c r="AK143">
        <v>112</v>
      </c>
      <c r="AL143" t="s">
        <v>728</v>
      </c>
      <c r="AM143" t="s">
        <v>729</v>
      </c>
      <c r="AN143" t="s">
        <v>730</v>
      </c>
      <c r="AO143" t="s">
        <v>3078</v>
      </c>
      <c r="AP143" t="s">
        <v>3079</v>
      </c>
      <c r="AQ143" t="s">
        <v>74</v>
      </c>
      <c r="AR143" t="s">
        <v>3080</v>
      </c>
      <c r="AS143" t="s">
        <v>3081</v>
      </c>
      <c r="AT143" t="s">
        <v>1237</v>
      </c>
      <c r="AU143">
        <v>2017</v>
      </c>
      <c r="AV143">
        <v>229</v>
      </c>
      <c r="AW143" t="s">
        <v>74</v>
      </c>
      <c r="AX143" t="s">
        <v>74</v>
      </c>
      <c r="AY143" t="s">
        <v>74</v>
      </c>
      <c r="AZ143" t="s">
        <v>74</v>
      </c>
      <c r="BA143" t="s">
        <v>74</v>
      </c>
      <c r="BB143">
        <v>241</v>
      </c>
      <c r="BC143">
        <v>254</v>
      </c>
      <c r="BD143" t="s">
        <v>74</v>
      </c>
      <c r="BE143" t="s">
        <v>3082</v>
      </c>
      <c r="BF143" t="str">
        <f>HYPERLINK("http://dx.doi.org/10.1016/j.envpol.2017.05.060","http://dx.doi.org/10.1016/j.envpol.2017.05.060")</f>
        <v>http://dx.doi.org/10.1016/j.envpol.2017.05.060</v>
      </c>
      <c r="BG143" t="s">
        <v>74</v>
      </c>
      <c r="BH143" t="s">
        <v>74</v>
      </c>
      <c r="BI143">
        <v>14</v>
      </c>
      <c r="BJ143" t="s">
        <v>2867</v>
      </c>
      <c r="BK143" t="s">
        <v>101</v>
      </c>
      <c r="BL143" t="s">
        <v>1048</v>
      </c>
      <c r="BM143" t="s">
        <v>3083</v>
      </c>
      <c r="BN143">
        <v>28599208</v>
      </c>
      <c r="BO143" t="s">
        <v>2091</v>
      </c>
      <c r="BP143" t="s">
        <v>74</v>
      </c>
      <c r="BQ143" t="s">
        <v>74</v>
      </c>
      <c r="BR143" t="s">
        <v>105</v>
      </c>
      <c r="BS143" t="s">
        <v>3084</v>
      </c>
      <c r="BT143" t="str">
        <f>HYPERLINK("https%3A%2F%2Fwww.webofscience.com%2Fwos%2Fwoscc%2Ffull-record%2FWOS:000410010200025","View Full Record in Web of Science")</f>
        <v>View Full Record in Web of Science</v>
      </c>
    </row>
    <row r="144" spans="1:72" x14ac:dyDescent="0.15">
      <c r="A144" t="s">
        <v>72</v>
      </c>
      <c r="B144" t="s">
        <v>3085</v>
      </c>
      <c r="C144" t="s">
        <v>74</v>
      </c>
      <c r="D144" t="s">
        <v>74</v>
      </c>
      <c r="E144" t="s">
        <v>74</v>
      </c>
      <c r="F144" t="s">
        <v>3086</v>
      </c>
      <c r="G144" t="s">
        <v>74</v>
      </c>
      <c r="H144" t="s">
        <v>74</v>
      </c>
      <c r="I144" t="s">
        <v>3087</v>
      </c>
      <c r="J144" t="s">
        <v>3088</v>
      </c>
      <c r="K144" t="s">
        <v>74</v>
      </c>
      <c r="L144" t="s">
        <v>74</v>
      </c>
      <c r="M144" t="s">
        <v>78</v>
      </c>
      <c r="N144" t="s">
        <v>79</v>
      </c>
      <c r="O144" t="s">
        <v>74</v>
      </c>
      <c r="P144" t="s">
        <v>74</v>
      </c>
      <c r="Q144" t="s">
        <v>74</v>
      </c>
      <c r="R144" t="s">
        <v>74</v>
      </c>
      <c r="S144" t="s">
        <v>74</v>
      </c>
      <c r="T144" t="s">
        <v>3089</v>
      </c>
      <c r="U144" t="s">
        <v>3090</v>
      </c>
      <c r="V144" t="s">
        <v>3091</v>
      </c>
      <c r="W144" t="s">
        <v>3092</v>
      </c>
      <c r="X144" t="s">
        <v>3093</v>
      </c>
      <c r="Y144" t="s">
        <v>3094</v>
      </c>
      <c r="Z144" t="s">
        <v>3095</v>
      </c>
      <c r="AA144" t="s">
        <v>3096</v>
      </c>
      <c r="AB144" t="s">
        <v>3097</v>
      </c>
      <c r="AC144" t="s">
        <v>3098</v>
      </c>
      <c r="AD144" t="s">
        <v>3099</v>
      </c>
      <c r="AE144" t="s">
        <v>3100</v>
      </c>
      <c r="AF144" t="s">
        <v>74</v>
      </c>
      <c r="AG144">
        <v>34</v>
      </c>
      <c r="AH144">
        <v>17</v>
      </c>
      <c r="AI144">
        <v>18</v>
      </c>
      <c r="AJ144">
        <v>3</v>
      </c>
      <c r="AK144">
        <v>55</v>
      </c>
      <c r="AL144" t="s">
        <v>728</v>
      </c>
      <c r="AM144" t="s">
        <v>729</v>
      </c>
      <c r="AN144" t="s">
        <v>730</v>
      </c>
      <c r="AO144" t="s">
        <v>3101</v>
      </c>
      <c r="AP144" t="s">
        <v>3102</v>
      </c>
      <c r="AQ144" t="s">
        <v>74</v>
      </c>
      <c r="AR144" t="s">
        <v>3103</v>
      </c>
      <c r="AS144" t="s">
        <v>3104</v>
      </c>
      <c r="AT144" t="s">
        <v>1237</v>
      </c>
      <c r="AU144">
        <v>2017</v>
      </c>
      <c r="AV144">
        <v>76</v>
      </c>
      <c r="AW144" t="s">
        <v>74</v>
      </c>
      <c r="AX144" t="s">
        <v>74</v>
      </c>
      <c r="AY144" t="s">
        <v>74</v>
      </c>
      <c r="AZ144" t="s">
        <v>74</v>
      </c>
      <c r="BA144" t="s">
        <v>74</v>
      </c>
      <c r="BB144">
        <v>113</v>
      </c>
      <c r="BC144">
        <v>123</v>
      </c>
      <c r="BD144" t="s">
        <v>74</v>
      </c>
      <c r="BE144" t="s">
        <v>3105</v>
      </c>
      <c r="BF144" t="str">
        <f>HYPERLINK("http://dx.doi.org/10.1016/j.envsci.2017.06.014","http://dx.doi.org/10.1016/j.envsci.2017.06.014")</f>
        <v>http://dx.doi.org/10.1016/j.envsci.2017.06.014</v>
      </c>
      <c r="BG144" t="s">
        <v>74</v>
      </c>
      <c r="BH144" t="s">
        <v>74</v>
      </c>
      <c r="BI144">
        <v>11</v>
      </c>
      <c r="BJ144" t="s">
        <v>2867</v>
      </c>
      <c r="BK144" t="s">
        <v>765</v>
      </c>
      <c r="BL144" t="s">
        <v>1048</v>
      </c>
      <c r="BM144" t="s">
        <v>3106</v>
      </c>
      <c r="BN144" t="s">
        <v>74</v>
      </c>
      <c r="BO144" t="s">
        <v>1240</v>
      </c>
      <c r="BP144" t="s">
        <v>74</v>
      </c>
      <c r="BQ144" t="s">
        <v>74</v>
      </c>
      <c r="BR144" t="s">
        <v>105</v>
      </c>
      <c r="BS144" t="s">
        <v>3107</v>
      </c>
      <c r="BT144" t="str">
        <f>HYPERLINK("https%3A%2F%2Fwww.webofscience.com%2Fwos%2Fwoscc%2Ffull-record%2FWOS:000407981300013","View Full Record in Web of Science")</f>
        <v>View Full Record in Web of Science</v>
      </c>
    </row>
    <row r="145" spans="1:72" x14ac:dyDescent="0.15">
      <c r="A145" t="s">
        <v>72</v>
      </c>
      <c r="B145" t="s">
        <v>3108</v>
      </c>
      <c r="C145" t="s">
        <v>74</v>
      </c>
      <c r="D145" t="s">
        <v>74</v>
      </c>
      <c r="E145" t="s">
        <v>74</v>
      </c>
      <c r="F145" t="s">
        <v>3109</v>
      </c>
      <c r="G145" t="s">
        <v>74</v>
      </c>
      <c r="H145" t="s">
        <v>74</v>
      </c>
      <c r="I145" t="s">
        <v>3110</v>
      </c>
      <c r="J145" t="s">
        <v>718</v>
      </c>
      <c r="K145" t="s">
        <v>74</v>
      </c>
      <c r="L145" t="s">
        <v>74</v>
      </c>
      <c r="M145" t="s">
        <v>78</v>
      </c>
      <c r="N145" t="s">
        <v>79</v>
      </c>
      <c r="O145" t="s">
        <v>74</v>
      </c>
      <c r="P145" t="s">
        <v>74</v>
      </c>
      <c r="Q145" t="s">
        <v>74</v>
      </c>
      <c r="R145" t="s">
        <v>74</v>
      </c>
      <c r="S145" t="s">
        <v>74</v>
      </c>
      <c r="T145" t="s">
        <v>3111</v>
      </c>
      <c r="U145" t="s">
        <v>3112</v>
      </c>
      <c r="V145" t="s">
        <v>3113</v>
      </c>
      <c r="W145" t="s">
        <v>3114</v>
      </c>
      <c r="X145" t="s">
        <v>3115</v>
      </c>
      <c r="Y145" t="s">
        <v>3116</v>
      </c>
      <c r="Z145" t="s">
        <v>3117</v>
      </c>
      <c r="AA145" t="s">
        <v>3118</v>
      </c>
      <c r="AB145" t="s">
        <v>3119</v>
      </c>
      <c r="AC145" t="s">
        <v>3120</v>
      </c>
      <c r="AD145" t="s">
        <v>3121</v>
      </c>
      <c r="AE145" t="s">
        <v>3122</v>
      </c>
      <c r="AF145" t="s">
        <v>74</v>
      </c>
      <c r="AG145">
        <v>40</v>
      </c>
      <c r="AH145">
        <v>21</v>
      </c>
      <c r="AI145">
        <v>32</v>
      </c>
      <c r="AJ145">
        <v>3</v>
      </c>
      <c r="AK145">
        <v>87</v>
      </c>
      <c r="AL145" t="s">
        <v>728</v>
      </c>
      <c r="AM145" t="s">
        <v>729</v>
      </c>
      <c r="AN145" t="s">
        <v>730</v>
      </c>
      <c r="AO145" t="s">
        <v>731</v>
      </c>
      <c r="AP145" t="s">
        <v>732</v>
      </c>
      <c r="AQ145" t="s">
        <v>74</v>
      </c>
      <c r="AR145" t="s">
        <v>733</v>
      </c>
      <c r="AS145" t="s">
        <v>734</v>
      </c>
      <c r="AT145" t="s">
        <v>1815</v>
      </c>
      <c r="AU145">
        <v>2017</v>
      </c>
      <c r="AV145">
        <v>232</v>
      </c>
      <c r="AW145" t="s">
        <v>74</v>
      </c>
      <c r="AX145" t="s">
        <v>74</v>
      </c>
      <c r="AY145" t="s">
        <v>74</v>
      </c>
      <c r="AZ145" t="s">
        <v>74</v>
      </c>
      <c r="BA145" t="s">
        <v>74</v>
      </c>
      <c r="BB145">
        <v>155</v>
      </c>
      <c r="BC145">
        <v>162</v>
      </c>
      <c r="BD145" t="s">
        <v>74</v>
      </c>
      <c r="BE145" t="s">
        <v>3123</v>
      </c>
      <c r="BF145" t="str">
        <f>HYPERLINK("http://dx.doi.org/10.1016/j.foodchem.2017.03.135","http://dx.doi.org/10.1016/j.foodchem.2017.03.135")</f>
        <v>http://dx.doi.org/10.1016/j.foodchem.2017.03.135</v>
      </c>
      <c r="BG145" t="s">
        <v>74</v>
      </c>
      <c r="BH145" t="s">
        <v>74</v>
      </c>
      <c r="BI145">
        <v>8</v>
      </c>
      <c r="BJ145" t="s">
        <v>736</v>
      </c>
      <c r="BK145" t="s">
        <v>101</v>
      </c>
      <c r="BL145" t="s">
        <v>737</v>
      </c>
      <c r="BM145" t="s">
        <v>3124</v>
      </c>
      <c r="BN145">
        <v>28490058</v>
      </c>
      <c r="BO145" t="s">
        <v>74</v>
      </c>
      <c r="BP145" t="s">
        <v>74</v>
      </c>
      <c r="BQ145" t="s">
        <v>74</v>
      </c>
      <c r="BR145" t="s">
        <v>105</v>
      </c>
      <c r="BS145" t="s">
        <v>3125</v>
      </c>
      <c r="BT145" t="str">
        <f>HYPERLINK("https%3A%2F%2Fwww.webofscience.com%2Fwos%2Fwoscc%2Ffull-record%2FWOS:000401097700018","View Full Record in Web of Science")</f>
        <v>View Full Record in Web of Science</v>
      </c>
    </row>
    <row r="146" spans="1:72" x14ac:dyDescent="0.15">
      <c r="A146" t="s">
        <v>72</v>
      </c>
      <c r="B146" t="s">
        <v>3126</v>
      </c>
      <c r="C146" t="s">
        <v>74</v>
      </c>
      <c r="D146" t="s">
        <v>74</v>
      </c>
      <c r="E146" t="s">
        <v>74</v>
      </c>
      <c r="F146" t="s">
        <v>3127</v>
      </c>
      <c r="G146" t="s">
        <v>74</v>
      </c>
      <c r="H146" t="s">
        <v>74</v>
      </c>
      <c r="I146" t="s">
        <v>3128</v>
      </c>
      <c r="J146" t="s">
        <v>3129</v>
      </c>
      <c r="K146" t="s">
        <v>74</v>
      </c>
      <c r="L146" t="s">
        <v>74</v>
      </c>
      <c r="M146" t="s">
        <v>78</v>
      </c>
      <c r="N146" t="s">
        <v>79</v>
      </c>
      <c r="O146" t="s">
        <v>74</v>
      </c>
      <c r="P146" t="s">
        <v>74</v>
      </c>
      <c r="Q146" t="s">
        <v>74</v>
      </c>
      <c r="R146" t="s">
        <v>74</v>
      </c>
      <c r="S146" t="s">
        <v>74</v>
      </c>
      <c r="T146" t="s">
        <v>3130</v>
      </c>
      <c r="U146" t="s">
        <v>3131</v>
      </c>
      <c r="V146" t="s">
        <v>3132</v>
      </c>
      <c r="W146" t="s">
        <v>3133</v>
      </c>
      <c r="X146" t="s">
        <v>3134</v>
      </c>
      <c r="Y146" t="s">
        <v>3135</v>
      </c>
      <c r="Z146" t="s">
        <v>3136</v>
      </c>
      <c r="AA146" t="s">
        <v>3137</v>
      </c>
      <c r="AB146" t="s">
        <v>3138</v>
      </c>
      <c r="AC146" t="s">
        <v>3139</v>
      </c>
      <c r="AD146" t="s">
        <v>3140</v>
      </c>
      <c r="AE146" t="s">
        <v>3141</v>
      </c>
      <c r="AF146" t="s">
        <v>74</v>
      </c>
      <c r="AG146">
        <v>52</v>
      </c>
      <c r="AH146">
        <v>21</v>
      </c>
      <c r="AI146">
        <v>22</v>
      </c>
      <c r="AJ146">
        <v>1</v>
      </c>
      <c r="AK146">
        <v>41</v>
      </c>
      <c r="AL146" t="s">
        <v>3142</v>
      </c>
      <c r="AM146" t="s">
        <v>3143</v>
      </c>
      <c r="AN146" t="s">
        <v>3144</v>
      </c>
      <c r="AO146" t="s">
        <v>3145</v>
      </c>
      <c r="AP146" t="s">
        <v>3146</v>
      </c>
      <c r="AQ146" t="s">
        <v>74</v>
      </c>
      <c r="AR146" t="s">
        <v>3147</v>
      </c>
      <c r="AS146" t="s">
        <v>3148</v>
      </c>
      <c r="AT146" t="s">
        <v>1815</v>
      </c>
      <c r="AU146">
        <v>2017</v>
      </c>
      <c r="AV146">
        <v>252</v>
      </c>
      <c r="AW146" t="s">
        <v>74</v>
      </c>
      <c r="AX146" t="s">
        <v>74</v>
      </c>
      <c r="AY146" t="s">
        <v>74</v>
      </c>
      <c r="AZ146" t="s">
        <v>74</v>
      </c>
      <c r="BA146" t="s">
        <v>74</v>
      </c>
      <c r="BB146">
        <v>60</v>
      </c>
      <c r="BC146">
        <v>78</v>
      </c>
      <c r="BD146" t="s">
        <v>74</v>
      </c>
      <c r="BE146" t="s">
        <v>3149</v>
      </c>
      <c r="BF146" t="str">
        <f>HYPERLINK("http://dx.doi.org/10.1016/j.ygcen.2017.07.015","http://dx.doi.org/10.1016/j.ygcen.2017.07.015")</f>
        <v>http://dx.doi.org/10.1016/j.ygcen.2017.07.015</v>
      </c>
      <c r="BG146" t="s">
        <v>74</v>
      </c>
      <c r="BH146" t="s">
        <v>74</v>
      </c>
      <c r="BI146">
        <v>19</v>
      </c>
      <c r="BJ146" t="s">
        <v>3150</v>
      </c>
      <c r="BK146" t="s">
        <v>101</v>
      </c>
      <c r="BL146" t="s">
        <v>3150</v>
      </c>
      <c r="BM146" t="s">
        <v>3151</v>
      </c>
      <c r="BN146">
        <v>28728885</v>
      </c>
      <c r="BO146" t="s">
        <v>1240</v>
      </c>
      <c r="BP146" t="s">
        <v>74</v>
      </c>
      <c r="BQ146" t="s">
        <v>74</v>
      </c>
      <c r="BR146" t="s">
        <v>105</v>
      </c>
      <c r="BS146" t="s">
        <v>3152</v>
      </c>
      <c r="BT146" t="str">
        <f>HYPERLINK("https%3A%2F%2Fwww.webofscience.com%2Fwos%2Fwoscc%2Ffull-record%2FWOS:000409396400007","View Full Record in Web of Science")</f>
        <v>View Full Record in Web of Science</v>
      </c>
    </row>
    <row r="147" spans="1:72" x14ac:dyDescent="0.15">
      <c r="A147" t="s">
        <v>72</v>
      </c>
      <c r="B147" t="s">
        <v>3153</v>
      </c>
      <c r="C147" t="s">
        <v>74</v>
      </c>
      <c r="D147" t="s">
        <v>74</v>
      </c>
      <c r="E147" t="s">
        <v>74</v>
      </c>
      <c r="F147" t="s">
        <v>3154</v>
      </c>
      <c r="G147" t="s">
        <v>74</v>
      </c>
      <c r="H147" t="s">
        <v>74</v>
      </c>
      <c r="I147" t="s">
        <v>3155</v>
      </c>
      <c r="J147" t="s">
        <v>3156</v>
      </c>
      <c r="K147" t="s">
        <v>74</v>
      </c>
      <c r="L147" t="s">
        <v>74</v>
      </c>
      <c r="M147" t="s">
        <v>78</v>
      </c>
      <c r="N147" t="s">
        <v>79</v>
      </c>
      <c r="O147" t="s">
        <v>74</v>
      </c>
      <c r="P147" t="s">
        <v>74</v>
      </c>
      <c r="Q147" t="s">
        <v>74</v>
      </c>
      <c r="R147" t="s">
        <v>74</v>
      </c>
      <c r="S147" t="s">
        <v>74</v>
      </c>
      <c r="T147" t="s">
        <v>74</v>
      </c>
      <c r="U147" t="s">
        <v>74</v>
      </c>
      <c r="V147" t="s">
        <v>3157</v>
      </c>
      <c r="W147" t="s">
        <v>3158</v>
      </c>
      <c r="X147" t="s">
        <v>3159</v>
      </c>
      <c r="Y147" t="s">
        <v>3160</v>
      </c>
      <c r="Z147" t="s">
        <v>3161</v>
      </c>
      <c r="AA147" t="s">
        <v>3162</v>
      </c>
      <c r="AB147" t="s">
        <v>3163</v>
      </c>
      <c r="AC147" t="s">
        <v>3164</v>
      </c>
      <c r="AD147" t="s">
        <v>3164</v>
      </c>
      <c r="AE147" t="s">
        <v>3165</v>
      </c>
      <c r="AF147" t="s">
        <v>74</v>
      </c>
      <c r="AG147">
        <v>9</v>
      </c>
      <c r="AH147">
        <v>2</v>
      </c>
      <c r="AI147">
        <v>2</v>
      </c>
      <c r="AJ147">
        <v>0</v>
      </c>
      <c r="AK147">
        <v>1</v>
      </c>
      <c r="AL147" t="s">
        <v>3166</v>
      </c>
      <c r="AM147" t="s">
        <v>92</v>
      </c>
      <c r="AN147" t="s">
        <v>3167</v>
      </c>
      <c r="AO147" t="s">
        <v>74</v>
      </c>
      <c r="AP147" t="s">
        <v>3168</v>
      </c>
      <c r="AQ147" t="s">
        <v>74</v>
      </c>
      <c r="AR147" t="s">
        <v>3156</v>
      </c>
      <c r="AS147" t="s">
        <v>3169</v>
      </c>
      <c r="AT147" t="s">
        <v>1237</v>
      </c>
      <c r="AU147">
        <v>2017</v>
      </c>
      <c r="AV147">
        <v>5</v>
      </c>
      <c r="AW147">
        <v>41</v>
      </c>
      <c r="AX147" t="s">
        <v>74</v>
      </c>
      <c r="AY147" t="s">
        <v>74</v>
      </c>
      <c r="AZ147" t="s">
        <v>74</v>
      </c>
      <c r="BA147" t="s">
        <v>74</v>
      </c>
      <c r="BB147" t="s">
        <v>74</v>
      </c>
      <c r="BC147" t="s">
        <v>74</v>
      </c>
      <c r="BD147" t="s">
        <v>3170</v>
      </c>
      <c r="BE147" t="s">
        <v>3171</v>
      </c>
      <c r="BF147" t="str">
        <f>HYPERLINK("http://dx.doi.org/10.1128/genomeA.01047-17","http://dx.doi.org/10.1128/genomeA.01047-17")</f>
        <v>http://dx.doi.org/10.1128/genomeA.01047-17</v>
      </c>
      <c r="BG147" t="s">
        <v>74</v>
      </c>
      <c r="BH147" t="s">
        <v>74</v>
      </c>
      <c r="BI147">
        <v>2</v>
      </c>
      <c r="BJ147" t="s">
        <v>457</v>
      </c>
      <c r="BK147" t="s">
        <v>3172</v>
      </c>
      <c r="BL147" t="s">
        <v>457</v>
      </c>
      <c r="BM147" t="s">
        <v>3173</v>
      </c>
      <c r="BN147">
        <v>29025939</v>
      </c>
      <c r="BO147" t="s">
        <v>658</v>
      </c>
      <c r="BP147" t="s">
        <v>74</v>
      </c>
      <c r="BQ147" t="s">
        <v>74</v>
      </c>
      <c r="BR147" t="s">
        <v>105</v>
      </c>
      <c r="BS147" t="s">
        <v>3174</v>
      </c>
      <c r="BT147" t="str">
        <f>HYPERLINK("https%3A%2F%2Fwww.webofscience.com%2Fwos%2Fwoscc%2Ffull-record%2FWOS:000460737800013","View Full Record in Web of Science")</f>
        <v>View Full Record in Web of Science</v>
      </c>
    </row>
    <row r="148" spans="1:72" x14ac:dyDescent="0.15">
      <c r="A148" t="s">
        <v>72</v>
      </c>
      <c r="B148" t="s">
        <v>3175</v>
      </c>
      <c r="C148" t="s">
        <v>74</v>
      </c>
      <c r="D148" t="s">
        <v>74</v>
      </c>
      <c r="E148" t="s">
        <v>74</v>
      </c>
      <c r="F148" t="s">
        <v>3176</v>
      </c>
      <c r="G148" t="s">
        <v>74</v>
      </c>
      <c r="H148" t="s">
        <v>74</v>
      </c>
      <c r="I148" t="s">
        <v>3177</v>
      </c>
      <c r="J148" t="s">
        <v>3156</v>
      </c>
      <c r="K148" t="s">
        <v>74</v>
      </c>
      <c r="L148" t="s">
        <v>74</v>
      </c>
      <c r="M148" t="s">
        <v>78</v>
      </c>
      <c r="N148" t="s">
        <v>79</v>
      </c>
      <c r="O148" t="s">
        <v>74</v>
      </c>
      <c r="P148" t="s">
        <v>74</v>
      </c>
      <c r="Q148" t="s">
        <v>74</v>
      </c>
      <c r="R148" t="s">
        <v>74</v>
      </c>
      <c r="S148" t="s">
        <v>74</v>
      </c>
      <c r="T148" t="s">
        <v>74</v>
      </c>
      <c r="U148" t="s">
        <v>74</v>
      </c>
      <c r="V148" t="s">
        <v>3178</v>
      </c>
      <c r="W148" t="s">
        <v>3179</v>
      </c>
      <c r="X148" t="s">
        <v>3180</v>
      </c>
      <c r="Y148" t="s">
        <v>3181</v>
      </c>
      <c r="Z148" t="s">
        <v>3182</v>
      </c>
      <c r="AA148" t="s">
        <v>3183</v>
      </c>
      <c r="AB148" t="s">
        <v>3184</v>
      </c>
      <c r="AC148" t="s">
        <v>3185</v>
      </c>
      <c r="AD148" t="s">
        <v>3186</v>
      </c>
      <c r="AE148" t="s">
        <v>3187</v>
      </c>
      <c r="AF148" t="s">
        <v>74</v>
      </c>
      <c r="AG148">
        <v>13</v>
      </c>
      <c r="AH148">
        <v>4</v>
      </c>
      <c r="AI148">
        <v>4</v>
      </c>
      <c r="AJ148">
        <v>0</v>
      </c>
      <c r="AK148">
        <v>1</v>
      </c>
      <c r="AL148" t="s">
        <v>3166</v>
      </c>
      <c r="AM148" t="s">
        <v>92</v>
      </c>
      <c r="AN148" t="s">
        <v>3167</v>
      </c>
      <c r="AO148" t="s">
        <v>74</v>
      </c>
      <c r="AP148" t="s">
        <v>3168</v>
      </c>
      <c r="AQ148" t="s">
        <v>74</v>
      </c>
      <c r="AR148" t="s">
        <v>3156</v>
      </c>
      <c r="AS148" t="s">
        <v>3169</v>
      </c>
      <c r="AT148" t="s">
        <v>1237</v>
      </c>
      <c r="AU148">
        <v>2017</v>
      </c>
      <c r="AV148">
        <v>5</v>
      </c>
      <c r="AW148">
        <v>43</v>
      </c>
      <c r="AX148" t="s">
        <v>74</v>
      </c>
      <c r="AY148" t="s">
        <v>74</v>
      </c>
      <c r="AZ148" t="s">
        <v>74</v>
      </c>
      <c r="BA148" t="s">
        <v>74</v>
      </c>
      <c r="BB148" t="s">
        <v>74</v>
      </c>
      <c r="BC148" t="s">
        <v>74</v>
      </c>
      <c r="BD148" t="s">
        <v>3188</v>
      </c>
      <c r="BE148" t="s">
        <v>3189</v>
      </c>
      <c r="BF148" t="str">
        <f>HYPERLINK("http://dx.doi.org/10.1128/genomeA.01197-17","http://dx.doi.org/10.1128/genomeA.01197-17")</f>
        <v>http://dx.doi.org/10.1128/genomeA.01197-17</v>
      </c>
      <c r="BG148" t="s">
        <v>74</v>
      </c>
      <c r="BH148" t="s">
        <v>74</v>
      </c>
      <c r="BI148">
        <v>2</v>
      </c>
      <c r="BJ148" t="s">
        <v>457</v>
      </c>
      <c r="BK148" t="s">
        <v>3172</v>
      </c>
      <c r="BL148" t="s">
        <v>457</v>
      </c>
      <c r="BM148" t="s">
        <v>3190</v>
      </c>
      <c r="BN148">
        <v>29074668</v>
      </c>
      <c r="BO148" t="s">
        <v>658</v>
      </c>
      <c r="BP148" t="s">
        <v>74</v>
      </c>
      <c r="BQ148" t="s">
        <v>74</v>
      </c>
      <c r="BR148" t="s">
        <v>105</v>
      </c>
      <c r="BS148" t="s">
        <v>3191</v>
      </c>
      <c r="BT148" t="str">
        <f>HYPERLINK("https%3A%2F%2Fwww.webofscience.com%2Fwos%2Fwoscc%2Ffull-record%2FWOS:000460739300025","View Full Record in Web of Science")</f>
        <v>View Full Record in Web of Science</v>
      </c>
    </row>
    <row r="149" spans="1:72" x14ac:dyDescent="0.15">
      <c r="A149" t="s">
        <v>72</v>
      </c>
      <c r="B149" t="s">
        <v>3192</v>
      </c>
      <c r="C149" t="s">
        <v>74</v>
      </c>
      <c r="D149" t="s">
        <v>74</v>
      </c>
      <c r="E149" t="s">
        <v>74</v>
      </c>
      <c r="F149" t="s">
        <v>3193</v>
      </c>
      <c r="G149" t="s">
        <v>74</v>
      </c>
      <c r="H149" t="s">
        <v>74</v>
      </c>
      <c r="I149" t="s">
        <v>3194</v>
      </c>
      <c r="J149" t="s">
        <v>3195</v>
      </c>
      <c r="K149" t="s">
        <v>74</v>
      </c>
      <c r="L149" t="s">
        <v>74</v>
      </c>
      <c r="M149" t="s">
        <v>78</v>
      </c>
      <c r="N149" t="s">
        <v>79</v>
      </c>
      <c r="O149" t="s">
        <v>74</v>
      </c>
      <c r="P149" t="s">
        <v>74</v>
      </c>
      <c r="Q149" t="s">
        <v>74</v>
      </c>
      <c r="R149" t="s">
        <v>74</v>
      </c>
      <c r="S149" t="s">
        <v>74</v>
      </c>
      <c r="T149" t="s">
        <v>3196</v>
      </c>
      <c r="U149" t="s">
        <v>3197</v>
      </c>
      <c r="V149" t="s">
        <v>3198</v>
      </c>
      <c r="W149" t="s">
        <v>3199</v>
      </c>
      <c r="X149" t="s">
        <v>3200</v>
      </c>
      <c r="Y149" t="s">
        <v>3201</v>
      </c>
      <c r="Z149" t="s">
        <v>3202</v>
      </c>
      <c r="AA149" t="s">
        <v>3203</v>
      </c>
      <c r="AB149" t="s">
        <v>3204</v>
      </c>
      <c r="AC149" t="s">
        <v>3205</v>
      </c>
      <c r="AD149" t="s">
        <v>3206</v>
      </c>
      <c r="AE149" t="s">
        <v>3207</v>
      </c>
      <c r="AF149" t="s">
        <v>74</v>
      </c>
      <c r="AG149">
        <v>90</v>
      </c>
      <c r="AH149">
        <v>11</v>
      </c>
      <c r="AI149">
        <v>11</v>
      </c>
      <c r="AJ149">
        <v>1</v>
      </c>
      <c r="AK149">
        <v>32</v>
      </c>
      <c r="AL149" t="s">
        <v>1338</v>
      </c>
      <c r="AM149" t="s">
        <v>1339</v>
      </c>
      <c r="AN149" t="s">
        <v>1340</v>
      </c>
      <c r="AO149" t="s">
        <v>3208</v>
      </c>
      <c r="AP149" t="s">
        <v>3209</v>
      </c>
      <c r="AQ149" t="s">
        <v>74</v>
      </c>
      <c r="AR149" t="s">
        <v>3210</v>
      </c>
      <c r="AS149" t="s">
        <v>3211</v>
      </c>
      <c r="AT149" t="s">
        <v>1237</v>
      </c>
      <c r="AU149">
        <v>2017</v>
      </c>
      <c r="AV149">
        <v>26</v>
      </c>
      <c r="AW149">
        <v>10</v>
      </c>
      <c r="AX149" t="s">
        <v>74</v>
      </c>
      <c r="AY149" t="s">
        <v>74</v>
      </c>
      <c r="AZ149" t="s">
        <v>74</v>
      </c>
      <c r="BA149" t="s">
        <v>74</v>
      </c>
      <c r="BB149">
        <v>1098</v>
      </c>
      <c r="BC149">
        <v>1111</v>
      </c>
      <c r="BD149" t="s">
        <v>74</v>
      </c>
      <c r="BE149" t="s">
        <v>3212</v>
      </c>
      <c r="BF149" t="str">
        <f>HYPERLINK("http://dx.doi.org/10.1111/geb.12619","http://dx.doi.org/10.1111/geb.12619")</f>
        <v>http://dx.doi.org/10.1111/geb.12619</v>
      </c>
      <c r="BG149" t="s">
        <v>74</v>
      </c>
      <c r="BH149" t="s">
        <v>74</v>
      </c>
      <c r="BI149">
        <v>14</v>
      </c>
      <c r="BJ149" t="s">
        <v>2552</v>
      </c>
      <c r="BK149" t="s">
        <v>765</v>
      </c>
      <c r="BL149" t="s">
        <v>2553</v>
      </c>
      <c r="BM149" t="s">
        <v>3213</v>
      </c>
      <c r="BN149" t="s">
        <v>74</v>
      </c>
      <c r="BO149" t="s">
        <v>2091</v>
      </c>
      <c r="BP149" t="s">
        <v>74</v>
      </c>
      <c r="BQ149" t="s">
        <v>74</v>
      </c>
      <c r="BR149" t="s">
        <v>105</v>
      </c>
      <c r="BS149" t="s">
        <v>3214</v>
      </c>
      <c r="BT149" t="str">
        <f>HYPERLINK("https%3A%2F%2Fwww.webofscience.com%2Fwos%2Fwoscc%2Ffull-record%2FWOS:000411041600003","View Full Record in Web of Science")</f>
        <v>View Full Record in Web of Science</v>
      </c>
    </row>
    <row r="150" spans="1:72" x14ac:dyDescent="0.15">
      <c r="A150" t="s">
        <v>72</v>
      </c>
      <c r="B150" t="s">
        <v>3215</v>
      </c>
      <c r="C150" t="s">
        <v>74</v>
      </c>
      <c r="D150" t="s">
        <v>74</v>
      </c>
      <c r="E150" t="s">
        <v>74</v>
      </c>
      <c r="F150" t="s">
        <v>3216</v>
      </c>
      <c r="G150" t="s">
        <v>74</v>
      </c>
      <c r="H150" t="s">
        <v>74</v>
      </c>
      <c r="I150" t="s">
        <v>3217</v>
      </c>
      <c r="J150" t="s">
        <v>3218</v>
      </c>
      <c r="K150" t="s">
        <v>74</v>
      </c>
      <c r="L150" t="s">
        <v>74</v>
      </c>
      <c r="M150" t="s">
        <v>78</v>
      </c>
      <c r="N150" t="s">
        <v>79</v>
      </c>
      <c r="O150" t="s">
        <v>74</v>
      </c>
      <c r="P150" t="s">
        <v>74</v>
      </c>
      <c r="Q150" t="s">
        <v>74</v>
      </c>
      <c r="R150" t="s">
        <v>74</v>
      </c>
      <c r="S150" t="s">
        <v>74</v>
      </c>
      <c r="T150" t="s">
        <v>3219</v>
      </c>
      <c r="U150" t="s">
        <v>3220</v>
      </c>
      <c r="V150" t="s">
        <v>3221</v>
      </c>
      <c r="W150" t="s">
        <v>3222</v>
      </c>
      <c r="X150" t="s">
        <v>3223</v>
      </c>
      <c r="Y150" t="s">
        <v>3224</v>
      </c>
      <c r="Z150" t="s">
        <v>3225</v>
      </c>
      <c r="AA150" t="s">
        <v>74</v>
      </c>
      <c r="AB150" t="s">
        <v>74</v>
      </c>
      <c r="AC150" t="s">
        <v>3226</v>
      </c>
      <c r="AD150" t="s">
        <v>3227</v>
      </c>
      <c r="AE150" t="s">
        <v>3228</v>
      </c>
      <c r="AF150" t="s">
        <v>74</v>
      </c>
      <c r="AG150">
        <v>43</v>
      </c>
      <c r="AH150">
        <v>27</v>
      </c>
      <c r="AI150">
        <v>29</v>
      </c>
      <c r="AJ150">
        <v>3</v>
      </c>
      <c r="AK150">
        <v>67</v>
      </c>
      <c r="AL150" t="s">
        <v>1270</v>
      </c>
      <c r="AM150" t="s">
        <v>209</v>
      </c>
      <c r="AN150" t="s">
        <v>1682</v>
      </c>
      <c r="AO150" t="s">
        <v>3229</v>
      </c>
      <c r="AP150" t="s">
        <v>3230</v>
      </c>
      <c r="AQ150" t="s">
        <v>74</v>
      </c>
      <c r="AR150" t="s">
        <v>3231</v>
      </c>
      <c r="AS150" t="s">
        <v>3232</v>
      </c>
      <c r="AT150" t="s">
        <v>1237</v>
      </c>
      <c r="AU150">
        <v>2017</v>
      </c>
      <c r="AV150">
        <v>16</v>
      </c>
      <c r="AW150">
        <v>4</v>
      </c>
      <c r="AX150" t="s">
        <v>74</v>
      </c>
      <c r="AY150" t="s">
        <v>74</v>
      </c>
      <c r="AZ150" t="s">
        <v>74</v>
      </c>
      <c r="BA150" t="s">
        <v>74</v>
      </c>
      <c r="BB150">
        <v>321</v>
      </c>
      <c r="BC150">
        <v>327</v>
      </c>
      <c r="BD150" t="s">
        <v>74</v>
      </c>
      <c r="BE150" t="s">
        <v>3233</v>
      </c>
      <c r="BF150" t="str">
        <f>HYPERLINK("http://dx.doi.org/10.1017/S1473550416000410","http://dx.doi.org/10.1017/S1473550416000410")</f>
        <v>http://dx.doi.org/10.1017/S1473550416000410</v>
      </c>
      <c r="BG150" t="s">
        <v>74</v>
      </c>
      <c r="BH150" t="s">
        <v>74</v>
      </c>
      <c r="BI150">
        <v>7</v>
      </c>
      <c r="BJ150" t="s">
        <v>2777</v>
      </c>
      <c r="BK150" t="s">
        <v>101</v>
      </c>
      <c r="BL150" t="s">
        <v>2778</v>
      </c>
      <c r="BM150" t="s">
        <v>3234</v>
      </c>
      <c r="BN150" t="s">
        <v>74</v>
      </c>
      <c r="BO150" t="s">
        <v>104</v>
      </c>
      <c r="BP150" t="s">
        <v>74</v>
      </c>
      <c r="BQ150" t="s">
        <v>74</v>
      </c>
      <c r="BR150" t="s">
        <v>105</v>
      </c>
      <c r="BS150" t="s">
        <v>3235</v>
      </c>
      <c r="BT150" t="str">
        <f>HYPERLINK("https%3A%2F%2Fwww.webofscience.com%2Fwos%2Fwoscc%2Ffull-record%2FWOS:000410001700003","View Full Record in Web of Science")</f>
        <v>View Full Record in Web of Science</v>
      </c>
    </row>
    <row r="151" spans="1:72" x14ac:dyDescent="0.15">
      <c r="A151" t="s">
        <v>72</v>
      </c>
      <c r="B151" t="s">
        <v>3236</v>
      </c>
      <c r="C151" t="s">
        <v>74</v>
      </c>
      <c r="D151" t="s">
        <v>74</v>
      </c>
      <c r="E151" t="s">
        <v>74</v>
      </c>
      <c r="F151" t="s">
        <v>3237</v>
      </c>
      <c r="G151" t="s">
        <v>74</v>
      </c>
      <c r="H151" t="s">
        <v>74</v>
      </c>
      <c r="I151" t="s">
        <v>3238</v>
      </c>
      <c r="J151" t="s">
        <v>1930</v>
      </c>
      <c r="K151" t="s">
        <v>74</v>
      </c>
      <c r="L151" t="s">
        <v>74</v>
      </c>
      <c r="M151" t="s">
        <v>78</v>
      </c>
      <c r="N151" t="s">
        <v>79</v>
      </c>
      <c r="O151" t="s">
        <v>74</v>
      </c>
      <c r="P151" t="s">
        <v>74</v>
      </c>
      <c r="Q151" t="s">
        <v>74</v>
      </c>
      <c r="R151" t="s">
        <v>74</v>
      </c>
      <c r="S151" t="s">
        <v>74</v>
      </c>
      <c r="T151" t="s">
        <v>3239</v>
      </c>
      <c r="U151" t="s">
        <v>3240</v>
      </c>
      <c r="V151" t="s">
        <v>3241</v>
      </c>
      <c r="W151" t="s">
        <v>3242</v>
      </c>
      <c r="X151" t="s">
        <v>3243</v>
      </c>
      <c r="Y151" t="s">
        <v>3244</v>
      </c>
      <c r="Z151" t="s">
        <v>3245</v>
      </c>
      <c r="AA151" t="s">
        <v>3246</v>
      </c>
      <c r="AB151" t="s">
        <v>3247</v>
      </c>
      <c r="AC151" t="s">
        <v>3248</v>
      </c>
      <c r="AD151" t="s">
        <v>3249</v>
      </c>
      <c r="AE151" t="s">
        <v>3250</v>
      </c>
      <c r="AF151" t="s">
        <v>74</v>
      </c>
      <c r="AG151">
        <v>51</v>
      </c>
      <c r="AH151">
        <v>7</v>
      </c>
      <c r="AI151">
        <v>7</v>
      </c>
      <c r="AJ151">
        <v>0</v>
      </c>
      <c r="AK151">
        <v>6</v>
      </c>
      <c r="AL151" t="s">
        <v>1942</v>
      </c>
      <c r="AM151" t="s">
        <v>182</v>
      </c>
      <c r="AN151" t="s">
        <v>3251</v>
      </c>
      <c r="AO151" t="s">
        <v>1944</v>
      </c>
      <c r="AP151" t="s">
        <v>1945</v>
      </c>
      <c r="AQ151" t="s">
        <v>74</v>
      </c>
      <c r="AR151" t="s">
        <v>1946</v>
      </c>
      <c r="AS151" t="s">
        <v>1947</v>
      </c>
      <c r="AT151" t="s">
        <v>1237</v>
      </c>
      <c r="AU151">
        <v>2017</v>
      </c>
      <c r="AV151">
        <v>67</v>
      </c>
      <c r="AW151">
        <v>10</v>
      </c>
      <c r="AX151" t="s">
        <v>74</v>
      </c>
      <c r="AY151" t="s">
        <v>74</v>
      </c>
      <c r="AZ151" t="s">
        <v>74</v>
      </c>
      <c r="BA151" t="s">
        <v>74</v>
      </c>
      <c r="BB151">
        <v>4002</v>
      </c>
      <c r="BC151">
        <v>4007</v>
      </c>
      <c r="BD151" t="s">
        <v>74</v>
      </c>
      <c r="BE151" t="s">
        <v>3252</v>
      </c>
      <c r="BF151" t="str">
        <f>HYPERLINK("http://dx.doi.org/10.1099/ijsem.0.002240","http://dx.doi.org/10.1099/ijsem.0.002240")</f>
        <v>http://dx.doi.org/10.1099/ijsem.0.002240</v>
      </c>
      <c r="BG151" t="s">
        <v>74</v>
      </c>
      <c r="BH151" t="s">
        <v>74</v>
      </c>
      <c r="BI151">
        <v>6</v>
      </c>
      <c r="BJ151" t="s">
        <v>457</v>
      </c>
      <c r="BK151" t="s">
        <v>101</v>
      </c>
      <c r="BL151" t="s">
        <v>457</v>
      </c>
      <c r="BM151" t="s">
        <v>1949</v>
      </c>
      <c r="BN151">
        <v>28905705</v>
      </c>
      <c r="BO151" t="s">
        <v>104</v>
      </c>
      <c r="BP151" t="s">
        <v>74</v>
      </c>
      <c r="BQ151" t="s">
        <v>74</v>
      </c>
      <c r="BR151" t="s">
        <v>105</v>
      </c>
      <c r="BS151" t="s">
        <v>3253</v>
      </c>
      <c r="BT151" t="str">
        <f>HYPERLINK("https%3A%2F%2Fwww.webofscience.com%2Fwos%2Fwoscc%2Ffull-record%2FWOS:000413484800049","View Full Record in Web of Science")</f>
        <v>View Full Record in Web of Science</v>
      </c>
    </row>
    <row r="152" spans="1:72" x14ac:dyDescent="0.15">
      <c r="A152" t="s">
        <v>72</v>
      </c>
      <c r="B152" t="s">
        <v>3254</v>
      </c>
      <c r="C152" t="s">
        <v>74</v>
      </c>
      <c r="D152" t="s">
        <v>74</v>
      </c>
      <c r="E152" t="s">
        <v>74</v>
      </c>
      <c r="F152" t="s">
        <v>3255</v>
      </c>
      <c r="G152" t="s">
        <v>74</v>
      </c>
      <c r="H152" t="s">
        <v>74</v>
      </c>
      <c r="I152" t="s">
        <v>3256</v>
      </c>
      <c r="J152" t="s">
        <v>1930</v>
      </c>
      <c r="K152" t="s">
        <v>74</v>
      </c>
      <c r="L152" t="s">
        <v>74</v>
      </c>
      <c r="M152" t="s">
        <v>78</v>
      </c>
      <c r="N152" t="s">
        <v>79</v>
      </c>
      <c r="O152" t="s">
        <v>74</v>
      </c>
      <c r="P152" t="s">
        <v>74</v>
      </c>
      <c r="Q152" t="s">
        <v>74</v>
      </c>
      <c r="R152" t="s">
        <v>74</v>
      </c>
      <c r="S152" t="s">
        <v>74</v>
      </c>
      <c r="T152" t="s">
        <v>74</v>
      </c>
      <c r="U152" t="s">
        <v>3257</v>
      </c>
      <c r="V152" t="s">
        <v>3258</v>
      </c>
      <c r="W152" t="s">
        <v>3259</v>
      </c>
      <c r="X152" t="s">
        <v>2515</v>
      </c>
      <c r="Y152" t="s">
        <v>3260</v>
      </c>
      <c r="Z152" t="s">
        <v>3261</v>
      </c>
      <c r="AA152" t="s">
        <v>3262</v>
      </c>
      <c r="AB152" t="s">
        <v>74</v>
      </c>
      <c r="AC152" t="s">
        <v>3263</v>
      </c>
      <c r="AD152" t="s">
        <v>3264</v>
      </c>
      <c r="AE152" t="s">
        <v>3265</v>
      </c>
      <c r="AF152" t="s">
        <v>74</v>
      </c>
      <c r="AG152">
        <v>28</v>
      </c>
      <c r="AH152">
        <v>7</v>
      </c>
      <c r="AI152">
        <v>8</v>
      </c>
      <c r="AJ152">
        <v>0</v>
      </c>
      <c r="AK152">
        <v>13</v>
      </c>
      <c r="AL152" t="s">
        <v>1942</v>
      </c>
      <c r="AM152" t="s">
        <v>182</v>
      </c>
      <c r="AN152" t="s">
        <v>3251</v>
      </c>
      <c r="AO152" t="s">
        <v>1944</v>
      </c>
      <c r="AP152" t="s">
        <v>1945</v>
      </c>
      <c r="AQ152" t="s">
        <v>74</v>
      </c>
      <c r="AR152" t="s">
        <v>1946</v>
      </c>
      <c r="AS152" t="s">
        <v>1947</v>
      </c>
      <c r="AT152" t="s">
        <v>1237</v>
      </c>
      <c r="AU152">
        <v>2017</v>
      </c>
      <c r="AV152">
        <v>67</v>
      </c>
      <c r="AW152">
        <v>10</v>
      </c>
      <c r="AX152" t="s">
        <v>74</v>
      </c>
      <c r="AY152" t="s">
        <v>74</v>
      </c>
      <c r="AZ152" t="s">
        <v>74</v>
      </c>
      <c r="BA152" t="s">
        <v>74</v>
      </c>
      <c r="BB152">
        <v>4064</v>
      </c>
      <c r="BC152">
        <v>4068</v>
      </c>
      <c r="BD152" t="s">
        <v>74</v>
      </c>
      <c r="BE152" t="s">
        <v>3266</v>
      </c>
      <c r="BF152" t="str">
        <f>HYPERLINK("http://dx.doi.org/10.1099/ijsem.0.002253","http://dx.doi.org/10.1099/ijsem.0.002253")</f>
        <v>http://dx.doi.org/10.1099/ijsem.0.002253</v>
      </c>
      <c r="BG152" t="s">
        <v>74</v>
      </c>
      <c r="BH152" t="s">
        <v>74</v>
      </c>
      <c r="BI152">
        <v>5</v>
      </c>
      <c r="BJ152" t="s">
        <v>457</v>
      </c>
      <c r="BK152" t="s">
        <v>101</v>
      </c>
      <c r="BL152" t="s">
        <v>457</v>
      </c>
      <c r="BM152" t="s">
        <v>1949</v>
      </c>
      <c r="BN152">
        <v>28933318</v>
      </c>
      <c r="BO152" t="s">
        <v>104</v>
      </c>
      <c r="BP152" t="s">
        <v>74</v>
      </c>
      <c r="BQ152" t="s">
        <v>74</v>
      </c>
      <c r="BR152" t="s">
        <v>105</v>
      </c>
      <c r="BS152" t="s">
        <v>3267</v>
      </c>
      <c r="BT152" t="str">
        <f>HYPERLINK("https%3A%2F%2Fwww.webofscience.com%2Fwos%2Fwoscc%2Ffull-record%2FWOS:000413484800059","View Full Record in Web of Science")</f>
        <v>View Full Record in Web of Science</v>
      </c>
    </row>
    <row r="153" spans="1:72" x14ac:dyDescent="0.15">
      <c r="A153" t="s">
        <v>72</v>
      </c>
      <c r="B153" t="s">
        <v>3268</v>
      </c>
      <c r="C153" t="s">
        <v>74</v>
      </c>
      <c r="D153" t="s">
        <v>74</v>
      </c>
      <c r="E153" t="s">
        <v>74</v>
      </c>
      <c r="F153" t="s">
        <v>3269</v>
      </c>
      <c r="G153" t="s">
        <v>74</v>
      </c>
      <c r="H153" t="s">
        <v>74</v>
      </c>
      <c r="I153" t="s">
        <v>3270</v>
      </c>
      <c r="J153" t="s">
        <v>3271</v>
      </c>
      <c r="K153" t="s">
        <v>74</v>
      </c>
      <c r="L153" t="s">
        <v>74</v>
      </c>
      <c r="M153" t="s">
        <v>78</v>
      </c>
      <c r="N153" t="s">
        <v>273</v>
      </c>
      <c r="O153" t="s">
        <v>74</v>
      </c>
      <c r="P153" t="s">
        <v>74</v>
      </c>
      <c r="Q153" t="s">
        <v>74</v>
      </c>
      <c r="R153" t="s">
        <v>74</v>
      </c>
      <c r="S153" t="s">
        <v>74</v>
      </c>
      <c r="T153" t="s">
        <v>3272</v>
      </c>
      <c r="U153" t="s">
        <v>3273</v>
      </c>
      <c r="V153" t="s">
        <v>3274</v>
      </c>
      <c r="W153" t="s">
        <v>3275</v>
      </c>
      <c r="X153" t="s">
        <v>3276</v>
      </c>
      <c r="Y153" t="s">
        <v>3277</v>
      </c>
      <c r="Z153" t="s">
        <v>3278</v>
      </c>
      <c r="AA153" t="s">
        <v>3279</v>
      </c>
      <c r="AB153" t="s">
        <v>3280</v>
      </c>
      <c r="AC153" t="s">
        <v>3281</v>
      </c>
      <c r="AD153" t="s">
        <v>3281</v>
      </c>
      <c r="AE153" t="s">
        <v>3282</v>
      </c>
      <c r="AF153" t="s">
        <v>74</v>
      </c>
      <c r="AG153">
        <v>72</v>
      </c>
      <c r="AH153">
        <v>20</v>
      </c>
      <c r="AI153">
        <v>21</v>
      </c>
      <c r="AJ153">
        <v>1</v>
      </c>
      <c r="AK153">
        <v>62</v>
      </c>
      <c r="AL153" t="s">
        <v>1338</v>
      </c>
      <c r="AM153" t="s">
        <v>1339</v>
      </c>
      <c r="AN153" t="s">
        <v>1340</v>
      </c>
      <c r="AO153" t="s">
        <v>3283</v>
      </c>
      <c r="AP153" t="s">
        <v>3284</v>
      </c>
      <c r="AQ153" t="s">
        <v>74</v>
      </c>
      <c r="AR153" t="s">
        <v>3285</v>
      </c>
      <c r="AS153" t="s">
        <v>3286</v>
      </c>
      <c r="AT153" t="s">
        <v>1237</v>
      </c>
      <c r="AU153">
        <v>2017</v>
      </c>
      <c r="AV153">
        <v>54</v>
      </c>
      <c r="AW153">
        <v>5</v>
      </c>
      <c r="AX153" t="s">
        <v>74</v>
      </c>
      <c r="AY153" t="s">
        <v>74</v>
      </c>
      <c r="AZ153" t="s">
        <v>74</v>
      </c>
      <c r="BA153" t="s">
        <v>74</v>
      </c>
      <c r="BB153">
        <v>1406</v>
      </c>
      <c r="BC153">
        <v>1414</v>
      </c>
      <c r="BD153" t="s">
        <v>74</v>
      </c>
      <c r="BE153" t="s">
        <v>3287</v>
      </c>
      <c r="BF153" t="str">
        <f>HYPERLINK("http://dx.doi.org/10.1111/1365-2664.12841","http://dx.doi.org/10.1111/1365-2664.12841")</f>
        <v>http://dx.doi.org/10.1111/1365-2664.12841</v>
      </c>
      <c r="BG153" t="s">
        <v>74</v>
      </c>
      <c r="BH153" t="s">
        <v>74</v>
      </c>
      <c r="BI153">
        <v>9</v>
      </c>
      <c r="BJ153" t="s">
        <v>2592</v>
      </c>
      <c r="BK153" t="s">
        <v>101</v>
      </c>
      <c r="BL153" t="s">
        <v>2593</v>
      </c>
      <c r="BM153" t="s">
        <v>3288</v>
      </c>
      <c r="BN153" t="s">
        <v>74</v>
      </c>
      <c r="BO153" t="s">
        <v>104</v>
      </c>
      <c r="BP153" t="s">
        <v>74</v>
      </c>
      <c r="BQ153" t="s">
        <v>74</v>
      </c>
      <c r="BR153" t="s">
        <v>105</v>
      </c>
      <c r="BS153" t="s">
        <v>3289</v>
      </c>
      <c r="BT153" t="str">
        <f>HYPERLINK("https%3A%2F%2Fwww.webofscience.com%2Fwos%2Fwoscc%2Ffull-record%2FWOS:000410678700013","View Full Record in Web of Science")</f>
        <v>View Full Record in Web of Science</v>
      </c>
    </row>
    <row r="154" spans="1:72" x14ac:dyDescent="0.15">
      <c r="A154" t="s">
        <v>72</v>
      </c>
      <c r="B154" t="s">
        <v>3290</v>
      </c>
      <c r="C154" t="s">
        <v>74</v>
      </c>
      <c r="D154" t="s">
        <v>74</v>
      </c>
      <c r="E154" t="s">
        <v>74</v>
      </c>
      <c r="F154" t="s">
        <v>3291</v>
      </c>
      <c r="G154" t="s">
        <v>74</v>
      </c>
      <c r="H154" t="s">
        <v>74</v>
      </c>
      <c r="I154" t="s">
        <v>3292</v>
      </c>
      <c r="J154" t="s">
        <v>3293</v>
      </c>
      <c r="K154" t="s">
        <v>74</v>
      </c>
      <c r="L154" t="s">
        <v>74</v>
      </c>
      <c r="M154" t="s">
        <v>78</v>
      </c>
      <c r="N154" t="s">
        <v>79</v>
      </c>
      <c r="O154" t="s">
        <v>74</v>
      </c>
      <c r="P154" t="s">
        <v>74</v>
      </c>
      <c r="Q154" t="s">
        <v>74</v>
      </c>
      <c r="R154" t="s">
        <v>74</v>
      </c>
      <c r="S154" t="s">
        <v>74</v>
      </c>
      <c r="T154" t="s">
        <v>3294</v>
      </c>
      <c r="U154" t="s">
        <v>3295</v>
      </c>
      <c r="V154" t="s">
        <v>3296</v>
      </c>
      <c r="W154" t="s">
        <v>3297</v>
      </c>
      <c r="X154" t="s">
        <v>3298</v>
      </c>
      <c r="Y154" t="s">
        <v>3299</v>
      </c>
      <c r="Z154" t="s">
        <v>3300</v>
      </c>
      <c r="AA154" t="s">
        <v>3301</v>
      </c>
      <c r="AB154" t="s">
        <v>74</v>
      </c>
      <c r="AC154" t="s">
        <v>3302</v>
      </c>
      <c r="AD154" t="s">
        <v>3303</v>
      </c>
      <c r="AE154" t="s">
        <v>3304</v>
      </c>
      <c r="AF154" t="s">
        <v>74</v>
      </c>
      <c r="AG154">
        <v>35</v>
      </c>
      <c r="AH154">
        <v>41</v>
      </c>
      <c r="AI154">
        <v>47</v>
      </c>
      <c r="AJ154">
        <v>3</v>
      </c>
      <c r="AK154">
        <v>96</v>
      </c>
      <c r="AL154" t="s">
        <v>371</v>
      </c>
      <c r="AM154" t="s">
        <v>372</v>
      </c>
      <c r="AN154" t="s">
        <v>373</v>
      </c>
      <c r="AO154" t="s">
        <v>3305</v>
      </c>
      <c r="AP154" t="s">
        <v>3306</v>
      </c>
      <c r="AQ154" t="s">
        <v>74</v>
      </c>
      <c r="AR154" t="s">
        <v>3307</v>
      </c>
      <c r="AS154" t="s">
        <v>3308</v>
      </c>
      <c r="AT154" t="s">
        <v>1815</v>
      </c>
      <c r="AU154">
        <v>2017</v>
      </c>
      <c r="AV154">
        <v>1064</v>
      </c>
      <c r="AW154" t="s">
        <v>74</v>
      </c>
      <c r="AX154" t="s">
        <v>74</v>
      </c>
      <c r="AY154" t="s">
        <v>74</v>
      </c>
      <c r="AZ154" t="s">
        <v>74</v>
      </c>
      <c r="BA154" t="s">
        <v>74</v>
      </c>
      <c r="BB154">
        <v>56</v>
      </c>
      <c r="BC154">
        <v>61</v>
      </c>
      <c r="BD154" t="s">
        <v>74</v>
      </c>
      <c r="BE154" t="s">
        <v>3309</v>
      </c>
      <c r="BF154" t="str">
        <f>HYPERLINK("http://dx.doi.org/10.1016/j.jchromb.2017.09.001","http://dx.doi.org/10.1016/j.jchromb.2017.09.001")</f>
        <v>http://dx.doi.org/10.1016/j.jchromb.2017.09.001</v>
      </c>
      <c r="BG154" t="s">
        <v>74</v>
      </c>
      <c r="BH154" t="s">
        <v>74</v>
      </c>
      <c r="BI154">
        <v>6</v>
      </c>
      <c r="BJ154" t="s">
        <v>3310</v>
      </c>
      <c r="BK154" t="s">
        <v>101</v>
      </c>
      <c r="BL154" t="s">
        <v>3311</v>
      </c>
      <c r="BM154" t="s">
        <v>3312</v>
      </c>
      <c r="BN154">
        <v>28915418</v>
      </c>
      <c r="BO154" t="s">
        <v>74</v>
      </c>
      <c r="BP154" t="s">
        <v>74</v>
      </c>
      <c r="BQ154" t="s">
        <v>74</v>
      </c>
      <c r="BR154" t="s">
        <v>105</v>
      </c>
      <c r="BS154" t="s">
        <v>3313</v>
      </c>
      <c r="BT154" t="str">
        <f>HYPERLINK("https%3A%2F%2Fwww.webofscience.com%2Fwos%2Fwoscc%2Ffull-record%2FWOS:000412958100009","View Full Record in Web of Science")</f>
        <v>View Full Record in Web of Science</v>
      </c>
    </row>
    <row r="155" spans="1:72" x14ac:dyDescent="0.15">
      <c r="A155" t="s">
        <v>72</v>
      </c>
      <c r="B155" t="s">
        <v>3314</v>
      </c>
      <c r="C155" t="s">
        <v>74</v>
      </c>
      <c r="D155" t="s">
        <v>74</v>
      </c>
      <c r="E155" t="s">
        <v>74</v>
      </c>
      <c r="F155" t="s">
        <v>3315</v>
      </c>
      <c r="G155" t="s">
        <v>74</v>
      </c>
      <c r="H155" t="s">
        <v>74</v>
      </c>
      <c r="I155" t="s">
        <v>3316</v>
      </c>
      <c r="J155" t="s">
        <v>2406</v>
      </c>
      <c r="K155" t="s">
        <v>74</v>
      </c>
      <c r="L155" t="s">
        <v>74</v>
      </c>
      <c r="M155" t="s">
        <v>78</v>
      </c>
      <c r="N155" t="s">
        <v>79</v>
      </c>
      <c r="O155" t="s">
        <v>74</v>
      </c>
      <c r="P155" t="s">
        <v>74</v>
      </c>
      <c r="Q155" t="s">
        <v>74</v>
      </c>
      <c r="R155" t="s">
        <v>74</v>
      </c>
      <c r="S155" t="s">
        <v>74</v>
      </c>
      <c r="T155" t="s">
        <v>74</v>
      </c>
      <c r="U155" t="s">
        <v>3317</v>
      </c>
      <c r="V155" t="s">
        <v>3318</v>
      </c>
      <c r="W155" t="s">
        <v>3319</v>
      </c>
      <c r="X155" t="s">
        <v>3320</v>
      </c>
      <c r="Y155" t="s">
        <v>3321</v>
      </c>
      <c r="Z155" t="s">
        <v>3322</v>
      </c>
      <c r="AA155" t="s">
        <v>3323</v>
      </c>
      <c r="AB155" t="s">
        <v>3324</v>
      </c>
      <c r="AC155" t="s">
        <v>3325</v>
      </c>
      <c r="AD155" t="s">
        <v>3325</v>
      </c>
      <c r="AE155" t="s">
        <v>3326</v>
      </c>
      <c r="AF155" t="s">
        <v>74</v>
      </c>
      <c r="AG155">
        <v>48</v>
      </c>
      <c r="AH155">
        <v>34</v>
      </c>
      <c r="AI155">
        <v>39</v>
      </c>
      <c r="AJ155">
        <v>0</v>
      </c>
      <c r="AK155">
        <v>61</v>
      </c>
      <c r="AL155" t="s">
        <v>1366</v>
      </c>
      <c r="AM155" t="s">
        <v>1367</v>
      </c>
      <c r="AN155" t="s">
        <v>1368</v>
      </c>
      <c r="AO155" t="s">
        <v>2418</v>
      </c>
      <c r="AP155" t="s">
        <v>2419</v>
      </c>
      <c r="AQ155" t="s">
        <v>74</v>
      </c>
      <c r="AR155" t="s">
        <v>2420</v>
      </c>
      <c r="AS155" t="s">
        <v>2421</v>
      </c>
      <c r="AT155" t="s">
        <v>1237</v>
      </c>
      <c r="AU155">
        <v>2017</v>
      </c>
      <c r="AV155">
        <v>30</v>
      </c>
      <c r="AW155">
        <v>20</v>
      </c>
      <c r="AX155" t="s">
        <v>74</v>
      </c>
      <c r="AY155" t="s">
        <v>74</v>
      </c>
      <c r="AZ155" t="s">
        <v>74</v>
      </c>
      <c r="BA155" t="s">
        <v>74</v>
      </c>
      <c r="BB155">
        <v>8405</v>
      </c>
      <c r="BC155">
        <v>8424</v>
      </c>
      <c r="BD155" t="s">
        <v>74</v>
      </c>
      <c r="BE155" t="s">
        <v>3327</v>
      </c>
      <c r="BF155" t="str">
        <f>HYPERLINK("http://dx.doi.org/10.1175/JCLI-D-16-0891.1","http://dx.doi.org/10.1175/JCLI-D-16-0891.1")</f>
        <v>http://dx.doi.org/10.1175/JCLI-D-16-0891.1</v>
      </c>
      <c r="BG155" t="s">
        <v>74</v>
      </c>
      <c r="BH155" t="s">
        <v>74</v>
      </c>
      <c r="BI155">
        <v>20</v>
      </c>
      <c r="BJ155" t="s">
        <v>162</v>
      </c>
      <c r="BK155" t="s">
        <v>101</v>
      </c>
      <c r="BL155" t="s">
        <v>162</v>
      </c>
      <c r="BM155" t="s">
        <v>2440</v>
      </c>
      <c r="BN155" t="s">
        <v>74</v>
      </c>
      <c r="BO155" t="s">
        <v>511</v>
      </c>
      <c r="BP155" t="s">
        <v>74</v>
      </c>
      <c r="BQ155" t="s">
        <v>74</v>
      </c>
      <c r="BR155" t="s">
        <v>105</v>
      </c>
      <c r="BS155" t="s">
        <v>3328</v>
      </c>
      <c r="BT155" t="str">
        <f>HYPERLINK("https%3A%2F%2Fwww.webofscience.com%2Fwos%2Fwoscc%2Ffull-record%2FWOS:000411438000021","View Full Record in Web of Science")</f>
        <v>View Full Record in Web of Science</v>
      </c>
    </row>
    <row r="156" spans="1:72" x14ac:dyDescent="0.15">
      <c r="A156" t="s">
        <v>72</v>
      </c>
      <c r="B156" t="s">
        <v>3329</v>
      </c>
      <c r="C156" t="s">
        <v>74</v>
      </c>
      <c r="D156" t="s">
        <v>74</v>
      </c>
      <c r="E156" t="s">
        <v>74</v>
      </c>
      <c r="F156" t="s">
        <v>3330</v>
      </c>
      <c r="G156" t="s">
        <v>74</v>
      </c>
      <c r="H156" t="s">
        <v>74</v>
      </c>
      <c r="I156" t="s">
        <v>3331</v>
      </c>
      <c r="J156" t="s">
        <v>3332</v>
      </c>
      <c r="K156" t="s">
        <v>74</v>
      </c>
      <c r="L156" t="s">
        <v>74</v>
      </c>
      <c r="M156" t="s">
        <v>78</v>
      </c>
      <c r="N156" t="s">
        <v>79</v>
      </c>
      <c r="O156" t="s">
        <v>74</v>
      </c>
      <c r="P156" t="s">
        <v>74</v>
      </c>
      <c r="Q156" t="s">
        <v>74</v>
      </c>
      <c r="R156" t="s">
        <v>74</v>
      </c>
      <c r="S156" t="s">
        <v>74</v>
      </c>
      <c r="T156" t="s">
        <v>3333</v>
      </c>
      <c r="U156" t="s">
        <v>3334</v>
      </c>
      <c r="V156" t="s">
        <v>3335</v>
      </c>
      <c r="W156" t="s">
        <v>3336</v>
      </c>
      <c r="X156" t="s">
        <v>777</v>
      </c>
      <c r="Y156" t="s">
        <v>3337</v>
      </c>
      <c r="Z156" t="s">
        <v>3338</v>
      </c>
      <c r="AA156" t="s">
        <v>3339</v>
      </c>
      <c r="AB156" t="s">
        <v>3340</v>
      </c>
      <c r="AC156" t="s">
        <v>74</v>
      </c>
      <c r="AD156" t="s">
        <v>74</v>
      </c>
      <c r="AE156" t="s">
        <v>74</v>
      </c>
      <c r="AF156" t="s">
        <v>74</v>
      </c>
      <c r="AG156">
        <v>61</v>
      </c>
      <c r="AH156">
        <v>42</v>
      </c>
      <c r="AI156">
        <v>42</v>
      </c>
      <c r="AJ156">
        <v>6</v>
      </c>
      <c r="AK156">
        <v>54</v>
      </c>
      <c r="AL156" t="s">
        <v>1657</v>
      </c>
      <c r="AM156" t="s">
        <v>182</v>
      </c>
      <c r="AN156" t="s">
        <v>1658</v>
      </c>
      <c r="AO156" t="s">
        <v>3341</v>
      </c>
      <c r="AP156" t="s">
        <v>3342</v>
      </c>
      <c r="AQ156" t="s">
        <v>74</v>
      </c>
      <c r="AR156" t="s">
        <v>3343</v>
      </c>
      <c r="AS156" t="s">
        <v>3344</v>
      </c>
      <c r="AT156" t="s">
        <v>1815</v>
      </c>
      <c r="AU156">
        <v>2017</v>
      </c>
      <c r="AV156">
        <v>201</v>
      </c>
      <c r="AW156" t="s">
        <v>74</v>
      </c>
      <c r="AX156" t="s">
        <v>74</v>
      </c>
      <c r="AY156" t="s">
        <v>74</v>
      </c>
      <c r="AZ156" t="s">
        <v>74</v>
      </c>
      <c r="BA156" t="s">
        <v>74</v>
      </c>
      <c r="BB156">
        <v>138</v>
      </c>
      <c r="BC156">
        <v>144</v>
      </c>
      <c r="BD156" t="s">
        <v>74</v>
      </c>
      <c r="BE156" t="s">
        <v>3345</v>
      </c>
      <c r="BF156" t="str">
        <f>HYPERLINK("http://dx.doi.org/10.1016/j.jenvman.2017.06.039","http://dx.doi.org/10.1016/j.jenvman.2017.06.039")</f>
        <v>http://dx.doi.org/10.1016/j.jenvman.2017.06.039</v>
      </c>
      <c r="BG156" t="s">
        <v>74</v>
      </c>
      <c r="BH156" t="s">
        <v>74</v>
      </c>
      <c r="BI156">
        <v>7</v>
      </c>
      <c r="BJ156" t="s">
        <v>2867</v>
      </c>
      <c r="BK156" t="s">
        <v>765</v>
      </c>
      <c r="BL156" t="s">
        <v>1048</v>
      </c>
      <c r="BM156" t="s">
        <v>3346</v>
      </c>
      <c r="BN156">
        <v>28654801</v>
      </c>
      <c r="BO156" t="s">
        <v>74</v>
      </c>
      <c r="BP156" t="s">
        <v>74</v>
      </c>
      <c r="BQ156" t="s">
        <v>74</v>
      </c>
      <c r="BR156" t="s">
        <v>105</v>
      </c>
      <c r="BS156" t="s">
        <v>3347</v>
      </c>
      <c r="BT156" t="str">
        <f>HYPERLINK("https%3A%2F%2Fwww.webofscience.com%2Fwos%2Fwoscc%2Ffull-record%2FWOS:000407662000015","View Full Record in Web of Science")</f>
        <v>View Full Record in Web of Science</v>
      </c>
    </row>
    <row r="157" spans="1:72" x14ac:dyDescent="0.15">
      <c r="A157" t="s">
        <v>72</v>
      </c>
      <c r="B157" t="s">
        <v>3348</v>
      </c>
      <c r="C157" t="s">
        <v>74</v>
      </c>
      <c r="D157" t="s">
        <v>74</v>
      </c>
      <c r="E157" t="s">
        <v>74</v>
      </c>
      <c r="F157" t="s">
        <v>3349</v>
      </c>
      <c r="G157" t="s">
        <v>74</v>
      </c>
      <c r="H157" t="s">
        <v>74</v>
      </c>
      <c r="I157" t="s">
        <v>3350</v>
      </c>
      <c r="J157" t="s">
        <v>3351</v>
      </c>
      <c r="K157" t="s">
        <v>74</v>
      </c>
      <c r="L157" t="s">
        <v>74</v>
      </c>
      <c r="M157" t="s">
        <v>78</v>
      </c>
      <c r="N157" t="s">
        <v>79</v>
      </c>
      <c r="O157" t="s">
        <v>74</v>
      </c>
      <c r="P157" t="s">
        <v>74</v>
      </c>
      <c r="Q157" t="s">
        <v>74</v>
      </c>
      <c r="R157" t="s">
        <v>74</v>
      </c>
      <c r="S157" t="s">
        <v>74</v>
      </c>
      <c r="T157" t="s">
        <v>3352</v>
      </c>
      <c r="U157" t="s">
        <v>3353</v>
      </c>
      <c r="V157" t="s">
        <v>3354</v>
      </c>
      <c r="W157" t="s">
        <v>3355</v>
      </c>
      <c r="X157" t="s">
        <v>3356</v>
      </c>
      <c r="Y157" t="s">
        <v>3357</v>
      </c>
      <c r="Z157" t="s">
        <v>3358</v>
      </c>
      <c r="AA157" t="s">
        <v>3359</v>
      </c>
      <c r="AB157" t="s">
        <v>3360</v>
      </c>
      <c r="AC157" t="s">
        <v>3361</v>
      </c>
      <c r="AD157" t="s">
        <v>3362</v>
      </c>
      <c r="AE157" t="s">
        <v>3363</v>
      </c>
      <c r="AF157" t="s">
        <v>74</v>
      </c>
      <c r="AG157">
        <v>66</v>
      </c>
      <c r="AH157">
        <v>30</v>
      </c>
      <c r="AI157">
        <v>33</v>
      </c>
      <c r="AJ157">
        <v>1</v>
      </c>
      <c r="AK157">
        <v>98</v>
      </c>
      <c r="AL157" t="s">
        <v>3364</v>
      </c>
      <c r="AM157" t="s">
        <v>286</v>
      </c>
      <c r="AN157" t="s">
        <v>3365</v>
      </c>
      <c r="AO157" t="s">
        <v>3366</v>
      </c>
      <c r="AP157" t="s">
        <v>3367</v>
      </c>
      <c r="AQ157" t="s">
        <v>74</v>
      </c>
      <c r="AR157" t="s">
        <v>3368</v>
      </c>
      <c r="AS157" t="s">
        <v>3369</v>
      </c>
      <c r="AT157" t="s">
        <v>1815</v>
      </c>
      <c r="AU157">
        <v>2017</v>
      </c>
      <c r="AV157">
        <v>220</v>
      </c>
      <c r="AW157">
        <v>19</v>
      </c>
      <c r="AX157" t="s">
        <v>74</v>
      </c>
      <c r="AY157" t="s">
        <v>74</v>
      </c>
      <c r="AZ157" t="s">
        <v>74</v>
      </c>
      <c r="BA157" t="s">
        <v>74</v>
      </c>
      <c r="BB157">
        <v>3519</v>
      </c>
      <c r="BC157">
        <v>3526</v>
      </c>
      <c r="BD157" t="s">
        <v>74</v>
      </c>
      <c r="BE157" t="s">
        <v>3370</v>
      </c>
      <c r="BF157" t="str">
        <f>HYPERLINK("http://dx.doi.org/10.1242/jeb.162529","http://dx.doi.org/10.1242/jeb.162529")</f>
        <v>http://dx.doi.org/10.1242/jeb.162529</v>
      </c>
      <c r="BG157" t="s">
        <v>74</v>
      </c>
      <c r="BH157" t="s">
        <v>74</v>
      </c>
      <c r="BI157">
        <v>8</v>
      </c>
      <c r="BJ157" t="s">
        <v>239</v>
      </c>
      <c r="BK157" t="s">
        <v>101</v>
      </c>
      <c r="BL157" t="s">
        <v>240</v>
      </c>
      <c r="BM157" t="s">
        <v>3371</v>
      </c>
      <c r="BN157">
        <v>28754716</v>
      </c>
      <c r="BO157" t="s">
        <v>1793</v>
      </c>
      <c r="BP157" t="s">
        <v>74</v>
      </c>
      <c r="BQ157" t="s">
        <v>74</v>
      </c>
      <c r="BR157" t="s">
        <v>105</v>
      </c>
      <c r="BS157" t="s">
        <v>3372</v>
      </c>
      <c r="BT157" t="str">
        <f>HYPERLINK("https%3A%2F%2Fwww.webofscience.com%2Fwos%2Fwoscc%2Ffull-record%2FWOS:000412240500021","View Full Record in Web of Science")</f>
        <v>View Full Record in Web of Science</v>
      </c>
    </row>
    <row r="158" spans="1:72" x14ac:dyDescent="0.15">
      <c r="A158" t="s">
        <v>72</v>
      </c>
      <c r="B158" t="s">
        <v>3373</v>
      </c>
      <c r="C158" t="s">
        <v>74</v>
      </c>
      <c r="D158" t="s">
        <v>74</v>
      </c>
      <c r="E158" t="s">
        <v>74</v>
      </c>
      <c r="F158" t="s">
        <v>3374</v>
      </c>
      <c r="G158" t="s">
        <v>74</v>
      </c>
      <c r="H158" t="s">
        <v>74</v>
      </c>
      <c r="I158" t="s">
        <v>3375</v>
      </c>
      <c r="J158" t="s">
        <v>3376</v>
      </c>
      <c r="K158" t="s">
        <v>74</v>
      </c>
      <c r="L158" t="s">
        <v>74</v>
      </c>
      <c r="M158" t="s">
        <v>78</v>
      </c>
      <c r="N158" t="s">
        <v>79</v>
      </c>
      <c r="O158" t="s">
        <v>74</v>
      </c>
      <c r="P158" t="s">
        <v>74</v>
      </c>
      <c r="Q158" t="s">
        <v>74</v>
      </c>
      <c r="R158" t="s">
        <v>74</v>
      </c>
      <c r="S158" t="s">
        <v>74</v>
      </c>
      <c r="T158" t="s">
        <v>3377</v>
      </c>
      <c r="U158" t="s">
        <v>3378</v>
      </c>
      <c r="V158" t="s">
        <v>3379</v>
      </c>
      <c r="W158" t="s">
        <v>3380</v>
      </c>
      <c r="X158" t="s">
        <v>3381</v>
      </c>
      <c r="Y158" t="s">
        <v>3382</v>
      </c>
      <c r="Z158" t="s">
        <v>3383</v>
      </c>
      <c r="AA158" t="s">
        <v>3384</v>
      </c>
      <c r="AB158" t="s">
        <v>3385</v>
      </c>
      <c r="AC158" t="s">
        <v>3386</v>
      </c>
      <c r="AD158" t="s">
        <v>3386</v>
      </c>
      <c r="AE158" t="s">
        <v>3387</v>
      </c>
      <c r="AF158" t="s">
        <v>74</v>
      </c>
      <c r="AG158">
        <v>64</v>
      </c>
      <c r="AH158">
        <v>16</v>
      </c>
      <c r="AI158">
        <v>16</v>
      </c>
      <c r="AJ158">
        <v>0</v>
      </c>
      <c r="AK158">
        <v>17</v>
      </c>
      <c r="AL158" t="s">
        <v>1981</v>
      </c>
      <c r="AM158" t="s">
        <v>729</v>
      </c>
      <c r="AN158" t="s">
        <v>1982</v>
      </c>
      <c r="AO158" t="s">
        <v>3388</v>
      </c>
      <c r="AP158" t="s">
        <v>74</v>
      </c>
      <c r="AQ158" t="s">
        <v>74</v>
      </c>
      <c r="AR158" t="s">
        <v>3389</v>
      </c>
      <c r="AS158" t="s">
        <v>3390</v>
      </c>
      <c r="AT158" t="s">
        <v>1237</v>
      </c>
      <c r="AU158">
        <v>2017</v>
      </c>
      <c r="AV158">
        <v>110</v>
      </c>
      <c r="AW158" t="s">
        <v>74</v>
      </c>
      <c r="AX158" t="s">
        <v>74</v>
      </c>
      <c r="AY158" t="s">
        <v>74</v>
      </c>
      <c r="AZ158" t="s">
        <v>74</v>
      </c>
      <c r="BA158" t="s">
        <v>74</v>
      </c>
      <c r="BB158">
        <v>31</v>
      </c>
      <c r="BC158">
        <v>42</v>
      </c>
      <c r="BD158" t="s">
        <v>74</v>
      </c>
      <c r="BE158" t="s">
        <v>3391</v>
      </c>
      <c r="BF158" t="str">
        <f>HYPERLINK("http://dx.doi.org/10.1016/j.jog.2017.07.008","http://dx.doi.org/10.1016/j.jog.2017.07.008")</f>
        <v>http://dx.doi.org/10.1016/j.jog.2017.07.008</v>
      </c>
      <c r="BG158" t="s">
        <v>74</v>
      </c>
      <c r="BH158" t="s">
        <v>74</v>
      </c>
      <c r="BI158">
        <v>12</v>
      </c>
      <c r="BJ158" t="s">
        <v>509</v>
      </c>
      <c r="BK158" t="s">
        <v>101</v>
      </c>
      <c r="BL158" t="s">
        <v>509</v>
      </c>
      <c r="BM158" t="s">
        <v>3392</v>
      </c>
      <c r="BN158" t="s">
        <v>74</v>
      </c>
      <c r="BO158" t="s">
        <v>2091</v>
      </c>
      <c r="BP158" t="s">
        <v>74</v>
      </c>
      <c r="BQ158" t="s">
        <v>74</v>
      </c>
      <c r="BR158" t="s">
        <v>105</v>
      </c>
      <c r="BS158" t="s">
        <v>3393</v>
      </c>
      <c r="BT158" t="str">
        <f>HYPERLINK("https%3A%2F%2Fwww.webofscience.com%2Fwos%2Fwoscc%2Ffull-record%2FWOS:000412255200003","View Full Record in Web of Science")</f>
        <v>View Full Record in Web of Science</v>
      </c>
    </row>
    <row r="159" spans="1:72" x14ac:dyDescent="0.15">
      <c r="A159" t="s">
        <v>72</v>
      </c>
      <c r="B159" t="s">
        <v>3394</v>
      </c>
      <c r="C159" t="s">
        <v>74</v>
      </c>
      <c r="D159" t="s">
        <v>74</v>
      </c>
      <c r="E159" t="s">
        <v>74</v>
      </c>
      <c r="F159" t="s">
        <v>3395</v>
      </c>
      <c r="G159" t="s">
        <v>74</v>
      </c>
      <c r="H159" t="s">
        <v>74</v>
      </c>
      <c r="I159" t="s">
        <v>3396</v>
      </c>
      <c r="J159" t="s">
        <v>1261</v>
      </c>
      <c r="K159" t="s">
        <v>74</v>
      </c>
      <c r="L159" t="s">
        <v>74</v>
      </c>
      <c r="M159" t="s">
        <v>78</v>
      </c>
      <c r="N159" t="s">
        <v>79</v>
      </c>
      <c r="O159" t="s">
        <v>74</v>
      </c>
      <c r="P159" t="s">
        <v>74</v>
      </c>
      <c r="Q159" t="s">
        <v>74</v>
      </c>
      <c r="R159" t="s">
        <v>74</v>
      </c>
      <c r="S159" t="s">
        <v>74</v>
      </c>
      <c r="T159" t="s">
        <v>3397</v>
      </c>
      <c r="U159" t="s">
        <v>3398</v>
      </c>
      <c r="V159" t="s">
        <v>3399</v>
      </c>
      <c r="W159" t="s">
        <v>3400</v>
      </c>
      <c r="X159" t="s">
        <v>3401</v>
      </c>
      <c r="Y159" t="s">
        <v>3402</v>
      </c>
      <c r="Z159" t="s">
        <v>3403</v>
      </c>
      <c r="AA159" t="s">
        <v>3404</v>
      </c>
      <c r="AB159" t="s">
        <v>3405</v>
      </c>
      <c r="AC159" t="s">
        <v>3406</v>
      </c>
      <c r="AD159" t="s">
        <v>3407</v>
      </c>
      <c r="AE159" t="s">
        <v>3408</v>
      </c>
      <c r="AF159" t="s">
        <v>74</v>
      </c>
      <c r="AG159">
        <v>53</v>
      </c>
      <c r="AH159">
        <v>14</v>
      </c>
      <c r="AI159">
        <v>14</v>
      </c>
      <c r="AJ159">
        <v>0</v>
      </c>
      <c r="AK159">
        <v>11</v>
      </c>
      <c r="AL159" t="s">
        <v>1270</v>
      </c>
      <c r="AM159" t="s">
        <v>286</v>
      </c>
      <c r="AN159" t="s">
        <v>1271</v>
      </c>
      <c r="AO159" t="s">
        <v>1272</v>
      </c>
      <c r="AP159" t="s">
        <v>1273</v>
      </c>
      <c r="AQ159" t="s">
        <v>74</v>
      </c>
      <c r="AR159" t="s">
        <v>1274</v>
      </c>
      <c r="AS159" t="s">
        <v>1275</v>
      </c>
      <c r="AT159" t="s">
        <v>1237</v>
      </c>
      <c r="AU159">
        <v>2017</v>
      </c>
      <c r="AV159">
        <v>63</v>
      </c>
      <c r="AW159">
        <v>241</v>
      </c>
      <c r="AX159" t="s">
        <v>74</v>
      </c>
      <c r="AY159" t="s">
        <v>74</v>
      </c>
      <c r="AZ159" t="s">
        <v>74</v>
      </c>
      <c r="BA159" t="s">
        <v>74</v>
      </c>
      <c r="BB159">
        <v>783</v>
      </c>
      <c r="BC159">
        <v>791</v>
      </c>
      <c r="BD159" t="s">
        <v>74</v>
      </c>
      <c r="BE159" t="s">
        <v>3409</v>
      </c>
      <c r="BF159" t="str">
        <f>HYPERLINK("http://dx.doi.org/10.1017/jog.2017.44","http://dx.doi.org/10.1017/jog.2017.44")</f>
        <v>http://dx.doi.org/10.1017/jog.2017.44</v>
      </c>
      <c r="BG159" t="s">
        <v>74</v>
      </c>
      <c r="BH159" t="s">
        <v>74</v>
      </c>
      <c r="BI159">
        <v>9</v>
      </c>
      <c r="BJ159" t="s">
        <v>319</v>
      </c>
      <c r="BK159" t="s">
        <v>101</v>
      </c>
      <c r="BL159" t="s">
        <v>320</v>
      </c>
      <c r="BM159" t="s">
        <v>1277</v>
      </c>
      <c r="BN159" t="s">
        <v>74</v>
      </c>
      <c r="BO159" t="s">
        <v>3410</v>
      </c>
      <c r="BP159" t="s">
        <v>74</v>
      </c>
      <c r="BQ159" t="s">
        <v>74</v>
      </c>
      <c r="BR159" t="s">
        <v>105</v>
      </c>
      <c r="BS159" t="s">
        <v>3411</v>
      </c>
      <c r="BT159" t="str">
        <f>HYPERLINK("https%3A%2F%2Fwww.webofscience.com%2Fwos%2Fwoscc%2Ffull-record%2FWOS:000418851100003","View Full Record in Web of Science")</f>
        <v>View Full Record in Web of Science</v>
      </c>
    </row>
    <row r="160" spans="1:72" x14ac:dyDescent="0.15">
      <c r="A160" t="s">
        <v>72</v>
      </c>
      <c r="B160" t="s">
        <v>3412</v>
      </c>
      <c r="C160" t="s">
        <v>74</v>
      </c>
      <c r="D160" t="s">
        <v>74</v>
      </c>
      <c r="E160" t="s">
        <v>74</v>
      </c>
      <c r="F160" t="s">
        <v>3413</v>
      </c>
      <c r="G160" t="s">
        <v>74</v>
      </c>
      <c r="H160" t="s">
        <v>74</v>
      </c>
      <c r="I160" t="s">
        <v>3414</v>
      </c>
      <c r="J160" t="s">
        <v>1261</v>
      </c>
      <c r="K160" t="s">
        <v>74</v>
      </c>
      <c r="L160" t="s">
        <v>74</v>
      </c>
      <c r="M160" t="s">
        <v>78</v>
      </c>
      <c r="N160" t="s">
        <v>79</v>
      </c>
      <c r="O160" t="s">
        <v>74</v>
      </c>
      <c r="P160" t="s">
        <v>74</v>
      </c>
      <c r="Q160" t="s">
        <v>74</v>
      </c>
      <c r="R160" t="s">
        <v>74</v>
      </c>
      <c r="S160" t="s">
        <v>74</v>
      </c>
      <c r="T160" t="s">
        <v>3415</v>
      </c>
      <c r="U160" t="s">
        <v>3416</v>
      </c>
      <c r="V160" t="s">
        <v>3417</v>
      </c>
      <c r="W160" t="s">
        <v>3418</v>
      </c>
      <c r="X160" t="s">
        <v>3419</v>
      </c>
      <c r="Y160" t="s">
        <v>3420</v>
      </c>
      <c r="Z160" t="s">
        <v>3421</v>
      </c>
      <c r="AA160" t="s">
        <v>3422</v>
      </c>
      <c r="AB160" t="s">
        <v>3423</v>
      </c>
      <c r="AC160" t="s">
        <v>3424</v>
      </c>
      <c r="AD160" t="s">
        <v>3425</v>
      </c>
      <c r="AE160" t="s">
        <v>3426</v>
      </c>
      <c r="AF160" t="s">
        <v>74</v>
      </c>
      <c r="AG160">
        <v>66</v>
      </c>
      <c r="AH160">
        <v>70</v>
      </c>
      <c r="AI160">
        <v>76</v>
      </c>
      <c r="AJ160">
        <v>0</v>
      </c>
      <c r="AK160">
        <v>9</v>
      </c>
      <c r="AL160" t="s">
        <v>1270</v>
      </c>
      <c r="AM160" t="s">
        <v>286</v>
      </c>
      <c r="AN160" t="s">
        <v>1271</v>
      </c>
      <c r="AO160" t="s">
        <v>1272</v>
      </c>
      <c r="AP160" t="s">
        <v>1273</v>
      </c>
      <c r="AQ160" t="s">
        <v>74</v>
      </c>
      <c r="AR160" t="s">
        <v>1274</v>
      </c>
      <c r="AS160" t="s">
        <v>1275</v>
      </c>
      <c r="AT160" t="s">
        <v>1237</v>
      </c>
      <c r="AU160">
        <v>2017</v>
      </c>
      <c r="AV160">
        <v>63</v>
      </c>
      <c r="AW160">
        <v>241</v>
      </c>
      <c r="AX160" t="s">
        <v>74</v>
      </c>
      <c r="AY160" t="s">
        <v>74</v>
      </c>
      <c r="AZ160" t="s">
        <v>74</v>
      </c>
      <c r="BA160" t="s">
        <v>74</v>
      </c>
      <c r="BB160">
        <v>854</v>
      </c>
      <c r="BC160">
        <v>866</v>
      </c>
      <c r="BD160" t="s">
        <v>74</v>
      </c>
      <c r="BE160" t="s">
        <v>3427</v>
      </c>
      <c r="BF160" t="str">
        <f>HYPERLINK("http://dx.doi.org/10.1017/jog.2017.51","http://dx.doi.org/10.1017/jog.2017.51")</f>
        <v>http://dx.doi.org/10.1017/jog.2017.51</v>
      </c>
      <c r="BG160" t="s">
        <v>74</v>
      </c>
      <c r="BH160" t="s">
        <v>74</v>
      </c>
      <c r="BI160">
        <v>13</v>
      </c>
      <c r="BJ160" t="s">
        <v>319</v>
      </c>
      <c r="BK160" t="s">
        <v>101</v>
      </c>
      <c r="BL160" t="s">
        <v>320</v>
      </c>
      <c r="BM160" t="s">
        <v>1277</v>
      </c>
      <c r="BN160" t="s">
        <v>74</v>
      </c>
      <c r="BO160" t="s">
        <v>1278</v>
      </c>
      <c r="BP160" t="s">
        <v>74</v>
      </c>
      <c r="BQ160" t="s">
        <v>74</v>
      </c>
      <c r="BR160" t="s">
        <v>105</v>
      </c>
      <c r="BS160" t="s">
        <v>3428</v>
      </c>
      <c r="BT160" t="str">
        <f>HYPERLINK("https%3A%2F%2Fwww.webofscience.com%2Fwos%2Fwoscc%2Ffull-record%2FWOS:000418851100009","View Full Record in Web of Science")</f>
        <v>View Full Record in Web of Science</v>
      </c>
    </row>
    <row r="161" spans="1:72" x14ac:dyDescent="0.15">
      <c r="A161" t="s">
        <v>72</v>
      </c>
      <c r="B161" t="s">
        <v>3429</v>
      </c>
      <c r="C161" t="s">
        <v>74</v>
      </c>
      <c r="D161" t="s">
        <v>74</v>
      </c>
      <c r="E161" t="s">
        <v>74</v>
      </c>
      <c r="F161" t="s">
        <v>3430</v>
      </c>
      <c r="G161" t="s">
        <v>74</v>
      </c>
      <c r="H161" t="s">
        <v>74</v>
      </c>
      <c r="I161" t="s">
        <v>3431</v>
      </c>
      <c r="J161" t="s">
        <v>3432</v>
      </c>
      <c r="K161" t="s">
        <v>74</v>
      </c>
      <c r="L161" t="s">
        <v>74</v>
      </c>
      <c r="M161" t="s">
        <v>78</v>
      </c>
      <c r="N161" t="s">
        <v>79</v>
      </c>
      <c r="O161" t="s">
        <v>74</v>
      </c>
      <c r="P161" t="s">
        <v>74</v>
      </c>
      <c r="Q161" t="s">
        <v>74</v>
      </c>
      <c r="R161" t="s">
        <v>74</v>
      </c>
      <c r="S161" t="s">
        <v>74</v>
      </c>
      <c r="T161" t="s">
        <v>3433</v>
      </c>
      <c r="U161" t="s">
        <v>3434</v>
      </c>
      <c r="V161" t="s">
        <v>3435</v>
      </c>
      <c r="W161" t="s">
        <v>3436</v>
      </c>
      <c r="X161" t="s">
        <v>3437</v>
      </c>
      <c r="Y161" t="s">
        <v>3438</v>
      </c>
      <c r="Z161" t="s">
        <v>3439</v>
      </c>
      <c r="AA161" t="s">
        <v>3440</v>
      </c>
      <c r="AB161" t="s">
        <v>3441</v>
      </c>
      <c r="AC161" t="s">
        <v>3442</v>
      </c>
      <c r="AD161" t="s">
        <v>3443</v>
      </c>
      <c r="AE161" t="s">
        <v>3444</v>
      </c>
      <c r="AF161" t="s">
        <v>74</v>
      </c>
      <c r="AG161">
        <v>136</v>
      </c>
      <c r="AH161">
        <v>7</v>
      </c>
      <c r="AI161">
        <v>8</v>
      </c>
      <c r="AJ161">
        <v>0</v>
      </c>
      <c r="AK161">
        <v>9</v>
      </c>
      <c r="AL161" t="s">
        <v>1981</v>
      </c>
      <c r="AM161" t="s">
        <v>729</v>
      </c>
      <c r="AN161" t="s">
        <v>1982</v>
      </c>
      <c r="AO161" t="s">
        <v>3445</v>
      </c>
      <c r="AP161" t="s">
        <v>3446</v>
      </c>
      <c r="AQ161" t="s">
        <v>74</v>
      </c>
      <c r="AR161" t="s">
        <v>3447</v>
      </c>
      <c r="AS161" t="s">
        <v>3448</v>
      </c>
      <c r="AT161" t="s">
        <v>1237</v>
      </c>
      <c r="AU161">
        <v>2017</v>
      </c>
      <c r="AV161">
        <v>78</v>
      </c>
      <c r="AW161" t="s">
        <v>74</v>
      </c>
      <c r="AX161" t="s">
        <v>74</v>
      </c>
      <c r="AY161" t="s">
        <v>74</v>
      </c>
      <c r="AZ161" t="s">
        <v>74</v>
      </c>
      <c r="BA161" t="s">
        <v>74</v>
      </c>
      <c r="BB161">
        <v>175</v>
      </c>
      <c r="BC161">
        <v>189</v>
      </c>
      <c r="BD161" t="s">
        <v>74</v>
      </c>
      <c r="BE161" t="s">
        <v>3449</v>
      </c>
      <c r="BF161" t="str">
        <f>HYPERLINK("http://dx.doi.org/10.1016/j.jsames.2017.07.006","http://dx.doi.org/10.1016/j.jsames.2017.07.006")</f>
        <v>http://dx.doi.org/10.1016/j.jsames.2017.07.006</v>
      </c>
      <c r="BG161" t="s">
        <v>74</v>
      </c>
      <c r="BH161" t="s">
        <v>74</v>
      </c>
      <c r="BI161">
        <v>15</v>
      </c>
      <c r="BJ161" t="s">
        <v>100</v>
      </c>
      <c r="BK161" t="s">
        <v>101</v>
      </c>
      <c r="BL161" t="s">
        <v>102</v>
      </c>
      <c r="BM161" t="s">
        <v>3450</v>
      </c>
      <c r="BN161">
        <v>29118464</v>
      </c>
      <c r="BO161" t="s">
        <v>1240</v>
      </c>
      <c r="BP161" t="s">
        <v>74</v>
      </c>
      <c r="BQ161" t="s">
        <v>74</v>
      </c>
      <c r="BR161" t="s">
        <v>105</v>
      </c>
      <c r="BS161" t="s">
        <v>3451</v>
      </c>
      <c r="BT161" t="str">
        <f>HYPERLINK("https%3A%2F%2Fwww.webofscience.com%2Fwos%2Fwoscc%2Ffull-record%2FWOS:000411775200013","View Full Record in Web of Science")</f>
        <v>View Full Record in Web of Science</v>
      </c>
    </row>
    <row r="162" spans="1:72" x14ac:dyDescent="0.15">
      <c r="A162" t="s">
        <v>72</v>
      </c>
      <c r="B162" t="s">
        <v>3452</v>
      </c>
      <c r="C162" t="s">
        <v>74</v>
      </c>
      <c r="D162" t="s">
        <v>74</v>
      </c>
      <c r="E162" t="s">
        <v>74</v>
      </c>
      <c r="F162" t="s">
        <v>3453</v>
      </c>
      <c r="G162" t="s">
        <v>74</v>
      </c>
      <c r="H162" t="s">
        <v>74</v>
      </c>
      <c r="I162" t="s">
        <v>3454</v>
      </c>
      <c r="J162" t="s">
        <v>3432</v>
      </c>
      <c r="K162" t="s">
        <v>74</v>
      </c>
      <c r="L162" t="s">
        <v>74</v>
      </c>
      <c r="M162" t="s">
        <v>78</v>
      </c>
      <c r="N162" t="s">
        <v>79</v>
      </c>
      <c r="O162" t="s">
        <v>74</v>
      </c>
      <c r="P162" t="s">
        <v>74</v>
      </c>
      <c r="Q162" t="s">
        <v>74</v>
      </c>
      <c r="R162" t="s">
        <v>74</v>
      </c>
      <c r="S162" t="s">
        <v>74</v>
      </c>
      <c r="T162" t="s">
        <v>3455</v>
      </c>
      <c r="U162" t="s">
        <v>3456</v>
      </c>
      <c r="V162" t="s">
        <v>3457</v>
      </c>
      <c r="W162" t="s">
        <v>3458</v>
      </c>
      <c r="X162" t="s">
        <v>3459</v>
      </c>
      <c r="Y162" t="s">
        <v>3460</v>
      </c>
      <c r="Z162" t="s">
        <v>3461</v>
      </c>
      <c r="AA162" t="s">
        <v>3462</v>
      </c>
      <c r="AB162" t="s">
        <v>3463</v>
      </c>
      <c r="AC162" t="s">
        <v>3464</v>
      </c>
      <c r="AD162" t="s">
        <v>3465</v>
      </c>
      <c r="AE162" t="s">
        <v>3466</v>
      </c>
      <c r="AF162" t="s">
        <v>74</v>
      </c>
      <c r="AG162">
        <v>123</v>
      </c>
      <c r="AH162">
        <v>24</v>
      </c>
      <c r="AI162">
        <v>25</v>
      </c>
      <c r="AJ162">
        <v>0</v>
      </c>
      <c r="AK162">
        <v>15</v>
      </c>
      <c r="AL162" t="s">
        <v>1981</v>
      </c>
      <c r="AM162" t="s">
        <v>729</v>
      </c>
      <c r="AN162" t="s">
        <v>1982</v>
      </c>
      <c r="AO162" t="s">
        <v>3445</v>
      </c>
      <c r="AP162" t="s">
        <v>3446</v>
      </c>
      <c r="AQ162" t="s">
        <v>74</v>
      </c>
      <c r="AR162" t="s">
        <v>3447</v>
      </c>
      <c r="AS162" t="s">
        <v>3448</v>
      </c>
      <c r="AT162" t="s">
        <v>1237</v>
      </c>
      <c r="AU162">
        <v>2017</v>
      </c>
      <c r="AV162">
        <v>78</v>
      </c>
      <c r="AW162" t="s">
        <v>74</v>
      </c>
      <c r="AX162" t="s">
        <v>74</v>
      </c>
      <c r="AY162" t="s">
        <v>74</v>
      </c>
      <c r="AZ162" t="s">
        <v>74</v>
      </c>
      <c r="BA162" t="s">
        <v>74</v>
      </c>
      <c r="BB162">
        <v>190</v>
      </c>
      <c r="BC162">
        <v>212</v>
      </c>
      <c r="BD162" t="s">
        <v>74</v>
      </c>
      <c r="BE162" t="s">
        <v>3467</v>
      </c>
      <c r="BF162" t="str">
        <f>HYPERLINK("http://dx.doi.org/10.1016/j.jsames.2017.05.001","http://dx.doi.org/10.1016/j.jsames.2017.05.001")</f>
        <v>http://dx.doi.org/10.1016/j.jsames.2017.05.001</v>
      </c>
      <c r="BG162" t="s">
        <v>74</v>
      </c>
      <c r="BH162" t="s">
        <v>74</v>
      </c>
      <c r="BI162">
        <v>23</v>
      </c>
      <c r="BJ162" t="s">
        <v>100</v>
      </c>
      <c r="BK162" t="s">
        <v>101</v>
      </c>
      <c r="BL162" t="s">
        <v>102</v>
      </c>
      <c r="BM162" t="s">
        <v>3450</v>
      </c>
      <c r="BN162" t="s">
        <v>74</v>
      </c>
      <c r="BO162" t="s">
        <v>164</v>
      </c>
      <c r="BP162" t="s">
        <v>74</v>
      </c>
      <c r="BQ162" t="s">
        <v>74</v>
      </c>
      <c r="BR162" t="s">
        <v>105</v>
      </c>
      <c r="BS162" t="s">
        <v>3468</v>
      </c>
      <c r="BT162" t="str">
        <f>HYPERLINK("https%3A%2F%2Fwww.webofscience.com%2Fwos%2Fwoscc%2Ffull-record%2FWOS:000411775200014","View Full Record in Web of Science")</f>
        <v>View Full Record in Web of Science</v>
      </c>
    </row>
    <row r="163" spans="1:72" x14ac:dyDescent="0.15">
      <c r="A163" t="s">
        <v>72</v>
      </c>
      <c r="B163" t="s">
        <v>3469</v>
      </c>
      <c r="C163" t="s">
        <v>74</v>
      </c>
      <c r="D163" t="s">
        <v>74</v>
      </c>
      <c r="E163" t="s">
        <v>74</v>
      </c>
      <c r="F163" t="s">
        <v>3470</v>
      </c>
      <c r="G163" t="s">
        <v>74</v>
      </c>
      <c r="H163" t="s">
        <v>74</v>
      </c>
      <c r="I163" t="s">
        <v>3471</v>
      </c>
      <c r="J163" t="s">
        <v>3472</v>
      </c>
      <c r="K163" t="s">
        <v>74</v>
      </c>
      <c r="L163" t="s">
        <v>74</v>
      </c>
      <c r="M163" t="s">
        <v>78</v>
      </c>
      <c r="N163" t="s">
        <v>79</v>
      </c>
      <c r="O163" t="s">
        <v>74</v>
      </c>
      <c r="P163" t="s">
        <v>74</v>
      </c>
      <c r="Q163" t="s">
        <v>74</v>
      </c>
      <c r="R163" t="s">
        <v>74</v>
      </c>
      <c r="S163" t="s">
        <v>74</v>
      </c>
      <c r="T163" t="s">
        <v>3473</v>
      </c>
      <c r="U163" t="s">
        <v>3474</v>
      </c>
      <c r="V163" t="s">
        <v>3475</v>
      </c>
      <c r="W163" t="s">
        <v>3476</v>
      </c>
      <c r="X163" t="s">
        <v>3477</v>
      </c>
      <c r="Y163" t="s">
        <v>3478</v>
      </c>
      <c r="Z163" t="s">
        <v>3479</v>
      </c>
      <c r="AA163" t="s">
        <v>3480</v>
      </c>
      <c r="AB163" t="s">
        <v>3481</v>
      </c>
      <c r="AC163" t="s">
        <v>3482</v>
      </c>
      <c r="AD163" t="s">
        <v>3483</v>
      </c>
      <c r="AE163" t="s">
        <v>3484</v>
      </c>
      <c r="AF163" t="s">
        <v>74</v>
      </c>
      <c r="AG163">
        <v>58</v>
      </c>
      <c r="AH163">
        <v>5</v>
      </c>
      <c r="AI163">
        <v>6</v>
      </c>
      <c r="AJ163">
        <v>1</v>
      </c>
      <c r="AK163">
        <v>16</v>
      </c>
      <c r="AL163" t="s">
        <v>3485</v>
      </c>
      <c r="AM163" t="s">
        <v>3486</v>
      </c>
      <c r="AN163" t="s">
        <v>3487</v>
      </c>
      <c r="AO163" t="s">
        <v>74</v>
      </c>
      <c r="AP163" t="s">
        <v>3488</v>
      </c>
      <c r="AQ163" t="s">
        <v>74</v>
      </c>
      <c r="AR163" t="s">
        <v>3489</v>
      </c>
      <c r="AS163" t="s">
        <v>3490</v>
      </c>
      <c r="AT163" t="s">
        <v>1237</v>
      </c>
      <c r="AU163">
        <v>2017</v>
      </c>
      <c r="AV163">
        <v>15</v>
      </c>
      <c r="AW163">
        <v>10</v>
      </c>
      <c r="AX163" t="s">
        <v>74</v>
      </c>
      <c r="AY163" t="s">
        <v>74</v>
      </c>
      <c r="AZ163" t="s">
        <v>74</v>
      </c>
      <c r="BA163" t="s">
        <v>74</v>
      </c>
      <c r="BB163" t="s">
        <v>74</v>
      </c>
      <c r="BC163" t="s">
        <v>74</v>
      </c>
      <c r="BD163">
        <v>318</v>
      </c>
      <c r="BE163" t="s">
        <v>3491</v>
      </c>
      <c r="BF163" t="str">
        <f>HYPERLINK("http://dx.doi.org/10.3390/md15100318","http://dx.doi.org/10.3390/md15100318")</f>
        <v>http://dx.doi.org/10.3390/md15100318</v>
      </c>
      <c r="BG163" t="s">
        <v>74</v>
      </c>
      <c r="BH163" t="s">
        <v>74</v>
      </c>
      <c r="BI163">
        <v>14</v>
      </c>
      <c r="BJ163" t="s">
        <v>3492</v>
      </c>
      <c r="BK163" t="s">
        <v>101</v>
      </c>
      <c r="BL163" t="s">
        <v>3493</v>
      </c>
      <c r="BM163" t="s">
        <v>3494</v>
      </c>
      <c r="BN163">
        <v>29057803</v>
      </c>
      <c r="BO163" t="s">
        <v>3495</v>
      </c>
      <c r="BP163" t="s">
        <v>74</v>
      </c>
      <c r="BQ163" t="s">
        <v>74</v>
      </c>
      <c r="BR163" t="s">
        <v>105</v>
      </c>
      <c r="BS163" t="s">
        <v>3496</v>
      </c>
      <c r="BT163" t="str">
        <f>HYPERLINK("https%3A%2F%2Fwww.webofscience.com%2Fwos%2Fwoscc%2Ffull-record%2FWOS:000414593200025","View Full Record in Web of Science")</f>
        <v>View Full Record in Web of Science</v>
      </c>
    </row>
    <row r="164" spans="1:72" x14ac:dyDescent="0.15">
      <c r="A164" t="s">
        <v>72</v>
      </c>
      <c r="B164" t="s">
        <v>3497</v>
      </c>
      <c r="C164" t="s">
        <v>74</v>
      </c>
      <c r="D164" t="s">
        <v>74</v>
      </c>
      <c r="E164" t="s">
        <v>74</v>
      </c>
      <c r="F164" t="s">
        <v>3498</v>
      </c>
      <c r="G164" t="s">
        <v>74</v>
      </c>
      <c r="H164" t="s">
        <v>74</v>
      </c>
      <c r="I164" t="s">
        <v>3499</v>
      </c>
      <c r="J164" t="s">
        <v>3500</v>
      </c>
      <c r="K164" t="s">
        <v>74</v>
      </c>
      <c r="L164" t="s">
        <v>74</v>
      </c>
      <c r="M164" t="s">
        <v>78</v>
      </c>
      <c r="N164" t="s">
        <v>79</v>
      </c>
      <c r="O164" t="s">
        <v>74</v>
      </c>
      <c r="P164" t="s">
        <v>74</v>
      </c>
      <c r="Q164" t="s">
        <v>74</v>
      </c>
      <c r="R164" t="s">
        <v>74</v>
      </c>
      <c r="S164" t="s">
        <v>74</v>
      </c>
      <c r="T164" t="s">
        <v>3501</v>
      </c>
      <c r="U164" t="s">
        <v>3502</v>
      </c>
      <c r="V164" t="s">
        <v>3503</v>
      </c>
      <c r="W164" t="s">
        <v>3504</v>
      </c>
      <c r="X164" t="s">
        <v>3505</v>
      </c>
      <c r="Y164" t="s">
        <v>3506</v>
      </c>
      <c r="Z164" t="s">
        <v>3507</v>
      </c>
      <c r="AA164" t="s">
        <v>3508</v>
      </c>
      <c r="AB164" t="s">
        <v>3509</v>
      </c>
      <c r="AC164" t="s">
        <v>74</v>
      </c>
      <c r="AD164" t="s">
        <v>74</v>
      </c>
      <c r="AE164" t="s">
        <v>74</v>
      </c>
      <c r="AF164" t="s">
        <v>74</v>
      </c>
      <c r="AG164">
        <v>164</v>
      </c>
      <c r="AH164">
        <v>33</v>
      </c>
      <c r="AI164">
        <v>36</v>
      </c>
      <c r="AJ164">
        <v>2</v>
      </c>
      <c r="AK164">
        <v>34</v>
      </c>
      <c r="AL164" t="s">
        <v>371</v>
      </c>
      <c r="AM164" t="s">
        <v>372</v>
      </c>
      <c r="AN164" t="s">
        <v>373</v>
      </c>
      <c r="AO164" t="s">
        <v>3510</v>
      </c>
      <c r="AP164" t="s">
        <v>3511</v>
      </c>
      <c r="AQ164" t="s">
        <v>74</v>
      </c>
      <c r="AR164" t="s">
        <v>3512</v>
      </c>
      <c r="AS164" t="s">
        <v>3513</v>
      </c>
      <c r="AT164" t="s">
        <v>1237</v>
      </c>
      <c r="AU164">
        <v>2017</v>
      </c>
      <c r="AV164">
        <v>136</v>
      </c>
      <c r="AW164" t="s">
        <v>74</v>
      </c>
      <c r="AX164" t="s">
        <v>74</v>
      </c>
      <c r="AY164" t="s">
        <v>74</v>
      </c>
      <c r="AZ164" t="s">
        <v>74</v>
      </c>
      <c r="BA164" t="s">
        <v>74</v>
      </c>
      <c r="BB164">
        <v>1</v>
      </c>
      <c r="BC164">
        <v>13</v>
      </c>
      <c r="BD164" t="s">
        <v>74</v>
      </c>
      <c r="BE164" t="s">
        <v>3514</v>
      </c>
      <c r="BF164" t="str">
        <f>HYPERLINK("http://dx.doi.org/10.1016/j.marmicro.2017.08.004","http://dx.doi.org/10.1016/j.marmicro.2017.08.004")</f>
        <v>http://dx.doi.org/10.1016/j.marmicro.2017.08.004</v>
      </c>
      <c r="BG164" t="s">
        <v>74</v>
      </c>
      <c r="BH164" t="s">
        <v>74</v>
      </c>
      <c r="BI164">
        <v>13</v>
      </c>
      <c r="BJ164" t="s">
        <v>3515</v>
      </c>
      <c r="BK164" t="s">
        <v>101</v>
      </c>
      <c r="BL164" t="s">
        <v>3515</v>
      </c>
      <c r="BM164" t="s">
        <v>3516</v>
      </c>
      <c r="BN164" t="s">
        <v>74</v>
      </c>
      <c r="BO164" t="s">
        <v>2091</v>
      </c>
      <c r="BP164" t="s">
        <v>74</v>
      </c>
      <c r="BQ164" t="s">
        <v>74</v>
      </c>
      <c r="BR164" t="s">
        <v>105</v>
      </c>
      <c r="BS164" t="s">
        <v>3517</v>
      </c>
      <c r="BT164" t="str">
        <f>HYPERLINK("https%3A%2F%2Fwww.webofscience.com%2Fwos%2Fwoscc%2Ffull-record%2FWOS:000414882200001","View Full Record in Web of Science")</f>
        <v>View Full Record in Web of Science</v>
      </c>
    </row>
    <row r="165" spans="1:72" x14ac:dyDescent="0.15">
      <c r="A165" t="s">
        <v>72</v>
      </c>
      <c r="B165" t="s">
        <v>3518</v>
      </c>
      <c r="C165" t="s">
        <v>74</v>
      </c>
      <c r="D165" t="s">
        <v>74</v>
      </c>
      <c r="E165" t="s">
        <v>74</v>
      </c>
      <c r="F165" t="s">
        <v>3519</v>
      </c>
      <c r="G165" t="s">
        <v>74</v>
      </c>
      <c r="H165" t="s">
        <v>74</v>
      </c>
      <c r="I165" t="s">
        <v>3520</v>
      </c>
      <c r="J165" t="s">
        <v>3521</v>
      </c>
      <c r="K165" t="s">
        <v>74</v>
      </c>
      <c r="L165" t="s">
        <v>74</v>
      </c>
      <c r="M165" t="s">
        <v>78</v>
      </c>
      <c r="N165" t="s">
        <v>79</v>
      </c>
      <c r="O165" t="s">
        <v>74</v>
      </c>
      <c r="P165" t="s">
        <v>74</v>
      </c>
      <c r="Q165" t="s">
        <v>74</v>
      </c>
      <c r="R165" t="s">
        <v>74</v>
      </c>
      <c r="S165" t="s">
        <v>74</v>
      </c>
      <c r="T165" t="s">
        <v>74</v>
      </c>
      <c r="U165" t="s">
        <v>74</v>
      </c>
      <c r="V165" t="s">
        <v>3522</v>
      </c>
      <c r="W165" t="s">
        <v>3523</v>
      </c>
      <c r="X165" t="s">
        <v>3524</v>
      </c>
      <c r="Y165" t="s">
        <v>3525</v>
      </c>
      <c r="Z165" t="s">
        <v>3526</v>
      </c>
      <c r="AA165" t="s">
        <v>74</v>
      </c>
      <c r="AB165" t="s">
        <v>74</v>
      </c>
      <c r="AC165" t="s">
        <v>74</v>
      </c>
      <c r="AD165" t="s">
        <v>74</v>
      </c>
      <c r="AE165" t="s">
        <v>74</v>
      </c>
      <c r="AF165" t="s">
        <v>74</v>
      </c>
      <c r="AG165">
        <v>10</v>
      </c>
      <c r="AH165">
        <v>2</v>
      </c>
      <c r="AI165">
        <v>2</v>
      </c>
      <c r="AJ165">
        <v>0</v>
      </c>
      <c r="AK165">
        <v>1</v>
      </c>
      <c r="AL165" t="s">
        <v>3527</v>
      </c>
      <c r="AM165" t="s">
        <v>3528</v>
      </c>
      <c r="AN165" t="s">
        <v>3529</v>
      </c>
      <c r="AO165" t="s">
        <v>3530</v>
      </c>
      <c r="AP165" t="s">
        <v>3531</v>
      </c>
      <c r="AQ165" t="s">
        <v>74</v>
      </c>
      <c r="AR165" t="s">
        <v>3532</v>
      </c>
      <c r="AS165" t="s">
        <v>3533</v>
      </c>
      <c r="AT165" t="s">
        <v>1237</v>
      </c>
      <c r="AU165">
        <v>2017</v>
      </c>
      <c r="AV165">
        <v>45</v>
      </c>
      <c r="AW165">
        <v>2</v>
      </c>
      <c r="AX165" t="s">
        <v>74</v>
      </c>
      <c r="AY165" t="s">
        <v>74</v>
      </c>
      <c r="AZ165" t="s">
        <v>74</v>
      </c>
      <c r="BA165" t="s">
        <v>74</v>
      </c>
      <c r="BB165">
        <v>191</v>
      </c>
      <c r="BC165">
        <v>194</v>
      </c>
      <c r="BD165" t="s">
        <v>74</v>
      </c>
      <c r="BE165" t="s">
        <v>74</v>
      </c>
      <c r="BF165" t="s">
        <v>74</v>
      </c>
      <c r="BG165" t="s">
        <v>74</v>
      </c>
      <c r="BH165" t="s">
        <v>74</v>
      </c>
      <c r="BI165">
        <v>4</v>
      </c>
      <c r="BJ165" t="s">
        <v>3534</v>
      </c>
      <c r="BK165" t="s">
        <v>101</v>
      </c>
      <c r="BL165" t="s">
        <v>2170</v>
      </c>
      <c r="BM165" t="s">
        <v>3535</v>
      </c>
      <c r="BN165" t="s">
        <v>74</v>
      </c>
      <c r="BO165" t="s">
        <v>74</v>
      </c>
      <c r="BP165" t="s">
        <v>74</v>
      </c>
      <c r="BQ165" t="s">
        <v>74</v>
      </c>
      <c r="BR165" t="s">
        <v>105</v>
      </c>
      <c r="BS165" t="s">
        <v>3536</v>
      </c>
      <c r="BT165" t="str">
        <f>HYPERLINK("https%3A%2F%2Fwww.webofscience.com%2Fwos%2Fwoscc%2Ffull-record%2FWOS:000425960700012","View Full Record in Web of Science")</f>
        <v>View Full Record in Web of Science</v>
      </c>
    </row>
    <row r="166" spans="1:72" x14ac:dyDescent="0.15">
      <c r="A166" t="s">
        <v>72</v>
      </c>
      <c r="B166" t="s">
        <v>3537</v>
      </c>
      <c r="C166" t="s">
        <v>74</v>
      </c>
      <c r="D166" t="s">
        <v>74</v>
      </c>
      <c r="E166" t="s">
        <v>74</v>
      </c>
      <c r="F166" t="s">
        <v>3538</v>
      </c>
      <c r="G166" t="s">
        <v>74</v>
      </c>
      <c r="H166" t="s">
        <v>74</v>
      </c>
      <c r="I166" t="s">
        <v>3539</v>
      </c>
      <c r="J166" t="s">
        <v>3540</v>
      </c>
      <c r="K166" t="s">
        <v>74</v>
      </c>
      <c r="L166" t="s">
        <v>74</v>
      </c>
      <c r="M166" t="s">
        <v>78</v>
      </c>
      <c r="N166" t="s">
        <v>79</v>
      </c>
      <c r="O166" t="s">
        <v>74</v>
      </c>
      <c r="P166" t="s">
        <v>74</v>
      </c>
      <c r="Q166" t="s">
        <v>74</v>
      </c>
      <c r="R166" t="s">
        <v>74</v>
      </c>
      <c r="S166" t="s">
        <v>74</v>
      </c>
      <c r="T166" t="s">
        <v>3541</v>
      </c>
      <c r="U166" t="s">
        <v>3542</v>
      </c>
      <c r="V166" t="s">
        <v>3543</v>
      </c>
      <c r="W166" t="s">
        <v>3544</v>
      </c>
      <c r="X166" t="s">
        <v>3545</v>
      </c>
      <c r="Y166" t="s">
        <v>3546</v>
      </c>
      <c r="Z166" t="s">
        <v>3547</v>
      </c>
      <c r="AA166" t="s">
        <v>3548</v>
      </c>
      <c r="AB166" t="s">
        <v>3549</v>
      </c>
      <c r="AC166" t="s">
        <v>3550</v>
      </c>
      <c r="AD166" t="s">
        <v>3551</v>
      </c>
      <c r="AE166" t="s">
        <v>3552</v>
      </c>
      <c r="AF166" t="s">
        <v>74</v>
      </c>
      <c r="AG166">
        <v>69</v>
      </c>
      <c r="AH166">
        <v>19</v>
      </c>
      <c r="AI166">
        <v>19</v>
      </c>
      <c r="AJ166">
        <v>2</v>
      </c>
      <c r="AK166">
        <v>24</v>
      </c>
      <c r="AL166" t="s">
        <v>208</v>
      </c>
      <c r="AM166" t="s">
        <v>209</v>
      </c>
      <c r="AN166" t="s">
        <v>2659</v>
      </c>
      <c r="AO166" t="s">
        <v>3553</v>
      </c>
      <c r="AP166" t="s">
        <v>3554</v>
      </c>
      <c r="AQ166" t="s">
        <v>74</v>
      </c>
      <c r="AR166" t="s">
        <v>3555</v>
      </c>
      <c r="AS166" t="s">
        <v>3556</v>
      </c>
      <c r="AT166" t="s">
        <v>1237</v>
      </c>
      <c r="AU166">
        <v>2017</v>
      </c>
      <c r="AV166">
        <v>74</v>
      </c>
      <c r="AW166">
        <v>3</v>
      </c>
      <c r="AX166" t="s">
        <v>74</v>
      </c>
      <c r="AY166" t="s">
        <v>74</v>
      </c>
      <c r="AZ166" t="s">
        <v>74</v>
      </c>
      <c r="BA166" t="s">
        <v>74</v>
      </c>
      <c r="BB166">
        <v>561</v>
      </c>
      <c r="BC166">
        <v>569</v>
      </c>
      <c r="BD166" t="s">
        <v>74</v>
      </c>
      <c r="BE166" t="s">
        <v>3557</v>
      </c>
      <c r="BF166" t="str">
        <f>HYPERLINK("http://dx.doi.org/10.1007/s00248-017-0969-z","http://dx.doi.org/10.1007/s00248-017-0969-z")</f>
        <v>http://dx.doi.org/10.1007/s00248-017-0969-z</v>
      </c>
      <c r="BG166" t="s">
        <v>74</v>
      </c>
      <c r="BH166" t="s">
        <v>74</v>
      </c>
      <c r="BI166">
        <v>9</v>
      </c>
      <c r="BJ166" t="s">
        <v>3558</v>
      </c>
      <c r="BK166" t="s">
        <v>101</v>
      </c>
      <c r="BL166" t="s">
        <v>3559</v>
      </c>
      <c r="BM166" t="s">
        <v>3560</v>
      </c>
      <c r="BN166">
        <v>28349162</v>
      </c>
      <c r="BO166" t="s">
        <v>74</v>
      </c>
      <c r="BP166" t="s">
        <v>74</v>
      </c>
      <c r="BQ166" t="s">
        <v>74</v>
      </c>
      <c r="BR166" t="s">
        <v>105</v>
      </c>
      <c r="BS166" t="s">
        <v>3561</v>
      </c>
      <c r="BT166" t="str">
        <f>HYPERLINK("https%3A%2F%2Fwww.webofscience.com%2Fwos%2Fwoscc%2Ffull-record%2FWOS:000408969500006","View Full Record in Web of Science")</f>
        <v>View Full Record in Web of Science</v>
      </c>
    </row>
    <row r="167" spans="1:72" x14ac:dyDescent="0.15">
      <c r="A167" t="s">
        <v>72</v>
      </c>
      <c r="B167" t="s">
        <v>3562</v>
      </c>
      <c r="C167" t="s">
        <v>74</v>
      </c>
      <c r="D167" t="s">
        <v>74</v>
      </c>
      <c r="E167" t="s">
        <v>74</v>
      </c>
      <c r="F167" t="s">
        <v>3563</v>
      </c>
      <c r="G167" t="s">
        <v>74</v>
      </c>
      <c r="H167" t="s">
        <v>74</v>
      </c>
      <c r="I167" t="s">
        <v>3564</v>
      </c>
      <c r="J167" t="s">
        <v>3565</v>
      </c>
      <c r="K167" t="s">
        <v>74</v>
      </c>
      <c r="L167" t="s">
        <v>74</v>
      </c>
      <c r="M167" t="s">
        <v>78</v>
      </c>
      <c r="N167" t="s">
        <v>273</v>
      </c>
      <c r="O167" t="s">
        <v>74</v>
      </c>
      <c r="P167" t="s">
        <v>74</v>
      </c>
      <c r="Q167" t="s">
        <v>74</v>
      </c>
      <c r="R167" t="s">
        <v>74</v>
      </c>
      <c r="S167" t="s">
        <v>74</v>
      </c>
      <c r="T167" t="s">
        <v>3566</v>
      </c>
      <c r="U167" t="s">
        <v>3567</v>
      </c>
      <c r="V167" t="s">
        <v>3568</v>
      </c>
      <c r="W167" t="s">
        <v>3569</v>
      </c>
      <c r="X167" t="s">
        <v>3570</v>
      </c>
      <c r="Y167" t="s">
        <v>3571</v>
      </c>
      <c r="Z167" t="s">
        <v>3572</v>
      </c>
      <c r="AA167" t="s">
        <v>3573</v>
      </c>
      <c r="AB167" t="s">
        <v>74</v>
      </c>
      <c r="AC167" t="s">
        <v>3574</v>
      </c>
      <c r="AD167" t="s">
        <v>3575</v>
      </c>
      <c r="AE167" t="s">
        <v>3576</v>
      </c>
      <c r="AF167" t="s">
        <v>74</v>
      </c>
      <c r="AG167">
        <v>57</v>
      </c>
      <c r="AH167">
        <v>10</v>
      </c>
      <c r="AI167">
        <v>11</v>
      </c>
      <c r="AJ167">
        <v>3</v>
      </c>
      <c r="AK167">
        <v>62</v>
      </c>
      <c r="AL167" t="s">
        <v>3577</v>
      </c>
      <c r="AM167" t="s">
        <v>209</v>
      </c>
      <c r="AN167" t="s">
        <v>3578</v>
      </c>
      <c r="AO167" t="s">
        <v>3579</v>
      </c>
      <c r="AP167" t="s">
        <v>3580</v>
      </c>
      <c r="AQ167" t="s">
        <v>74</v>
      </c>
      <c r="AR167" t="s">
        <v>3581</v>
      </c>
      <c r="AS167" t="s">
        <v>3582</v>
      </c>
      <c r="AT167" t="s">
        <v>1237</v>
      </c>
      <c r="AU167">
        <v>2017</v>
      </c>
      <c r="AV167">
        <v>32</v>
      </c>
      <c r="AW167">
        <v>4</v>
      </c>
      <c r="AX167" t="s">
        <v>74</v>
      </c>
      <c r="AY167" t="s">
        <v>74</v>
      </c>
      <c r="AZ167" t="s">
        <v>74</v>
      </c>
      <c r="BA167" t="s">
        <v>74</v>
      </c>
      <c r="BB167">
        <v>169</v>
      </c>
      <c r="BC167">
        <v>179</v>
      </c>
      <c r="BD167" t="s">
        <v>74</v>
      </c>
      <c r="BE167" t="s">
        <v>3583</v>
      </c>
      <c r="BF167" t="str">
        <f>HYPERLINK("http://dx.doi.org/10.3103/S0891416817040048","http://dx.doi.org/10.3103/S0891416817040048")</f>
        <v>http://dx.doi.org/10.3103/S0891416817040048</v>
      </c>
      <c r="BG167" t="s">
        <v>74</v>
      </c>
      <c r="BH167" t="s">
        <v>74</v>
      </c>
      <c r="BI167">
        <v>11</v>
      </c>
      <c r="BJ167" t="s">
        <v>3584</v>
      </c>
      <c r="BK167" t="s">
        <v>101</v>
      </c>
      <c r="BL167" t="s">
        <v>3584</v>
      </c>
      <c r="BM167" t="s">
        <v>3585</v>
      </c>
      <c r="BN167" t="s">
        <v>74</v>
      </c>
      <c r="BO167" t="s">
        <v>74</v>
      </c>
      <c r="BP167" t="s">
        <v>74</v>
      </c>
      <c r="BQ167" t="s">
        <v>74</v>
      </c>
      <c r="BR167" t="s">
        <v>105</v>
      </c>
      <c r="BS167" t="s">
        <v>3586</v>
      </c>
      <c r="BT167" t="str">
        <f>HYPERLINK("https%3A%2F%2Fwww.webofscience.com%2Fwos%2Fwoscc%2Ffull-record%2FWOS:000433569900001","View Full Record in Web of Science")</f>
        <v>View Full Record in Web of Science</v>
      </c>
    </row>
    <row r="168" spans="1:72" x14ac:dyDescent="0.15">
      <c r="A168" t="s">
        <v>72</v>
      </c>
      <c r="B168" t="s">
        <v>3587</v>
      </c>
      <c r="C168" t="s">
        <v>74</v>
      </c>
      <c r="D168" t="s">
        <v>74</v>
      </c>
      <c r="E168" t="s">
        <v>74</v>
      </c>
      <c r="F168" t="s">
        <v>3588</v>
      </c>
      <c r="G168" t="s">
        <v>74</v>
      </c>
      <c r="H168" t="s">
        <v>74</v>
      </c>
      <c r="I168" t="s">
        <v>3589</v>
      </c>
      <c r="J168" t="s">
        <v>3590</v>
      </c>
      <c r="K168" t="s">
        <v>74</v>
      </c>
      <c r="L168" t="s">
        <v>74</v>
      </c>
      <c r="M168" t="s">
        <v>78</v>
      </c>
      <c r="N168" t="s">
        <v>79</v>
      </c>
      <c r="O168" t="s">
        <v>74</v>
      </c>
      <c r="P168" t="s">
        <v>74</v>
      </c>
      <c r="Q168" t="s">
        <v>74</v>
      </c>
      <c r="R168" t="s">
        <v>74</v>
      </c>
      <c r="S168" t="s">
        <v>74</v>
      </c>
      <c r="T168" t="s">
        <v>3591</v>
      </c>
      <c r="U168" t="s">
        <v>3592</v>
      </c>
      <c r="V168" t="s">
        <v>3593</v>
      </c>
      <c r="W168" t="s">
        <v>3594</v>
      </c>
      <c r="X168" t="s">
        <v>3595</v>
      </c>
      <c r="Y168" t="s">
        <v>3596</v>
      </c>
      <c r="Z168" t="s">
        <v>3597</v>
      </c>
      <c r="AA168" t="s">
        <v>3598</v>
      </c>
      <c r="AB168" t="s">
        <v>3599</v>
      </c>
      <c r="AC168" t="s">
        <v>3600</v>
      </c>
      <c r="AD168" t="s">
        <v>3601</v>
      </c>
      <c r="AE168" t="s">
        <v>3602</v>
      </c>
      <c r="AF168" t="s">
        <v>74</v>
      </c>
      <c r="AG168">
        <v>25</v>
      </c>
      <c r="AH168">
        <v>8</v>
      </c>
      <c r="AI168">
        <v>8</v>
      </c>
      <c r="AJ168">
        <v>4</v>
      </c>
      <c r="AK168">
        <v>39</v>
      </c>
      <c r="AL168" t="s">
        <v>208</v>
      </c>
      <c r="AM168" t="s">
        <v>209</v>
      </c>
      <c r="AN168" t="s">
        <v>210</v>
      </c>
      <c r="AO168" t="s">
        <v>3603</v>
      </c>
      <c r="AP168" t="s">
        <v>3604</v>
      </c>
      <c r="AQ168" t="s">
        <v>74</v>
      </c>
      <c r="AR168" t="s">
        <v>3590</v>
      </c>
      <c r="AS168" t="s">
        <v>3605</v>
      </c>
      <c r="AT168" t="s">
        <v>1237</v>
      </c>
      <c r="AU168">
        <v>2017</v>
      </c>
      <c r="AV168">
        <v>27</v>
      </c>
      <c r="AW168">
        <v>7</v>
      </c>
      <c r="AX168" t="s">
        <v>74</v>
      </c>
      <c r="AY168" t="s">
        <v>74</v>
      </c>
      <c r="AZ168" t="s">
        <v>74</v>
      </c>
      <c r="BA168" t="s">
        <v>74</v>
      </c>
      <c r="BB168">
        <v>725</v>
      </c>
      <c r="BC168">
        <v>731</v>
      </c>
      <c r="BD168" t="s">
        <v>74</v>
      </c>
      <c r="BE168" t="s">
        <v>3606</v>
      </c>
      <c r="BF168" t="str">
        <f>HYPERLINK("http://dx.doi.org/10.1007/s00572-017-0785-9","http://dx.doi.org/10.1007/s00572-017-0785-9")</f>
        <v>http://dx.doi.org/10.1007/s00572-017-0785-9</v>
      </c>
      <c r="BG168" t="s">
        <v>74</v>
      </c>
      <c r="BH168" t="s">
        <v>74</v>
      </c>
      <c r="BI168">
        <v>7</v>
      </c>
      <c r="BJ168" t="s">
        <v>3607</v>
      </c>
      <c r="BK168" t="s">
        <v>101</v>
      </c>
      <c r="BL168" t="s">
        <v>3607</v>
      </c>
      <c r="BM168" t="s">
        <v>3608</v>
      </c>
      <c r="BN168">
        <v>28695334</v>
      </c>
      <c r="BO168" t="s">
        <v>1240</v>
      </c>
      <c r="BP168" t="s">
        <v>74</v>
      </c>
      <c r="BQ168" t="s">
        <v>74</v>
      </c>
      <c r="BR168" t="s">
        <v>105</v>
      </c>
      <c r="BS168" t="s">
        <v>3609</v>
      </c>
      <c r="BT168" t="str">
        <f>HYPERLINK("https%3A%2F%2Fwww.webofscience.com%2Fwos%2Fwoscc%2Ffull-record%2FWOS:000409922700009","View Full Record in Web of Science")</f>
        <v>View Full Record in Web of Science</v>
      </c>
    </row>
    <row r="169" spans="1:72" x14ac:dyDescent="0.15">
      <c r="A169" t="s">
        <v>72</v>
      </c>
      <c r="B169" t="s">
        <v>3610</v>
      </c>
      <c r="C169" t="s">
        <v>74</v>
      </c>
      <c r="D169" t="s">
        <v>74</v>
      </c>
      <c r="E169" t="s">
        <v>74</v>
      </c>
      <c r="F169" t="s">
        <v>3611</v>
      </c>
      <c r="G169" t="s">
        <v>74</v>
      </c>
      <c r="H169" t="s">
        <v>74</v>
      </c>
      <c r="I169" t="s">
        <v>3612</v>
      </c>
      <c r="J169" t="s">
        <v>3613</v>
      </c>
      <c r="K169" t="s">
        <v>74</v>
      </c>
      <c r="L169" t="s">
        <v>74</v>
      </c>
      <c r="M169" t="s">
        <v>78</v>
      </c>
      <c r="N169" t="s">
        <v>79</v>
      </c>
      <c r="O169" t="s">
        <v>74</v>
      </c>
      <c r="P169" t="s">
        <v>74</v>
      </c>
      <c r="Q169" t="s">
        <v>74</v>
      </c>
      <c r="R169" t="s">
        <v>74</v>
      </c>
      <c r="S169" t="s">
        <v>74</v>
      </c>
      <c r="T169" t="s">
        <v>74</v>
      </c>
      <c r="U169" t="s">
        <v>3614</v>
      </c>
      <c r="V169" t="s">
        <v>3615</v>
      </c>
      <c r="W169" t="s">
        <v>3616</v>
      </c>
      <c r="X169" t="s">
        <v>3617</v>
      </c>
      <c r="Y169" t="s">
        <v>3618</v>
      </c>
      <c r="Z169" t="s">
        <v>3619</v>
      </c>
      <c r="AA169" t="s">
        <v>3620</v>
      </c>
      <c r="AB169" t="s">
        <v>3621</v>
      </c>
      <c r="AC169" t="s">
        <v>3622</v>
      </c>
      <c r="AD169" t="s">
        <v>3623</v>
      </c>
      <c r="AE169" t="s">
        <v>3624</v>
      </c>
      <c r="AF169" t="s">
        <v>74</v>
      </c>
      <c r="AG169">
        <v>40</v>
      </c>
      <c r="AH169">
        <v>58</v>
      </c>
      <c r="AI169">
        <v>63</v>
      </c>
      <c r="AJ169">
        <v>3</v>
      </c>
      <c r="AK169">
        <v>70</v>
      </c>
      <c r="AL169" t="s">
        <v>650</v>
      </c>
      <c r="AM169" t="s">
        <v>651</v>
      </c>
      <c r="AN169" t="s">
        <v>652</v>
      </c>
      <c r="AO169" t="s">
        <v>3625</v>
      </c>
      <c r="AP169" t="s">
        <v>3626</v>
      </c>
      <c r="AQ169" t="s">
        <v>74</v>
      </c>
      <c r="AR169" t="s">
        <v>3627</v>
      </c>
      <c r="AS169" t="s">
        <v>3628</v>
      </c>
      <c r="AT169" t="s">
        <v>1237</v>
      </c>
      <c r="AU169">
        <v>2017</v>
      </c>
      <c r="AV169">
        <v>7</v>
      </c>
      <c r="AW169">
        <v>10</v>
      </c>
      <c r="AX169" t="s">
        <v>74</v>
      </c>
      <c r="AY169" t="s">
        <v>74</v>
      </c>
      <c r="AZ169" t="s">
        <v>74</v>
      </c>
      <c r="BA169" t="s">
        <v>74</v>
      </c>
      <c r="BB169">
        <v>749</v>
      </c>
      <c r="BC169" t="s">
        <v>188</v>
      </c>
      <c r="BD169" t="s">
        <v>74</v>
      </c>
      <c r="BE169" t="s">
        <v>3629</v>
      </c>
      <c r="BF169" t="str">
        <f>HYPERLINK("http://dx.doi.org/10.1038/NCLIMATE3377","http://dx.doi.org/10.1038/NCLIMATE3377")</f>
        <v>http://dx.doi.org/10.1038/NCLIMATE3377</v>
      </c>
      <c r="BG169" t="s">
        <v>74</v>
      </c>
      <c r="BH169" t="s">
        <v>74</v>
      </c>
      <c r="BI169">
        <v>7</v>
      </c>
      <c r="BJ169" t="s">
        <v>3630</v>
      </c>
      <c r="BK169" t="s">
        <v>765</v>
      </c>
      <c r="BL169" t="s">
        <v>835</v>
      </c>
      <c r="BM169" t="s">
        <v>3631</v>
      </c>
      <c r="BN169" t="s">
        <v>74</v>
      </c>
      <c r="BO169" t="s">
        <v>1240</v>
      </c>
      <c r="BP169" t="s">
        <v>74</v>
      </c>
      <c r="BQ169" t="s">
        <v>74</v>
      </c>
      <c r="BR169" t="s">
        <v>105</v>
      </c>
      <c r="BS169" t="s">
        <v>3632</v>
      </c>
      <c r="BT169" t="str">
        <f>HYPERLINK("https%3A%2F%2Fwww.webofscience.com%2Fwos%2Fwoscc%2Ffull-record%2FWOS:000412007700023","View Full Record in Web of Science")</f>
        <v>View Full Record in Web of Science</v>
      </c>
    </row>
    <row r="170" spans="1:72" x14ac:dyDescent="0.15">
      <c r="A170" t="s">
        <v>72</v>
      </c>
      <c r="B170" t="s">
        <v>3633</v>
      </c>
      <c r="C170" t="s">
        <v>74</v>
      </c>
      <c r="D170" t="s">
        <v>74</v>
      </c>
      <c r="E170" t="s">
        <v>74</v>
      </c>
      <c r="F170" t="s">
        <v>3634</v>
      </c>
      <c r="G170" t="s">
        <v>74</v>
      </c>
      <c r="H170" t="s">
        <v>74</v>
      </c>
      <c r="I170" t="s">
        <v>3635</v>
      </c>
      <c r="J170" t="s">
        <v>1602</v>
      </c>
      <c r="K170" t="s">
        <v>74</v>
      </c>
      <c r="L170" t="s">
        <v>74</v>
      </c>
      <c r="M170" t="s">
        <v>78</v>
      </c>
      <c r="N170" t="s">
        <v>79</v>
      </c>
      <c r="O170" t="s">
        <v>74</v>
      </c>
      <c r="P170" t="s">
        <v>74</v>
      </c>
      <c r="Q170" t="s">
        <v>74</v>
      </c>
      <c r="R170" t="s">
        <v>74</v>
      </c>
      <c r="S170" t="s">
        <v>74</v>
      </c>
      <c r="T170" t="s">
        <v>3636</v>
      </c>
      <c r="U170" t="s">
        <v>3637</v>
      </c>
      <c r="V170" t="s">
        <v>3638</v>
      </c>
      <c r="W170" t="s">
        <v>3639</v>
      </c>
      <c r="X170" t="s">
        <v>3640</v>
      </c>
      <c r="Y170" t="s">
        <v>3641</v>
      </c>
      <c r="Z170" t="s">
        <v>3642</v>
      </c>
      <c r="AA170" t="s">
        <v>3643</v>
      </c>
      <c r="AB170" t="s">
        <v>3644</v>
      </c>
      <c r="AC170" t="s">
        <v>3645</v>
      </c>
      <c r="AD170" t="s">
        <v>3646</v>
      </c>
      <c r="AE170" t="s">
        <v>3647</v>
      </c>
      <c r="AF170" t="s">
        <v>74</v>
      </c>
      <c r="AG170">
        <v>74</v>
      </c>
      <c r="AH170">
        <v>22</v>
      </c>
      <c r="AI170">
        <v>23</v>
      </c>
      <c r="AJ170">
        <v>1</v>
      </c>
      <c r="AK170">
        <v>27</v>
      </c>
      <c r="AL170" t="s">
        <v>91</v>
      </c>
      <c r="AM170" t="s">
        <v>92</v>
      </c>
      <c r="AN170" t="s">
        <v>93</v>
      </c>
      <c r="AO170" t="s">
        <v>1615</v>
      </c>
      <c r="AP170" t="s">
        <v>1616</v>
      </c>
      <c r="AQ170" t="s">
        <v>74</v>
      </c>
      <c r="AR170" t="s">
        <v>1602</v>
      </c>
      <c r="AS170" t="s">
        <v>1617</v>
      </c>
      <c r="AT170" t="s">
        <v>1237</v>
      </c>
      <c r="AU170">
        <v>2017</v>
      </c>
      <c r="AV170">
        <v>32</v>
      </c>
      <c r="AW170">
        <v>10</v>
      </c>
      <c r="AX170" t="s">
        <v>74</v>
      </c>
      <c r="AY170" t="s">
        <v>74</v>
      </c>
      <c r="AZ170" t="s">
        <v>74</v>
      </c>
      <c r="BA170" t="s">
        <v>74</v>
      </c>
      <c r="BB170">
        <v>1036</v>
      </c>
      <c r="BC170">
        <v>1053</v>
      </c>
      <c r="BD170" t="s">
        <v>74</v>
      </c>
      <c r="BE170" t="s">
        <v>3648</v>
      </c>
      <c r="BF170" t="str">
        <f>HYPERLINK("http://dx.doi.org/10.1002/2017PA003092","http://dx.doi.org/10.1002/2017PA003092")</f>
        <v>http://dx.doi.org/10.1002/2017PA003092</v>
      </c>
      <c r="BG170" t="s">
        <v>74</v>
      </c>
      <c r="BH170" t="s">
        <v>74</v>
      </c>
      <c r="BI170">
        <v>18</v>
      </c>
      <c r="BJ170" t="s">
        <v>1619</v>
      </c>
      <c r="BK170" t="s">
        <v>101</v>
      </c>
      <c r="BL170" t="s">
        <v>1620</v>
      </c>
      <c r="BM170" t="s">
        <v>1621</v>
      </c>
      <c r="BN170" t="s">
        <v>74</v>
      </c>
      <c r="BO170" t="s">
        <v>3649</v>
      </c>
      <c r="BP170" t="s">
        <v>74</v>
      </c>
      <c r="BQ170" t="s">
        <v>74</v>
      </c>
      <c r="BR170" t="s">
        <v>105</v>
      </c>
      <c r="BS170" t="s">
        <v>3650</v>
      </c>
      <c r="BT170" t="str">
        <f>HYPERLINK("https%3A%2F%2Fwww.webofscience.com%2Fwos%2Fwoscc%2Ffull-record%2FWOS:000414911700003","View Full Record in Web of Science")</f>
        <v>View Full Record in Web of Science</v>
      </c>
    </row>
    <row r="171" spans="1:72" x14ac:dyDescent="0.15">
      <c r="A171" t="s">
        <v>72</v>
      </c>
      <c r="B171" t="s">
        <v>3651</v>
      </c>
      <c r="C171" t="s">
        <v>74</v>
      </c>
      <c r="D171" t="s">
        <v>74</v>
      </c>
      <c r="E171" t="s">
        <v>74</v>
      </c>
      <c r="F171" t="s">
        <v>3652</v>
      </c>
      <c r="G171" t="s">
        <v>74</v>
      </c>
      <c r="H171" t="s">
        <v>74</v>
      </c>
      <c r="I171" t="s">
        <v>3653</v>
      </c>
      <c r="J171" t="s">
        <v>2576</v>
      </c>
      <c r="K171" t="s">
        <v>74</v>
      </c>
      <c r="L171" t="s">
        <v>74</v>
      </c>
      <c r="M171" t="s">
        <v>78</v>
      </c>
      <c r="N171" t="s">
        <v>79</v>
      </c>
      <c r="O171" t="s">
        <v>74</v>
      </c>
      <c r="P171" t="s">
        <v>74</v>
      </c>
      <c r="Q171" t="s">
        <v>74</v>
      </c>
      <c r="R171" t="s">
        <v>74</v>
      </c>
      <c r="S171" t="s">
        <v>74</v>
      </c>
      <c r="T171" t="s">
        <v>3654</v>
      </c>
      <c r="U171" t="s">
        <v>3655</v>
      </c>
      <c r="V171" t="s">
        <v>3656</v>
      </c>
      <c r="W171" t="s">
        <v>3657</v>
      </c>
      <c r="X171" t="s">
        <v>3658</v>
      </c>
      <c r="Y171" t="s">
        <v>3659</v>
      </c>
      <c r="Z171" t="s">
        <v>3660</v>
      </c>
      <c r="AA171" t="s">
        <v>3661</v>
      </c>
      <c r="AB171" t="s">
        <v>3662</v>
      </c>
      <c r="AC171" t="s">
        <v>3663</v>
      </c>
      <c r="AD171" t="s">
        <v>3664</v>
      </c>
      <c r="AE171" t="s">
        <v>3665</v>
      </c>
      <c r="AF171" t="s">
        <v>74</v>
      </c>
      <c r="AG171">
        <v>66</v>
      </c>
      <c r="AH171">
        <v>3</v>
      </c>
      <c r="AI171">
        <v>3</v>
      </c>
      <c r="AJ171">
        <v>1</v>
      </c>
      <c r="AK171">
        <v>19</v>
      </c>
      <c r="AL171" t="s">
        <v>208</v>
      </c>
      <c r="AM171" t="s">
        <v>209</v>
      </c>
      <c r="AN171" t="s">
        <v>2659</v>
      </c>
      <c r="AO171" t="s">
        <v>2587</v>
      </c>
      <c r="AP171" t="s">
        <v>2588</v>
      </c>
      <c r="AQ171" t="s">
        <v>74</v>
      </c>
      <c r="AR171" t="s">
        <v>2589</v>
      </c>
      <c r="AS171" t="s">
        <v>2590</v>
      </c>
      <c r="AT171" t="s">
        <v>1237</v>
      </c>
      <c r="AU171">
        <v>2017</v>
      </c>
      <c r="AV171">
        <v>40</v>
      </c>
      <c r="AW171">
        <v>10</v>
      </c>
      <c r="AX171" t="s">
        <v>74</v>
      </c>
      <c r="AY171" t="s">
        <v>74</v>
      </c>
      <c r="AZ171" t="s">
        <v>74</v>
      </c>
      <c r="BA171" t="s">
        <v>74</v>
      </c>
      <c r="BB171">
        <v>2015</v>
      </c>
      <c r="BC171">
        <v>2025</v>
      </c>
      <c r="BD171" t="s">
        <v>74</v>
      </c>
      <c r="BE171" t="s">
        <v>3666</v>
      </c>
      <c r="BF171" t="str">
        <f>HYPERLINK("http://dx.doi.org/10.1007/s00300-017-2120-5","http://dx.doi.org/10.1007/s00300-017-2120-5")</f>
        <v>http://dx.doi.org/10.1007/s00300-017-2120-5</v>
      </c>
      <c r="BG171" t="s">
        <v>74</v>
      </c>
      <c r="BH171" t="s">
        <v>74</v>
      </c>
      <c r="BI171">
        <v>11</v>
      </c>
      <c r="BJ171" t="s">
        <v>2592</v>
      </c>
      <c r="BK171" t="s">
        <v>101</v>
      </c>
      <c r="BL171" t="s">
        <v>2593</v>
      </c>
      <c r="BM171" t="s">
        <v>2594</v>
      </c>
      <c r="BN171" t="s">
        <v>74</v>
      </c>
      <c r="BO171" t="s">
        <v>74</v>
      </c>
      <c r="BP171" t="s">
        <v>74</v>
      </c>
      <c r="BQ171" t="s">
        <v>74</v>
      </c>
      <c r="BR171" t="s">
        <v>105</v>
      </c>
      <c r="BS171" t="s">
        <v>3667</v>
      </c>
      <c r="BT171" t="str">
        <f>HYPERLINK("https%3A%2F%2Fwww.webofscience.com%2Fwos%2Fwoscc%2Ffull-record%2FWOS:000411873100008","View Full Record in Web of Science")</f>
        <v>View Full Record in Web of Science</v>
      </c>
    </row>
    <row r="172" spans="1:72" x14ac:dyDescent="0.15">
      <c r="A172" t="s">
        <v>72</v>
      </c>
      <c r="B172" t="s">
        <v>3668</v>
      </c>
      <c r="C172" t="s">
        <v>74</v>
      </c>
      <c r="D172" t="s">
        <v>74</v>
      </c>
      <c r="E172" t="s">
        <v>74</v>
      </c>
      <c r="F172" t="s">
        <v>3669</v>
      </c>
      <c r="G172" t="s">
        <v>74</v>
      </c>
      <c r="H172" t="s">
        <v>74</v>
      </c>
      <c r="I172" t="s">
        <v>3670</v>
      </c>
      <c r="J172" t="s">
        <v>2576</v>
      </c>
      <c r="K172" t="s">
        <v>74</v>
      </c>
      <c r="L172" t="s">
        <v>74</v>
      </c>
      <c r="M172" t="s">
        <v>78</v>
      </c>
      <c r="N172" t="s">
        <v>79</v>
      </c>
      <c r="O172" t="s">
        <v>74</v>
      </c>
      <c r="P172" t="s">
        <v>74</v>
      </c>
      <c r="Q172" t="s">
        <v>74</v>
      </c>
      <c r="R172" t="s">
        <v>74</v>
      </c>
      <c r="S172" t="s">
        <v>74</v>
      </c>
      <c r="T172" t="s">
        <v>3671</v>
      </c>
      <c r="U172" t="s">
        <v>3672</v>
      </c>
      <c r="V172" t="s">
        <v>3673</v>
      </c>
      <c r="W172" t="s">
        <v>3674</v>
      </c>
      <c r="X172" t="s">
        <v>3675</v>
      </c>
      <c r="Y172" t="s">
        <v>3676</v>
      </c>
      <c r="Z172" t="s">
        <v>3677</v>
      </c>
      <c r="AA172" t="s">
        <v>3678</v>
      </c>
      <c r="AB172" t="s">
        <v>3679</v>
      </c>
      <c r="AC172" t="s">
        <v>3680</v>
      </c>
      <c r="AD172" t="s">
        <v>3681</v>
      </c>
      <c r="AE172" t="s">
        <v>3682</v>
      </c>
      <c r="AF172" t="s">
        <v>74</v>
      </c>
      <c r="AG172">
        <v>112</v>
      </c>
      <c r="AH172">
        <v>41</v>
      </c>
      <c r="AI172">
        <v>44</v>
      </c>
      <c r="AJ172">
        <v>0</v>
      </c>
      <c r="AK172">
        <v>13</v>
      </c>
      <c r="AL172" t="s">
        <v>208</v>
      </c>
      <c r="AM172" t="s">
        <v>209</v>
      </c>
      <c r="AN172" t="s">
        <v>210</v>
      </c>
      <c r="AO172" t="s">
        <v>2587</v>
      </c>
      <c r="AP172" t="s">
        <v>2588</v>
      </c>
      <c r="AQ172" t="s">
        <v>74</v>
      </c>
      <c r="AR172" t="s">
        <v>2589</v>
      </c>
      <c r="AS172" t="s">
        <v>2590</v>
      </c>
      <c r="AT172" t="s">
        <v>1237</v>
      </c>
      <c r="AU172">
        <v>2017</v>
      </c>
      <c r="AV172">
        <v>40</v>
      </c>
      <c r="AW172">
        <v>10</v>
      </c>
      <c r="AX172" t="s">
        <v>74</v>
      </c>
      <c r="AY172" t="s">
        <v>74</v>
      </c>
      <c r="AZ172" t="s">
        <v>74</v>
      </c>
      <c r="BA172" t="s">
        <v>74</v>
      </c>
      <c r="BB172">
        <v>2077</v>
      </c>
      <c r="BC172">
        <v>2095</v>
      </c>
      <c r="BD172" t="s">
        <v>74</v>
      </c>
      <c r="BE172" t="s">
        <v>3683</v>
      </c>
      <c r="BF172" t="str">
        <f>HYPERLINK("http://dx.doi.org/10.1007/s00300-017-2128-x","http://dx.doi.org/10.1007/s00300-017-2128-x")</f>
        <v>http://dx.doi.org/10.1007/s00300-017-2128-x</v>
      </c>
      <c r="BG172" t="s">
        <v>74</v>
      </c>
      <c r="BH172" t="s">
        <v>74</v>
      </c>
      <c r="BI172">
        <v>19</v>
      </c>
      <c r="BJ172" t="s">
        <v>2592</v>
      </c>
      <c r="BK172" t="s">
        <v>101</v>
      </c>
      <c r="BL172" t="s">
        <v>2593</v>
      </c>
      <c r="BM172" t="s">
        <v>2594</v>
      </c>
      <c r="BN172" t="s">
        <v>74</v>
      </c>
      <c r="BO172" t="s">
        <v>74</v>
      </c>
      <c r="BP172" t="s">
        <v>74</v>
      </c>
      <c r="BQ172" t="s">
        <v>74</v>
      </c>
      <c r="BR172" t="s">
        <v>105</v>
      </c>
      <c r="BS172" t="s">
        <v>3684</v>
      </c>
      <c r="BT172" t="str">
        <f>HYPERLINK("https%3A%2F%2Fwww.webofscience.com%2Fwos%2Fwoscc%2Ffull-record%2FWOS:000411873100014","View Full Record in Web of Science")</f>
        <v>View Full Record in Web of Science</v>
      </c>
    </row>
    <row r="173" spans="1:72" x14ac:dyDescent="0.15">
      <c r="A173" t="s">
        <v>72</v>
      </c>
      <c r="B173" t="s">
        <v>3685</v>
      </c>
      <c r="C173" t="s">
        <v>74</v>
      </c>
      <c r="D173" t="s">
        <v>74</v>
      </c>
      <c r="E173" t="s">
        <v>74</v>
      </c>
      <c r="F173" t="s">
        <v>3686</v>
      </c>
      <c r="G173" t="s">
        <v>74</v>
      </c>
      <c r="H173" t="s">
        <v>74</v>
      </c>
      <c r="I173" t="s">
        <v>3687</v>
      </c>
      <c r="J173" t="s">
        <v>2576</v>
      </c>
      <c r="K173" t="s">
        <v>74</v>
      </c>
      <c r="L173" t="s">
        <v>74</v>
      </c>
      <c r="M173" t="s">
        <v>78</v>
      </c>
      <c r="N173" t="s">
        <v>79</v>
      </c>
      <c r="O173" t="s">
        <v>74</v>
      </c>
      <c r="P173" t="s">
        <v>74</v>
      </c>
      <c r="Q173" t="s">
        <v>74</v>
      </c>
      <c r="R173" t="s">
        <v>74</v>
      </c>
      <c r="S173" t="s">
        <v>74</v>
      </c>
      <c r="T173" t="s">
        <v>3688</v>
      </c>
      <c r="U173" t="s">
        <v>3689</v>
      </c>
      <c r="V173" t="s">
        <v>3690</v>
      </c>
      <c r="W173" t="s">
        <v>3691</v>
      </c>
      <c r="X173" t="s">
        <v>3692</v>
      </c>
      <c r="Y173" t="s">
        <v>3693</v>
      </c>
      <c r="Z173" t="s">
        <v>3694</v>
      </c>
      <c r="AA173" t="s">
        <v>74</v>
      </c>
      <c r="AB173" t="s">
        <v>3695</v>
      </c>
      <c r="AC173" t="s">
        <v>3696</v>
      </c>
      <c r="AD173" t="s">
        <v>3697</v>
      </c>
      <c r="AE173" t="s">
        <v>3698</v>
      </c>
      <c r="AF173" t="s">
        <v>74</v>
      </c>
      <c r="AG173">
        <v>19</v>
      </c>
      <c r="AH173">
        <v>3</v>
      </c>
      <c r="AI173">
        <v>3</v>
      </c>
      <c r="AJ173">
        <v>0</v>
      </c>
      <c r="AK173">
        <v>14</v>
      </c>
      <c r="AL173" t="s">
        <v>208</v>
      </c>
      <c r="AM173" t="s">
        <v>209</v>
      </c>
      <c r="AN173" t="s">
        <v>210</v>
      </c>
      <c r="AO173" t="s">
        <v>2587</v>
      </c>
      <c r="AP173" t="s">
        <v>2588</v>
      </c>
      <c r="AQ173" t="s">
        <v>74</v>
      </c>
      <c r="AR173" t="s">
        <v>2589</v>
      </c>
      <c r="AS173" t="s">
        <v>2590</v>
      </c>
      <c r="AT173" t="s">
        <v>1237</v>
      </c>
      <c r="AU173">
        <v>2017</v>
      </c>
      <c r="AV173">
        <v>40</v>
      </c>
      <c r="AW173">
        <v>10</v>
      </c>
      <c r="AX173" t="s">
        <v>74</v>
      </c>
      <c r="AY173" t="s">
        <v>74</v>
      </c>
      <c r="AZ173" t="s">
        <v>74</v>
      </c>
      <c r="BA173" t="s">
        <v>74</v>
      </c>
      <c r="BB173">
        <v>2133</v>
      </c>
      <c r="BC173">
        <v>2136</v>
      </c>
      <c r="BD173" t="s">
        <v>74</v>
      </c>
      <c r="BE173" t="s">
        <v>3699</v>
      </c>
      <c r="BF173" t="str">
        <f>HYPERLINK("http://dx.doi.org/10.1007/s00300-017-2124-1","http://dx.doi.org/10.1007/s00300-017-2124-1")</f>
        <v>http://dx.doi.org/10.1007/s00300-017-2124-1</v>
      </c>
      <c r="BG173" t="s">
        <v>74</v>
      </c>
      <c r="BH173" t="s">
        <v>74</v>
      </c>
      <c r="BI173">
        <v>4</v>
      </c>
      <c r="BJ173" t="s">
        <v>2592</v>
      </c>
      <c r="BK173" t="s">
        <v>101</v>
      </c>
      <c r="BL173" t="s">
        <v>2593</v>
      </c>
      <c r="BM173" t="s">
        <v>2594</v>
      </c>
      <c r="BN173" t="s">
        <v>74</v>
      </c>
      <c r="BO173" t="s">
        <v>74</v>
      </c>
      <c r="BP173" t="s">
        <v>74</v>
      </c>
      <c r="BQ173" t="s">
        <v>74</v>
      </c>
      <c r="BR173" t="s">
        <v>105</v>
      </c>
      <c r="BS173" t="s">
        <v>3700</v>
      </c>
      <c r="BT173" t="str">
        <f>HYPERLINK("https%3A%2F%2Fwww.webofscience.com%2Fwos%2Fwoscc%2Ffull-record%2FWOS:000411873100020","View Full Record in Web of Science")</f>
        <v>View Full Record in Web of Science</v>
      </c>
    </row>
    <row r="174" spans="1:72" x14ac:dyDescent="0.15">
      <c r="A174" t="s">
        <v>72</v>
      </c>
      <c r="B174" t="s">
        <v>3701</v>
      </c>
      <c r="C174" t="s">
        <v>74</v>
      </c>
      <c r="D174" t="s">
        <v>74</v>
      </c>
      <c r="E174" t="s">
        <v>74</v>
      </c>
      <c r="F174" t="s">
        <v>3702</v>
      </c>
      <c r="G174" t="s">
        <v>74</v>
      </c>
      <c r="H174" t="s">
        <v>74</v>
      </c>
      <c r="I174" t="s">
        <v>3703</v>
      </c>
      <c r="J174" t="s">
        <v>3704</v>
      </c>
      <c r="K174" t="s">
        <v>74</v>
      </c>
      <c r="L174" t="s">
        <v>74</v>
      </c>
      <c r="M174" t="s">
        <v>78</v>
      </c>
      <c r="N174" t="s">
        <v>79</v>
      </c>
      <c r="O174" t="s">
        <v>74</v>
      </c>
      <c r="P174" t="s">
        <v>74</v>
      </c>
      <c r="Q174" t="s">
        <v>74</v>
      </c>
      <c r="R174" t="s">
        <v>74</v>
      </c>
      <c r="S174" t="s">
        <v>74</v>
      </c>
      <c r="T174" t="s">
        <v>3705</v>
      </c>
      <c r="U174" t="s">
        <v>3706</v>
      </c>
      <c r="V174" t="s">
        <v>3707</v>
      </c>
      <c r="W174" t="s">
        <v>3708</v>
      </c>
      <c r="X174" t="s">
        <v>3709</v>
      </c>
      <c r="Y174" t="s">
        <v>3710</v>
      </c>
      <c r="Z174" t="s">
        <v>3711</v>
      </c>
      <c r="AA174" t="s">
        <v>3712</v>
      </c>
      <c r="AB174" t="s">
        <v>3713</v>
      </c>
      <c r="AC174" t="s">
        <v>3714</v>
      </c>
      <c r="AD174" t="s">
        <v>3715</v>
      </c>
      <c r="AE174" t="s">
        <v>3716</v>
      </c>
      <c r="AF174" t="s">
        <v>74</v>
      </c>
      <c r="AG174">
        <v>37</v>
      </c>
      <c r="AH174">
        <v>5</v>
      </c>
      <c r="AI174">
        <v>5</v>
      </c>
      <c r="AJ174">
        <v>0</v>
      </c>
      <c r="AK174">
        <v>8</v>
      </c>
      <c r="AL174" t="s">
        <v>1338</v>
      </c>
      <c r="AM174" t="s">
        <v>1339</v>
      </c>
      <c r="AN174" t="s">
        <v>1340</v>
      </c>
      <c r="AO174" t="s">
        <v>3717</v>
      </c>
      <c r="AP174" t="s">
        <v>3718</v>
      </c>
      <c r="AQ174" t="s">
        <v>74</v>
      </c>
      <c r="AR174" t="s">
        <v>3719</v>
      </c>
      <c r="AS174" t="s">
        <v>3720</v>
      </c>
      <c r="AT174" t="s">
        <v>1237</v>
      </c>
      <c r="AU174">
        <v>2017</v>
      </c>
      <c r="AV174">
        <v>143</v>
      </c>
      <c r="AW174">
        <v>709</v>
      </c>
      <c r="AX174" t="s">
        <v>3721</v>
      </c>
      <c r="AY174" t="s">
        <v>74</v>
      </c>
      <c r="AZ174" t="s">
        <v>74</v>
      </c>
      <c r="BA174" t="s">
        <v>74</v>
      </c>
      <c r="BB174">
        <v>3279</v>
      </c>
      <c r="BC174">
        <v>3290</v>
      </c>
      <c r="BD174" t="s">
        <v>74</v>
      </c>
      <c r="BE174" t="s">
        <v>3722</v>
      </c>
      <c r="BF174" t="str">
        <f>HYPERLINK("http://dx.doi.org/10.1002/qj.3181","http://dx.doi.org/10.1002/qj.3181")</f>
        <v>http://dx.doi.org/10.1002/qj.3181</v>
      </c>
      <c r="BG174" t="s">
        <v>74</v>
      </c>
      <c r="BH174" t="s">
        <v>74</v>
      </c>
      <c r="BI174">
        <v>12</v>
      </c>
      <c r="BJ174" t="s">
        <v>162</v>
      </c>
      <c r="BK174" t="s">
        <v>101</v>
      </c>
      <c r="BL174" t="s">
        <v>162</v>
      </c>
      <c r="BM174" t="s">
        <v>3723</v>
      </c>
      <c r="BN174" t="s">
        <v>74</v>
      </c>
      <c r="BO174" t="s">
        <v>1240</v>
      </c>
      <c r="BP174" t="s">
        <v>74</v>
      </c>
      <c r="BQ174" t="s">
        <v>74</v>
      </c>
      <c r="BR174" t="s">
        <v>105</v>
      </c>
      <c r="BS174" t="s">
        <v>3724</v>
      </c>
      <c r="BT174" t="str">
        <f>HYPERLINK("https%3A%2F%2Fwww.webofscience.com%2Fwos%2Fwoscc%2Ffull-record%2FWOS:000418796900024","View Full Record in Web of Science")</f>
        <v>View Full Record in Web of Science</v>
      </c>
    </row>
    <row r="175" spans="1:72" x14ac:dyDescent="0.15">
      <c r="A175" t="s">
        <v>72</v>
      </c>
      <c r="B175" t="s">
        <v>3725</v>
      </c>
      <c r="C175" t="s">
        <v>74</v>
      </c>
      <c r="D175" t="s">
        <v>74</v>
      </c>
      <c r="E175" t="s">
        <v>74</v>
      </c>
      <c r="F175" t="s">
        <v>3726</v>
      </c>
      <c r="G175" t="s">
        <v>74</v>
      </c>
      <c r="H175" t="s">
        <v>74</v>
      </c>
      <c r="I175" t="s">
        <v>3727</v>
      </c>
      <c r="J175" t="s">
        <v>3728</v>
      </c>
      <c r="K175" t="s">
        <v>74</v>
      </c>
      <c r="L175" t="s">
        <v>74</v>
      </c>
      <c r="M175" t="s">
        <v>78</v>
      </c>
      <c r="N175" t="s">
        <v>79</v>
      </c>
      <c r="O175" t="s">
        <v>74</v>
      </c>
      <c r="P175" t="s">
        <v>74</v>
      </c>
      <c r="Q175" t="s">
        <v>74</v>
      </c>
      <c r="R175" t="s">
        <v>74</v>
      </c>
      <c r="S175" t="s">
        <v>74</v>
      </c>
      <c r="T175" t="s">
        <v>3729</v>
      </c>
      <c r="U175" t="s">
        <v>3730</v>
      </c>
      <c r="V175" t="s">
        <v>3731</v>
      </c>
      <c r="W175" t="s">
        <v>3732</v>
      </c>
      <c r="X175" t="s">
        <v>3733</v>
      </c>
      <c r="Y175" t="s">
        <v>3734</v>
      </c>
      <c r="Z175" t="s">
        <v>3735</v>
      </c>
      <c r="AA175" t="s">
        <v>3736</v>
      </c>
      <c r="AB175" t="s">
        <v>3737</v>
      </c>
      <c r="AC175" t="s">
        <v>3738</v>
      </c>
      <c r="AD175" t="s">
        <v>3739</v>
      </c>
      <c r="AE175" t="s">
        <v>3740</v>
      </c>
      <c r="AF175" t="s">
        <v>74</v>
      </c>
      <c r="AG175">
        <v>82</v>
      </c>
      <c r="AH175">
        <v>22</v>
      </c>
      <c r="AI175">
        <v>23</v>
      </c>
      <c r="AJ175">
        <v>1</v>
      </c>
      <c r="AK175">
        <v>14</v>
      </c>
      <c r="AL175" t="s">
        <v>1809</v>
      </c>
      <c r="AM175" t="s">
        <v>182</v>
      </c>
      <c r="AN175" t="s">
        <v>1810</v>
      </c>
      <c r="AO175" t="s">
        <v>3741</v>
      </c>
      <c r="AP175" t="s">
        <v>74</v>
      </c>
      <c r="AQ175" t="s">
        <v>74</v>
      </c>
      <c r="AR175" t="s">
        <v>3742</v>
      </c>
      <c r="AS175" t="s">
        <v>3743</v>
      </c>
      <c r="AT175" t="s">
        <v>1237</v>
      </c>
      <c r="AU175">
        <v>2017</v>
      </c>
      <c r="AV175">
        <v>4</v>
      </c>
      <c r="AW175">
        <v>10</v>
      </c>
      <c r="AX175" t="s">
        <v>74</v>
      </c>
      <c r="AY175" t="s">
        <v>74</v>
      </c>
      <c r="AZ175" t="s">
        <v>74</v>
      </c>
      <c r="BA175" t="s">
        <v>74</v>
      </c>
      <c r="BB175" t="s">
        <v>74</v>
      </c>
      <c r="BC175" t="s">
        <v>74</v>
      </c>
      <c r="BD175">
        <v>170615</v>
      </c>
      <c r="BE175" t="s">
        <v>3744</v>
      </c>
      <c r="BF175" t="str">
        <f>HYPERLINK("http://dx.doi.org/10.1098/rsos.170615","http://dx.doi.org/10.1098/rsos.170615")</f>
        <v>http://dx.doi.org/10.1098/rsos.170615</v>
      </c>
      <c r="BG175" t="s">
        <v>74</v>
      </c>
      <c r="BH175" t="s">
        <v>74</v>
      </c>
      <c r="BI175">
        <v>16</v>
      </c>
      <c r="BJ175" t="s">
        <v>190</v>
      </c>
      <c r="BK175" t="s">
        <v>101</v>
      </c>
      <c r="BL175" t="s">
        <v>191</v>
      </c>
      <c r="BM175" t="s">
        <v>3745</v>
      </c>
      <c r="BN175">
        <v>29134072</v>
      </c>
      <c r="BO175" t="s">
        <v>3746</v>
      </c>
      <c r="BP175" t="s">
        <v>74</v>
      </c>
      <c r="BQ175" t="s">
        <v>74</v>
      </c>
      <c r="BR175" t="s">
        <v>105</v>
      </c>
      <c r="BS175" t="s">
        <v>3747</v>
      </c>
      <c r="BT175" t="str">
        <f>HYPERLINK("https%3A%2F%2Fwww.webofscience.com%2Fwos%2Fwoscc%2Ffull-record%2FWOS:000413965600017","View Full Record in Web of Science")</f>
        <v>View Full Record in Web of Science</v>
      </c>
    </row>
    <row r="176" spans="1:72" x14ac:dyDescent="0.15">
      <c r="A176" t="s">
        <v>72</v>
      </c>
      <c r="B176" t="s">
        <v>3748</v>
      </c>
      <c r="C176" t="s">
        <v>74</v>
      </c>
      <c r="D176" t="s">
        <v>74</v>
      </c>
      <c r="E176" t="s">
        <v>74</v>
      </c>
      <c r="F176" t="s">
        <v>3749</v>
      </c>
      <c r="G176" t="s">
        <v>74</v>
      </c>
      <c r="H176" t="s">
        <v>74</v>
      </c>
      <c r="I176" t="s">
        <v>3750</v>
      </c>
      <c r="J176" t="s">
        <v>3751</v>
      </c>
      <c r="K176" t="s">
        <v>74</v>
      </c>
      <c r="L176" t="s">
        <v>74</v>
      </c>
      <c r="M176" t="s">
        <v>78</v>
      </c>
      <c r="N176" t="s">
        <v>79</v>
      </c>
      <c r="O176" t="s">
        <v>74</v>
      </c>
      <c r="P176" t="s">
        <v>74</v>
      </c>
      <c r="Q176" t="s">
        <v>74</v>
      </c>
      <c r="R176" t="s">
        <v>74</v>
      </c>
      <c r="S176" t="s">
        <v>74</v>
      </c>
      <c r="T176" t="s">
        <v>74</v>
      </c>
      <c r="U176" t="s">
        <v>3752</v>
      </c>
      <c r="V176" t="s">
        <v>3753</v>
      </c>
      <c r="W176" t="s">
        <v>3754</v>
      </c>
      <c r="X176" t="s">
        <v>3755</v>
      </c>
      <c r="Y176" t="s">
        <v>3756</v>
      </c>
      <c r="Z176" t="s">
        <v>3757</v>
      </c>
      <c r="AA176" t="s">
        <v>3758</v>
      </c>
      <c r="AB176" t="s">
        <v>3759</v>
      </c>
      <c r="AC176" t="s">
        <v>3760</v>
      </c>
      <c r="AD176" t="s">
        <v>3761</v>
      </c>
      <c r="AE176" t="s">
        <v>3762</v>
      </c>
      <c r="AF176" t="s">
        <v>74</v>
      </c>
      <c r="AG176">
        <v>83</v>
      </c>
      <c r="AH176">
        <v>52</v>
      </c>
      <c r="AI176">
        <v>53</v>
      </c>
      <c r="AJ176">
        <v>0</v>
      </c>
      <c r="AK176">
        <v>29</v>
      </c>
      <c r="AL176" t="s">
        <v>3763</v>
      </c>
      <c r="AM176" t="s">
        <v>92</v>
      </c>
      <c r="AN176" t="s">
        <v>3764</v>
      </c>
      <c r="AO176" t="s">
        <v>3765</v>
      </c>
      <c r="AP176" t="s">
        <v>74</v>
      </c>
      <c r="AQ176" t="s">
        <v>74</v>
      </c>
      <c r="AR176" t="s">
        <v>3766</v>
      </c>
      <c r="AS176" t="s">
        <v>3767</v>
      </c>
      <c r="AT176" t="s">
        <v>1237</v>
      </c>
      <c r="AU176">
        <v>2017</v>
      </c>
      <c r="AV176">
        <v>3</v>
      </c>
      <c r="AW176">
        <v>10</v>
      </c>
      <c r="AX176" t="s">
        <v>74</v>
      </c>
      <c r="AY176" t="s">
        <v>74</v>
      </c>
      <c r="AZ176" t="s">
        <v>74</v>
      </c>
      <c r="BA176" t="s">
        <v>74</v>
      </c>
      <c r="BB176" t="s">
        <v>74</v>
      </c>
      <c r="BC176" t="s">
        <v>74</v>
      </c>
      <c r="BD176" t="s">
        <v>3768</v>
      </c>
      <c r="BE176" t="s">
        <v>3769</v>
      </c>
      <c r="BF176" t="str">
        <f>HYPERLINK("http://dx.doi.org/10.1126/sciadv.1700419","http://dx.doi.org/10.1126/sciadv.1700419")</f>
        <v>http://dx.doi.org/10.1126/sciadv.1700419</v>
      </c>
      <c r="BG176" t="s">
        <v>74</v>
      </c>
      <c r="BH176" t="s">
        <v>74</v>
      </c>
      <c r="BI176">
        <v>12</v>
      </c>
      <c r="BJ176" t="s">
        <v>190</v>
      </c>
      <c r="BK176" t="s">
        <v>101</v>
      </c>
      <c r="BL176" t="s">
        <v>191</v>
      </c>
      <c r="BM176" t="s">
        <v>3770</v>
      </c>
      <c r="BN176">
        <v>29057321</v>
      </c>
      <c r="BO176" t="s">
        <v>3771</v>
      </c>
      <c r="BP176" t="s">
        <v>74</v>
      </c>
      <c r="BQ176" t="s">
        <v>74</v>
      </c>
      <c r="BR176" t="s">
        <v>105</v>
      </c>
      <c r="BS176" t="s">
        <v>3772</v>
      </c>
      <c r="BT176" t="str">
        <f>HYPERLINK("https%3A%2F%2Fwww.webofscience.com%2Fwos%2Fwoscc%2Ffull-record%2FWOS:000417998700006","View Full Record in Web of Science")</f>
        <v>View Full Record in Web of Science</v>
      </c>
    </row>
    <row r="177" spans="1:72" x14ac:dyDescent="0.15">
      <c r="A177" t="s">
        <v>72</v>
      </c>
      <c r="B177" t="s">
        <v>3773</v>
      </c>
      <c r="C177" t="s">
        <v>74</v>
      </c>
      <c r="D177" t="s">
        <v>74</v>
      </c>
      <c r="E177" t="s">
        <v>74</v>
      </c>
      <c r="F177" t="s">
        <v>3774</v>
      </c>
      <c r="G177" t="s">
        <v>74</v>
      </c>
      <c r="H177" t="s">
        <v>74</v>
      </c>
      <c r="I177" t="s">
        <v>3775</v>
      </c>
      <c r="J177" t="s">
        <v>3776</v>
      </c>
      <c r="K177" t="s">
        <v>74</v>
      </c>
      <c r="L177" t="s">
        <v>74</v>
      </c>
      <c r="M177" t="s">
        <v>78</v>
      </c>
      <c r="N177" t="s">
        <v>79</v>
      </c>
      <c r="O177" t="s">
        <v>74</v>
      </c>
      <c r="P177" t="s">
        <v>74</v>
      </c>
      <c r="Q177" t="s">
        <v>74</v>
      </c>
      <c r="R177" t="s">
        <v>74</v>
      </c>
      <c r="S177" t="s">
        <v>74</v>
      </c>
      <c r="T177" t="s">
        <v>3777</v>
      </c>
      <c r="U177" t="s">
        <v>74</v>
      </c>
      <c r="V177" t="s">
        <v>3778</v>
      </c>
      <c r="W177" t="s">
        <v>3779</v>
      </c>
      <c r="X177" t="s">
        <v>3780</v>
      </c>
      <c r="Y177" t="s">
        <v>3781</v>
      </c>
      <c r="Z177" t="s">
        <v>3782</v>
      </c>
      <c r="AA177" t="s">
        <v>74</v>
      </c>
      <c r="AB177" t="s">
        <v>74</v>
      </c>
      <c r="AC177" t="s">
        <v>74</v>
      </c>
      <c r="AD177" t="s">
        <v>74</v>
      </c>
      <c r="AE177" t="s">
        <v>74</v>
      </c>
      <c r="AF177" t="s">
        <v>74</v>
      </c>
      <c r="AG177">
        <v>362</v>
      </c>
      <c r="AH177">
        <v>5</v>
      </c>
      <c r="AI177">
        <v>5</v>
      </c>
      <c r="AJ177">
        <v>5</v>
      </c>
      <c r="AK177">
        <v>188</v>
      </c>
      <c r="AL177" t="s">
        <v>1338</v>
      </c>
      <c r="AM177" t="s">
        <v>1339</v>
      </c>
      <c r="AN177" t="s">
        <v>1340</v>
      </c>
      <c r="AO177" t="s">
        <v>3783</v>
      </c>
      <c r="AP177" t="s">
        <v>3784</v>
      </c>
      <c r="AQ177" t="s">
        <v>74</v>
      </c>
      <c r="AR177" t="s">
        <v>3785</v>
      </c>
      <c r="AS177" t="s">
        <v>3786</v>
      </c>
      <c r="AT177" t="s">
        <v>1237</v>
      </c>
      <c r="AU177">
        <v>2017</v>
      </c>
      <c r="AV177">
        <v>89</v>
      </c>
      <c r="AW177">
        <v>10</v>
      </c>
      <c r="AX177" t="s">
        <v>74</v>
      </c>
      <c r="AY177" t="s">
        <v>74</v>
      </c>
      <c r="AZ177" t="s">
        <v>74</v>
      </c>
      <c r="BA177" t="s">
        <v>74</v>
      </c>
      <c r="BB177">
        <v>1702</v>
      </c>
      <c r="BC177">
        <v>1796</v>
      </c>
      <c r="BD177" t="s">
        <v>74</v>
      </c>
      <c r="BE177" t="s">
        <v>3787</v>
      </c>
      <c r="BF177" t="str">
        <f>HYPERLINK("http://dx.doi.org/10.2175/106143017X15023776270647","http://dx.doi.org/10.2175/106143017X15023776270647")</f>
        <v>http://dx.doi.org/10.2175/106143017X15023776270647</v>
      </c>
      <c r="BG177" t="s">
        <v>74</v>
      </c>
      <c r="BH177" t="s">
        <v>74</v>
      </c>
      <c r="BI177">
        <v>95</v>
      </c>
      <c r="BJ177" t="s">
        <v>3788</v>
      </c>
      <c r="BK177" t="s">
        <v>101</v>
      </c>
      <c r="BL177" t="s">
        <v>3789</v>
      </c>
      <c r="BM177" t="s">
        <v>3790</v>
      </c>
      <c r="BN177">
        <v>28954681</v>
      </c>
      <c r="BO177" t="s">
        <v>855</v>
      </c>
      <c r="BP177" t="s">
        <v>74</v>
      </c>
      <c r="BQ177" t="s">
        <v>74</v>
      </c>
      <c r="BR177" t="s">
        <v>105</v>
      </c>
      <c r="BS177" t="s">
        <v>3791</v>
      </c>
      <c r="BT177" t="str">
        <f>HYPERLINK("https%3A%2F%2Fwww.webofscience.com%2Fwos%2Fwoscc%2Ffull-record%2FWOS:000995071600035","View Full Record in Web of Science")</f>
        <v>View Full Record in Web of Science</v>
      </c>
    </row>
    <row r="178" spans="1:72" x14ac:dyDescent="0.15">
      <c r="A178" t="s">
        <v>72</v>
      </c>
      <c r="B178" t="s">
        <v>3792</v>
      </c>
      <c r="C178" t="s">
        <v>74</v>
      </c>
      <c r="D178" t="s">
        <v>74</v>
      </c>
      <c r="E178" t="s">
        <v>74</v>
      </c>
      <c r="F178" t="s">
        <v>3793</v>
      </c>
      <c r="G178" t="s">
        <v>74</v>
      </c>
      <c r="H178" t="s">
        <v>74</v>
      </c>
      <c r="I178" t="s">
        <v>3794</v>
      </c>
      <c r="J178" t="s">
        <v>3195</v>
      </c>
      <c r="K178" t="s">
        <v>74</v>
      </c>
      <c r="L178" t="s">
        <v>74</v>
      </c>
      <c r="M178" t="s">
        <v>78</v>
      </c>
      <c r="N178" t="s">
        <v>79</v>
      </c>
      <c r="O178" t="s">
        <v>74</v>
      </c>
      <c r="P178" t="s">
        <v>74</v>
      </c>
      <c r="Q178" t="s">
        <v>74</v>
      </c>
      <c r="R178" t="s">
        <v>74</v>
      </c>
      <c r="S178" t="s">
        <v>74</v>
      </c>
      <c r="T178" t="s">
        <v>3795</v>
      </c>
      <c r="U178" t="s">
        <v>3796</v>
      </c>
      <c r="V178" t="s">
        <v>3797</v>
      </c>
      <c r="W178" t="s">
        <v>3798</v>
      </c>
      <c r="X178" t="s">
        <v>3799</v>
      </c>
      <c r="Y178" t="s">
        <v>3800</v>
      </c>
      <c r="Z178" t="s">
        <v>3801</v>
      </c>
      <c r="AA178" t="s">
        <v>3802</v>
      </c>
      <c r="AB178" t="s">
        <v>3803</v>
      </c>
      <c r="AC178" t="s">
        <v>3804</v>
      </c>
      <c r="AD178" t="s">
        <v>3805</v>
      </c>
      <c r="AE178" t="s">
        <v>3806</v>
      </c>
      <c r="AF178" t="s">
        <v>74</v>
      </c>
      <c r="AG178">
        <v>60</v>
      </c>
      <c r="AH178">
        <v>20</v>
      </c>
      <c r="AI178">
        <v>20</v>
      </c>
      <c r="AJ178">
        <v>1</v>
      </c>
      <c r="AK178">
        <v>97</v>
      </c>
      <c r="AL178" t="s">
        <v>1338</v>
      </c>
      <c r="AM178" t="s">
        <v>1339</v>
      </c>
      <c r="AN178" t="s">
        <v>1340</v>
      </c>
      <c r="AO178" t="s">
        <v>3208</v>
      </c>
      <c r="AP178" t="s">
        <v>3209</v>
      </c>
      <c r="AQ178" t="s">
        <v>74</v>
      </c>
      <c r="AR178" t="s">
        <v>3210</v>
      </c>
      <c r="AS178" t="s">
        <v>3211</v>
      </c>
      <c r="AT178" t="s">
        <v>1237</v>
      </c>
      <c r="AU178">
        <v>2017</v>
      </c>
      <c r="AV178">
        <v>26</v>
      </c>
      <c r="AW178">
        <v>10</v>
      </c>
      <c r="AX178" t="s">
        <v>74</v>
      </c>
      <c r="AY178" t="s">
        <v>74</v>
      </c>
      <c r="AZ178" t="s">
        <v>74</v>
      </c>
      <c r="BA178" t="s">
        <v>74</v>
      </c>
      <c r="BB178">
        <v>1112</v>
      </c>
      <c r="BC178">
        <v>1125</v>
      </c>
      <c r="BD178" t="s">
        <v>74</v>
      </c>
      <c r="BE178" t="s">
        <v>3807</v>
      </c>
      <c r="BF178" t="str">
        <f>HYPERLINK("http://dx.doi.org/10.1111/geb.12620","http://dx.doi.org/10.1111/geb.12620")</f>
        <v>http://dx.doi.org/10.1111/geb.12620</v>
      </c>
      <c r="BG178" t="s">
        <v>74</v>
      </c>
      <c r="BH178" t="s">
        <v>74</v>
      </c>
      <c r="BI178">
        <v>14</v>
      </c>
      <c r="BJ178" t="s">
        <v>2552</v>
      </c>
      <c r="BK178" t="s">
        <v>101</v>
      </c>
      <c r="BL178" t="s">
        <v>2553</v>
      </c>
      <c r="BM178" t="s">
        <v>3213</v>
      </c>
      <c r="BN178" t="s">
        <v>74</v>
      </c>
      <c r="BO178" t="s">
        <v>74</v>
      </c>
      <c r="BP178" t="s">
        <v>74</v>
      </c>
      <c r="BQ178" t="s">
        <v>74</v>
      </c>
      <c r="BR178" t="s">
        <v>105</v>
      </c>
      <c r="BS178" t="s">
        <v>3808</v>
      </c>
      <c r="BT178" t="str">
        <f>HYPERLINK("https%3A%2F%2Fwww.webofscience.com%2Fwos%2Fwoscc%2Ffull-record%2FWOS:000411041600004","View Full Record in Web of Science")</f>
        <v>View Full Record in Web of Science</v>
      </c>
    </row>
    <row r="179" spans="1:72" x14ac:dyDescent="0.15">
      <c r="A179" t="s">
        <v>72</v>
      </c>
      <c r="B179" t="s">
        <v>3809</v>
      </c>
      <c r="C179" t="s">
        <v>74</v>
      </c>
      <c r="D179" t="s">
        <v>74</v>
      </c>
      <c r="E179" t="s">
        <v>74</v>
      </c>
      <c r="F179" t="s">
        <v>3810</v>
      </c>
      <c r="G179" t="s">
        <v>74</v>
      </c>
      <c r="H179" t="s">
        <v>74</v>
      </c>
      <c r="I179" t="s">
        <v>3811</v>
      </c>
      <c r="J179" t="s">
        <v>3812</v>
      </c>
      <c r="K179" t="s">
        <v>74</v>
      </c>
      <c r="L179" t="s">
        <v>74</v>
      </c>
      <c r="M179" t="s">
        <v>78</v>
      </c>
      <c r="N179" t="s">
        <v>79</v>
      </c>
      <c r="O179" t="s">
        <v>74</v>
      </c>
      <c r="P179" t="s">
        <v>74</v>
      </c>
      <c r="Q179" t="s">
        <v>74</v>
      </c>
      <c r="R179" t="s">
        <v>74</v>
      </c>
      <c r="S179" t="s">
        <v>74</v>
      </c>
      <c r="T179" t="s">
        <v>74</v>
      </c>
      <c r="U179" t="s">
        <v>3813</v>
      </c>
      <c r="V179" t="s">
        <v>3814</v>
      </c>
      <c r="W179" t="s">
        <v>3815</v>
      </c>
      <c r="X179" t="s">
        <v>3816</v>
      </c>
      <c r="Y179" t="s">
        <v>3817</v>
      </c>
      <c r="Z179" t="s">
        <v>3818</v>
      </c>
      <c r="AA179" t="s">
        <v>3819</v>
      </c>
      <c r="AB179" t="s">
        <v>3820</v>
      </c>
      <c r="AC179" t="s">
        <v>3821</v>
      </c>
      <c r="AD179" t="s">
        <v>3822</v>
      </c>
      <c r="AE179" t="s">
        <v>3823</v>
      </c>
      <c r="AF179" t="s">
        <v>74</v>
      </c>
      <c r="AG179">
        <v>79</v>
      </c>
      <c r="AH179">
        <v>14</v>
      </c>
      <c r="AI179">
        <v>14</v>
      </c>
      <c r="AJ179">
        <v>4</v>
      </c>
      <c r="AK179">
        <v>22</v>
      </c>
      <c r="AL179" t="s">
        <v>3824</v>
      </c>
      <c r="AM179" t="s">
        <v>182</v>
      </c>
      <c r="AN179" t="s">
        <v>3825</v>
      </c>
      <c r="AO179" t="s">
        <v>3826</v>
      </c>
      <c r="AP179" t="s">
        <v>3827</v>
      </c>
      <c r="AQ179" t="s">
        <v>74</v>
      </c>
      <c r="AR179" t="s">
        <v>3828</v>
      </c>
      <c r="AS179" t="s">
        <v>3829</v>
      </c>
      <c r="AT179" t="s">
        <v>1237</v>
      </c>
      <c r="AU179">
        <v>2017</v>
      </c>
      <c r="AV179">
        <v>11</v>
      </c>
      <c r="AW179">
        <v>10</v>
      </c>
      <c r="AX179" t="s">
        <v>74</v>
      </c>
      <c r="AY179" t="s">
        <v>74</v>
      </c>
      <c r="AZ179" t="s">
        <v>74</v>
      </c>
      <c r="BA179" t="s">
        <v>74</v>
      </c>
      <c r="BB179">
        <v>2345</v>
      </c>
      <c r="BC179">
        <v>2355</v>
      </c>
      <c r="BD179" t="s">
        <v>74</v>
      </c>
      <c r="BE179" t="s">
        <v>3830</v>
      </c>
      <c r="BF179" t="str">
        <f>HYPERLINK("http://dx.doi.org/10.1038/ismej.2017.96","http://dx.doi.org/10.1038/ismej.2017.96")</f>
        <v>http://dx.doi.org/10.1038/ismej.2017.96</v>
      </c>
      <c r="BG179" t="s">
        <v>74</v>
      </c>
      <c r="BH179" t="s">
        <v>74</v>
      </c>
      <c r="BI179">
        <v>11</v>
      </c>
      <c r="BJ179" t="s">
        <v>3831</v>
      </c>
      <c r="BK179" t="s">
        <v>101</v>
      </c>
      <c r="BL179" t="s">
        <v>3832</v>
      </c>
      <c r="BM179" t="s">
        <v>3833</v>
      </c>
      <c r="BN179">
        <v>28708127</v>
      </c>
      <c r="BO179" t="s">
        <v>122</v>
      </c>
      <c r="BP179" t="s">
        <v>74</v>
      </c>
      <c r="BQ179" t="s">
        <v>74</v>
      </c>
      <c r="BR179" t="s">
        <v>105</v>
      </c>
      <c r="BS179" t="s">
        <v>3834</v>
      </c>
      <c r="BT179" t="str">
        <f>HYPERLINK("https%3A%2F%2Fwww.webofscience.com%2Fwos%2Fwoscc%2Ffull-record%2FWOS:000411136300017","View Full Record in Web of Science")</f>
        <v>View Full Record in Web of Science</v>
      </c>
    </row>
    <row r="180" spans="1:72" x14ac:dyDescent="0.15">
      <c r="A180" t="s">
        <v>72</v>
      </c>
      <c r="B180" t="s">
        <v>3835</v>
      </c>
      <c r="C180" t="s">
        <v>74</v>
      </c>
      <c r="D180" t="s">
        <v>74</v>
      </c>
      <c r="E180" t="s">
        <v>74</v>
      </c>
      <c r="F180" t="s">
        <v>3836</v>
      </c>
      <c r="G180" t="s">
        <v>74</v>
      </c>
      <c r="H180" t="s">
        <v>74</v>
      </c>
      <c r="I180" t="s">
        <v>3837</v>
      </c>
      <c r="J180" t="s">
        <v>3838</v>
      </c>
      <c r="K180" t="s">
        <v>74</v>
      </c>
      <c r="L180" t="s">
        <v>74</v>
      </c>
      <c r="M180" t="s">
        <v>78</v>
      </c>
      <c r="N180" t="s">
        <v>79</v>
      </c>
      <c r="O180" t="s">
        <v>74</v>
      </c>
      <c r="P180" t="s">
        <v>74</v>
      </c>
      <c r="Q180" t="s">
        <v>74</v>
      </c>
      <c r="R180" t="s">
        <v>74</v>
      </c>
      <c r="S180" t="s">
        <v>74</v>
      </c>
      <c r="T180" t="s">
        <v>3839</v>
      </c>
      <c r="U180" t="s">
        <v>3840</v>
      </c>
      <c r="V180" t="s">
        <v>3841</v>
      </c>
      <c r="W180" t="s">
        <v>3842</v>
      </c>
      <c r="X180" t="s">
        <v>1308</v>
      </c>
      <c r="Y180" t="s">
        <v>3843</v>
      </c>
      <c r="Z180" t="s">
        <v>3844</v>
      </c>
      <c r="AA180" t="s">
        <v>3845</v>
      </c>
      <c r="AB180" t="s">
        <v>3846</v>
      </c>
      <c r="AC180" t="s">
        <v>3847</v>
      </c>
      <c r="AD180" t="s">
        <v>3848</v>
      </c>
      <c r="AE180" t="s">
        <v>3849</v>
      </c>
      <c r="AF180" t="s">
        <v>74</v>
      </c>
      <c r="AG180">
        <v>107</v>
      </c>
      <c r="AH180">
        <v>6</v>
      </c>
      <c r="AI180">
        <v>6</v>
      </c>
      <c r="AJ180">
        <v>0</v>
      </c>
      <c r="AK180">
        <v>36</v>
      </c>
      <c r="AL180" t="s">
        <v>2520</v>
      </c>
      <c r="AM180" t="s">
        <v>2521</v>
      </c>
      <c r="AN180" t="s">
        <v>2522</v>
      </c>
      <c r="AO180" t="s">
        <v>3850</v>
      </c>
      <c r="AP180" t="s">
        <v>3851</v>
      </c>
      <c r="AQ180" t="s">
        <v>74</v>
      </c>
      <c r="AR180" t="s">
        <v>3852</v>
      </c>
      <c r="AS180" t="s">
        <v>3853</v>
      </c>
      <c r="AT180" t="s">
        <v>1237</v>
      </c>
      <c r="AU180">
        <v>2017</v>
      </c>
      <c r="AV180">
        <v>22</v>
      </c>
      <c r="AW180">
        <v>10</v>
      </c>
      <c r="AX180" t="s">
        <v>74</v>
      </c>
      <c r="AY180" t="s">
        <v>74</v>
      </c>
      <c r="AZ180" t="s">
        <v>74</v>
      </c>
      <c r="BA180" t="s">
        <v>74</v>
      </c>
      <c r="BB180">
        <v>1571</v>
      </c>
      <c r="BC180">
        <v>1587</v>
      </c>
      <c r="BD180" t="s">
        <v>74</v>
      </c>
      <c r="BE180" t="s">
        <v>3854</v>
      </c>
      <c r="BF180" t="str">
        <f>HYPERLINK("http://dx.doi.org/10.1007/s11367-017-1274-2","http://dx.doi.org/10.1007/s11367-017-1274-2")</f>
        <v>http://dx.doi.org/10.1007/s11367-017-1274-2</v>
      </c>
      <c r="BG180" t="s">
        <v>74</v>
      </c>
      <c r="BH180" t="s">
        <v>74</v>
      </c>
      <c r="BI180">
        <v>17</v>
      </c>
      <c r="BJ180" t="s">
        <v>3855</v>
      </c>
      <c r="BK180" t="s">
        <v>101</v>
      </c>
      <c r="BL180" t="s">
        <v>3856</v>
      </c>
      <c r="BM180" t="s">
        <v>3857</v>
      </c>
      <c r="BN180" t="s">
        <v>74</v>
      </c>
      <c r="BO180" t="s">
        <v>74</v>
      </c>
      <c r="BP180" t="s">
        <v>74</v>
      </c>
      <c r="BQ180" t="s">
        <v>74</v>
      </c>
      <c r="BR180" t="s">
        <v>105</v>
      </c>
      <c r="BS180" t="s">
        <v>3858</v>
      </c>
      <c r="BT180" t="str">
        <f>HYPERLINK("https%3A%2F%2Fwww.webofscience.com%2Fwos%2Fwoscc%2Ffull-record%2FWOS:000410058000007","View Full Record in Web of Science")</f>
        <v>View Full Record in Web of Science</v>
      </c>
    </row>
    <row r="181" spans="1:72" x14ac:dyDescent="0.15">
      <c r="A181" t="s">
        <v>72</v>
      </c>
      <c r="B181" t="s">
        <v>3859</v>
      </c>
      <c r="C181" t="s">
        <v>74</v>
      </c>
      <c r="D181" t="s">
        <v>74</v>
      </c>
      <c r="E181" t="s">
        <v>74</v>
      </c>
      <c r="F181" t="s">
        <v>3860</v>
      </c>
      <c r="G181" t="s">
        <v>74</v>
      </c>
      <c r="H181" t="s">
        <v>74</v>
      </c>
      <c r="I181" t="s">
        <v>3861</v>
      </c>
      <c r="J181" t="s">
        <v>3862</v>
      </c>
      <c r="K181" t="s">
        <v>74</v>
      </c>
      <c r="L181" t="s">
        <v>74</v>
      </c>
      <c r="M181" t="s">
        <v>78</v>
      </c>
      <c r="N181" t="s">
        <v>79</v>
      </c>
      <c r="O181" t="s">
        <v>74</v>
      </c>
      <c r="P181" t="s">
        <v>74</v>
      </c>
      <c r="Q181" t="s">
        <v>74</v>
      </c>
      <c r="R181" t="s">
        <v>74</v>
      </c>
      <c r="S181" t="s">
        <v>74</v>
      </c>
      <c r="T181" t="s">
        <v>3863</v>
      </c>
      <c r="U181" t="s">
        <v>3864</v>
      </c>
      <c r="V181" t="s">
        <v>3865</v>
      </c>
      <c r="W181" t="s">
        <v>3866</v>
      </c>
      <c r="X181" t="s">
        <v>3867</v>
      </c>
      <c r="Y181" t="s">
        <v>3868</v>
      </c>
      <c r="Z181" t="s">
        <v>3869</v>
      </c>
      <c r="AA181" t="s">
        <v>3870</v>
      </c>
      <c r="AB181" t="s">
        <v>3871</v>
      </c>
      <c r="AC181" t="s">
        <v>74</v>
      </c>
      <c r="AD181" t="s">
        <v>74</v>
      </c>
      <c r="AE181" t="s">
        <v>74</v>
      </c>
      <c r="AF181" t="s">
        <v>74</v>
      </c>
      <c r="AG181">
        <v>81</v>
      </c>
      <c r="AH181">
        <v>10</v>
      </c>
      <c r="AI181">
        <v>10</v>
      </c>
      <c r="AJ181">
        <v>2</v>
      </c>
      <c r="AK181">
        <v>20</v>
      </c>
      <c r="AL181" t="s">
        <v>208</v>
      </c>
      <c r="AM181" t="s">
        <v>3872</v>
      </c>
      <c r="AN181" t="s">
        <v>3873</v>
      </c>
      <c r="AO181" t="s">
        <v>3874</v>
      </c>
      <c r="AP181" t="s">
        <v>3875</v>
      </c>
      <c r="AQ181" t="s">
        <v>74</v>
      </c>
      <c r="AR181" t="s">
        <v>3876</v>
      </c>
      <c r="AS181" t="s">
        <v>3877</v>
      </c>
      <c r="AT181" t="s">
        <v>1237</v>
      </c>
      <c r="AU181">
        <v>2017</v>
      </c>
      <c r="AV181">
        <v>58</v>
      </c>
      <c r="AW181">
        <v>3</v>
      </c>
      <c r="AX181" t="s">
        <v>74</v>
      </c>
      <c r="AY181" t="s">
        <v>74</v>
      </c>
      <c r="AZ181" t="s">
        <v>74</v>
      </c>
      <c r="BA181" t="s">
        <v>74</v>
      </c>
      <c r="BB181">
        <v>275</v>
      </c>
      <c r="BC181">
        <v>289</v>
      </c>
      <c r="BD181" t="s">
        <v>74</v>
      </c>
      <c r="BE181" t="s">
        <v>3878</v>
      </c>
      <c r="BF181" t="str">
        <f>HYPERLINK("http://dx.doi.org/10.1007/s10933-017-9977-8","http://dx.doi.org/10.1007/s10933-017-9977-8")</f>
        <v>http://dx.doi.org/10.1007/s10933-017-9977-8</v>
      </c>
      <c r="BG181" t="s">
        <v>74</v>
      </c>
      <c r="BH181" t="s">
        <v>74</v>
      </c>
      <c r="BI181">
        <v>15</v>
      </c>
      <c r="BJ181" t="s">
        <v>3879</v>
      </c>
      <c r="BK181" t="s">
        <v>101</v>
      </c>
      <c r="BL181" t="s">
        <v>3880</v>
      </c>
      <c r="BM181" t="s">
        <v>3881</v>
      </c>
      <c r="BN181" t="s">
        <v>74</v>
      </c>
      <c r="BO181" t="s">
        <v>74</v>
      </c>
      <c r="BP181" t="s">
        <v>74</v>
      </c>
      <c r="BQ181" t="s">
        <v>74</v>
      </c>
      <c r="BR181" t="s">
        <v>105</v>
      </c>
      <c r="BS181" t="s">
        <v>3882</v>
      </c>
      <c r="BT181" t="str">
        <f>HYPERLINK("https%3A%2F%2Fwww.webofscience.com%2Fwos%2Fwoscc%2Ffull-record%2FWOS:000410483900001","View Full Record in Web of Science")</f>
        <v>View Full Record in Web of Science</v>
      </c>
    </row>
    <row r="182" spans="1:72" x14ac:dyDescent="0.15">
      <c r="A182" t="s">
        <v>72</v>
      </c>
      <c r="B182" t="s">
        <v>3883</v>
      </c>
      <c r="C182" t="s">
        <v>74</v>
      </c>
      <c r="D182" t="s">
        <v>74</v>
      </c>
      <c r="E182" t="s">
        <v>74</v>
      </c>
      <c r="F182" t="s">
        <v>3884</v>
      </c>
      <c r="G182" t="s">
        <v>74</v>
      </c>
      <c r="H182" t="s">
        <v>74</v>
      </c>
      <c r="I182" t="s">
        <v>3885</v>
      </c>
      <c r="J182" t="s">
        <v>3886</v>
      </c>
      <c r="K182" t="s">
        <v>74</v>
      </c>
      <c r="L182" t="s">
        <v>74</v>
      </c>
      <c r="M182" t="s">
        <v>78</v>
      </c>
      <c r="N182" t="s">
        <v>79</v>
      </c>
      <c r="O182" t="s">
        <v>74</v>
      </c>
      <c r="P182" t="s">
        <v>74</v>
      </c>
      <c r="Q182" t="s">
        <v>74</v>
      </c>
      <c r="R182" t="s">
        <v>74</v>
      </c>
      <c r="S182" t="s">
        <v>74</v>
      </c>
      <c r="T182" t="s">
        <v>3887</v>
      </c>
      <c r="U182" t="s">
        <v>3888</v>
      </c>
      <c r="V182" t="s">
        <v>3889</v>
      </c>
      <c r="W182" t="s">
        <v>3890</v>
      </c>
      <c r="X182" t="s">
        <v>3891</v>
      </c>
      <c r="Y182" t="s">
        <v>3892</v>
      </c>
      <c r="Z182" t="s">
        <v>3893</v>
      </c>
      <c r="AA182" t="s">
        <v>3894</v>
      </c>
      <c r="AB182" t="s">
        <v>74</v>
      </c>
      <c r="AC182" t="s">
        <v>3895</v>
      </c>
      <c r="AD182" t="s">
        <v>3896</v>
      </c>
      <c r="AE182" t="s">
        <v>3897</v>
      </c>
      <c r="AF182" t="s">
        <v>74</v>
      </c>
      <c r="AG182">
        <v>38</v>
      </c>
      <c r="AH182">
        <v>9</v>
      </c>
      <c r="AI182">
        <v>13</v>
      </c>
      <c r="AJ182">
        <v>0</v>
      </c>
      <c r="AK182">
        <v>40</v>
      </c>
      <c r="AL182" t="s">
        <v>208</v>
      </c>
      <c r="AM182" t="s">
        <v>209</v>
      </c>
      <c r="AN182" t="s">
        <v>210</v>
      </c>
      <c r="AO182" t="s">
        <v>3898</v>
      </c>
      <c r="AP182" t="s">
        <v>3899</v>
      </c>
      <c r="AQ182" t="s">
        <v>74</v>
      </c>
      <c r="AR182" t="s">
        <v>3900</v>
      </c>
      <c r="AS182" t="s">
        <v>3901</v>
      </c>
      <c r="AT182" t="s">
        <v>1237</v>
      </c>
      <c r="AU182">
        <v>2017</v>
      </c>
      <c r="AV182">
        <v>10</v>
      </c>
      <c r="AW182">
        <v>10</v>
      </c>
      <c r="AX182" t="s">
        <v>74</v>
      </c>
      <c r="AY182" t="s">
        <v>74</v>
      </c>
      <c r="AZ182" t="s">
        <v>74</v>
      </c>
      <c r="BA182" t="s">
        <v>74</v>
      </c>
      <c r="BB182">
        <v>1809</v>
      </c>
      <c r="BC182">
        <v>1823</v>
      </c>
      <c r="BD182" t="s">
        <v>74</v>
      </c>
      <c r="BE182" t="s">
        <v>3902</v>
      </c>
      <c r="BF182" t="str">
        <f>HYPERLINK("http://dx.doi.org/10.1007/s11947-017-1952-x","http://dx.doi.org/10.1007/s11947-017-1952-x")</f>
        <v>http://dx.doi.org/10.1007/s11947-017-1952-x</v>
      </c>
      <c r="BG182" t="s">
        <v>74</v>
      </c>
      <c r="BH182" t="s">
        <v>74</v>
      </c>
      <c r="BI182">
        <v>15</v>
      </c>
      <c r="BJ182" t="s">
        <v>3903</v>
      </c>
      <c r="BK182" t="s">
        <v>101</v>
      </c>
      <c r="BL182" t="s">
        <v>3903</v>
      </c>
      <c r="BM182" t="s">
        <v>3904</v>
      </c>
      <c r="BN182" t="s">
        <v>74</v>
      </c>
      <c r="BO182" t="s">
        <v>74</v>
      </c>
      <c r="BP182" t="s">
        <v>74</v>
      </c>
      <c r="BQ182" t="s">
        <v>74</v>
      </c>
      <c r="BR182" t="s">
        <v>105</v>
      </c>
      <c r="BS182" t="s">
        <v>3905</v>
      </c>
      <c r="BT182" t="str">
        <f>HYPERLINK("https%3A%2F%2Fwww.webofscience.com%2Fwos%2Fwoscc%2Ffull-record%2FWOS:000409365300006","View Full Record in Web of Science")</f>
        <v>View Full Record in Web of Science</v>
      </c>
    </row>
    <row r="183" spans="1:72" x14ac:dyDescent="0.15">
      <c r="A183" t="s">
        <v>72</v>
      </c>
      <c r="B183" t="s">
        <v>3906</v>
      </c>
      <c r="C183" t="s">
        <v>74</v>
      </c>
      <c r="D183" t="s">
        <v>74</v>
      </c>
      <c r="E183" t="s">
        <v>74</v>
      </c>
      <c r="F183" t="s">
        <v>3907</v>
      </c>
      <c r="G183" t="s">
        <v>74</v>
      </c>
      <c r="H183" t="s">
        <v>74</v>
      </c>
      <c r="I183" t="s">
        <v>3908</v>
      </c>
      <c r="J183" t="s">
        <v>2856</v>
      </c>
      <c r="K183" t="s">
        <v>74</v>
      </c>
      <c r="L183" t="s">
        <v>74</v>
      </c>
      <c r="M183" t="s">
        <v>78</v>
      </c>
      <c r="N183" t="s">
        <v>79</v>
      </c>
      <c r="O183" t="s">
        <v>74</v>
      </c>
      <c r="P183" t="s">
        <v>74</v>
      </c>
      <c r="Q183" t="s">
        <v>74</v>
      </c>
      <c r="R183" t="s">
        <v>74</v>
      </c>
      <c r="S183" t="s">
        <v>74</v>
      </c>
      <c r="T183" t="s">
        <v>3909</v>
      </c>
      <c r="U183" t="s">
        <v>3910</v>
      </c>
      <c r="V183" t="s">
        <v>3911</v>
      </c>
      <c r="W183" t="s">
        <v>3912</v>
      </c>
      <c r="X183" t="s">
        <v>3913</v>
      </c>
      <c r="Y183" t="s">
        <v>3914</v>
      </c>
      <c r="Z183" t="s">
        <v>3915</v>
      </c>
      <c r="AA183" t="s">
        <v>3916</v>
      </c>
      <c r="AB183" t="s">
        <v>3917</v>
      </c>
      <c r="AC183" t="s">
        <v>3918</v>
      </c>
      <c r="AD183" t="s">
        <v>3919</v>
      </c>
      <c r="AE183" t="s">
        <v>3920</v>
      </c>
      <c r="AF183" t="s">
        <v>74</v>
      </c>
      <c r="AG183">
        <v>63</v>
      </c>
      <c r="AH183">
        <v>36</v>
      </c>
      <c r="AI183">
        <v>39</v>
      </c>
      <c r="AJ183">
        <v>4</v>
      </c>
      <c r="AK183">
        <v>110</v>
      </c>
      <c r="AL183" t="s">
        <v>1981</v>
      </c>
      <c r="AM183" t="s">
        <v>729</v>
      </c>
      <c r="AN183" t="s">
        <v>1982</v>
      </c>
      <c r="AO183" t="s">
        <v>2863</v>
      </c>
      <c r="AP183" t="s">
        <v>2864</v>
      </c>
      <c r="AQ183" t="s">
        <v>74</v>
      </c>
      <c r="AR183" t="s">
        <v>2856</v>
      </c>
      <c r="AS183" t="s">
        <v>2865</v>
      </c>
      <c r="AT183" t="s">
        <v>1237</v>
      </c>
      <c r="AU183">
        <v>2017</v>
      </c>
      <c r="AV183">
        <v>185</v>
      </c>
      <c r="AW183" t="s">
        <v>74</v>
      </c>
      <c r="AX183" t="s">
        <v>74</v>
      </c>
      <c r="AY183" t="s">
        <v>74</v>
      </c>
      <c r="AZ183" t="s">
        <v>74</v>
      </c>
      <c r="BA183" t="s">
        <v>74</v>
      </c>
      <c r="BB183">
        <v>699</v>
      </c>
      <c r="BC183">
        <v>708</v>
      </c>
      <c r="BD183" t="s">
        <v>74</v>
      </c>
      <c r="BE183" t="s">
        <v>3921</v>
      </c>
      <c r="BF183" t="str">
        <f>HYPERLINK("http://dx.doi.org/10.1016/j.chemosphere.2017.07.054","http://dx.doi.org/10.1016/j.chemosphere.2017.07.054")</f>
        <v>http://dx.doi.org/10.1016/j.chemosphere.2017.07.054</v>
      </c>
      <c r="BG183" t="s">
        <v>74</v>
      </c>
      <c r="BH183" t="s">
        <v>74</v>
      </c>
      <c r="BI183">
        <v>10</v>
      </c>
      <c r="BJ183" t="s">
        <v>2867</v>
      </c>
      <c r="BK183" t="s">
        <v>101</v>
      </c>
      <c r="BL183" t="s">
        <v>1048</v>
      </c>
      <c r="BM183" t="s">
        <v>2868</v>
      </c>
      <c r="BN183">
        <v>28732330</v>
      </c>
      <c r="BO183" t="s">
        <v>74</v>
      </c>
      <c r="BP183" t="s">
        <v>74</v>
      </c>
      <c r="BQ183" t="s">
        <v>74</v>
      </c>
      <c r="BR183" t="s">
        <v>105</v>
      </c>
      <c r="BS183" t="s">
        <v>3922</v>
      </c>
      <c r="BT183" t="str">
        <f>HYPERLINK("https%3A%2F%2Fwww.webofscience.com%2Fwos%2Fwoscc%2Ffull-record%2FWOS:000408597300080","View Full Record in Web of Science")</f>
        <v>View Full Record in Web of Science</v>
      </c>
    </row>
    <row r="184" spans="1:72" x14ac:dyDescent="0.15">
      <c r="A184" t="s">
        <v>72</v>
      </c>
      <c r="B184" t="s">
        <v>3923</v>
      </c>
      <c r="C184" t="s">
        <v>74</v>
      </c>
      <c r="D184" t="s">
        <v>74</v>
      </c>
      <c r="E184" t="s">
        <v>74</v>
      </c>
      <c r="F184" t="s">
        <v>3924</v>
      </c>
      <c r="G184" t="s">
        <v>74</v>
      </c>
      <c r="H184" t="s">
        <v>74</v>
      </c>
      <c r="I184" t="s">
        <v>3925</v>
      </c>
      <c r="J184" t="s">
        <v>3926</v>
      </c>
      <c r="K184" t="s">
        <v>74</v>
      </c>
      <c r="L184" t="s">
        <v>74</v>
      </c>
      <c r="M184" t="s">
        <v>78</v>
      </c>
      <c r="N184" t="s">
        <v>79</v>
      </c>
      <c r="O184" t="s">
        <v>74</v>
      </c>
      <c r="P184" t="s">
        <v>74</v>
      </c>
      <c r="Q184" t="s">
        <v>74</v>
      </c>
      <c r="R184" t="s">
        <v>74</v>
      </c>
      <c r="S184" t="s">
        <v>74</v>
      </c>
      <c r="T184" t="s">
        <v>3927</v>
      </c>
      <c r="U184" t="s">
        <v>3928</v>
      </c>
      <c r="V184" t="s">
        <v>3929</v>
      </c>
      <c r="W184" t="s">
        <v>3930</v>
      </c>
      <c r="X184" t="s">
        <v>3931</v>
      </c>
      <c r="Y184" t="s">
        <v>3932</v>
      </c>
      <c r="Z184" t="s">
        <v>3933</v>
      </c>
      <c r="AA184" t="s">
        <v>3934</v>
      </c>
      <c r="AB184" t="s">
        <v>3935</v>
      </c>
      <c r="AC184" t="s">
        <v>3936</v>
      </c>
      <c r="AD184" t="s">
        <v>3937</v>
      </c>
      <c r="AE184" t="s">
        <v>3938</v>
      </c>
      <c r="AF184" t="s">
        <v>74</v>
      </c>
      <c r="AG184">
        <v>91</v>
      </c>
      <c r="AH184">
        <v>43</v>
      </c>
      <c r="AI184">
        <v>44</v>
      </c>
      <c r="AJ184">
        <v>1</v>
      </c>
      <c r="AK184">
        <v>13</v>
      </c>
      <c r="AL184" t="s">
        <v>1981</v>
      </c>
      <c r="AM184" t="s">
        <v>729</v>
      </c>
      <c r="AN184" t="s">
        <v>1982</v>
      </c>
      <c r="AO184" t="s">
        <v>3939</v>
      </c>
      <c r="AP184" t="s">
        <v>3940</v>
      </c>
      <c r="AQ184" t="s">
        <v>74</v>
      </c>
      <c r="AR184" t="s">
        <v>3941</v>
      </c>
      <c r="AS184" t="s">
        <v>3942</v>
      </c>
      <c r="AT184" t="s">
        <v>1815</v>
      </c>
      <c r="AU184">
        <v>2017</v>
      </c>
      <c r="AV184">
        <v>214</v>
      </c>
      <c r="AW184" t="s">
        <v>74</v>
      </c>
      <c r="AX184" t="s">
        <v>74</v>
      </c>
      <c r="AY184" t="s">
        <v>74</v>
      </c>
      <c r="AZ184" t="s">
        <v>74</v>
      </c>
      <c r="BA184" t="s">
        <v>74</v>
      </c>
      <c r="BB184">
        <v>157</v>
      </c>
      <c r="BC184">
        <v>171</v>
      </c>
      <c r="BD184" t="s">
        <v>74</v>
      </c>
      <c r="BE184" t="s">
        <v>3943</v>
      </c>
      <c r="BF184" t="str">
        <f>HYPERLINK("http://dx.doi.org/10.1016/j.gca.2017.07.031","http://dx.doi.org/10.1016/j.gca.2017.07.031")</f>
        <v>http://dx.doi.org/10.1016/j.gca.2017.07.031</v>
      </c>
      <c r="BG184" t="s">
        <v>74</v>
      </c>
      <c r="BH184" t="s">
        <v>74</v>
      </c>
      <c r="BI184">
        <v>15</v>
      </c>
      <c r="BJ184" t="s">
        <v>509</v>
      </c>
      <c r="BK184" t="s">
        <v>101</v>
      </c>
      <c r="BL184" t="s">
        <v>509</v>
      </c>
      <c r="BM184" t="s">
        <v>3944</v>
      </c>
      <c r="BN184" t="s">
        <v>74</v>
      </c>
      <c r="BO184" t="s">
        <v>511</v>
      </c>
      <c r="BP184" t="s">
        <v>74</v>
      </c>
      <c r="BQ184" t="s">
        <v>74</v>
      </c>
      <c r="BR184" t="s">
        <v>105</v>
      </c>
      <c r="BS184" t="s">
        <v>3945</v>
      </c>
      <c r="BT184" t="str">
        <f>HYPERLINK("https%3A%2F%2Fwww.webofscience.com%2Fwos%2Fwoscc%2Ffull-record%2FWOS:000408153100009","View Full Record in Web of Science")</f>
        <v>View Full Record in Web of Science</v>
      </c>
    </row>
    <row r="185" spans="1:72" x14ac:dyDescent="0.15">
      <c r="A185" t="s">
        <v>72</v>
      </c>
      <c r="B185" t="s">
        <v>3946</v>
      </c>
      <c r="C185" t="s">
        <v>74</v>
      </c>
      <c r="D185" t="s">
        <v>74</v>
      </c>
      <c r="E185" t="s">
        <v>74</v>
      </c>
      <c r="F185" t="s">
        <v>3947</v>
      </c>
      <c r="G185" t="s">
        <v>74</v>
      </c>
      <c r="H185" t="s">
        <v>74</v>
      </c>
      <c r="I185" t="s">
        <v>3948</v>
      </c>
      <c r="J185" t="s">
        <v>3926</v>
      </c>
      <c r="K185" t="s">
        <v>74</v>
      </c>
      <c r="L185" t="s">
        <v>74</v>
      </c>
      <c r="M185" t="s">
        <v>78</v>
      </c>
      <c r="N185" t="s">
        <v>79</v>
      </c>
      <c r="O185" t="s">
        <v>74</v>
      </c>
      <c r="P185" t="s">
        <v>74</v>
      </c>
      <c r="Q185" t="s">
        <v>74</v>
      </c>
      <c r="R185" t="s">
        <v>74</v>
      </c>
      <c r="S185" t="s">
        <v>74</v>
      </c>
      <c r="T185" t="s">
        <v>3949</v>
      </c>
      <c r="U185" t="s">
        <v>3950</v>
      </c>
      <c r="V185" t="s">
        <v>3951</v>
      </c>
      <c r="W185" t="s">
        <v>3952</v>
      </c>
      <c r="X185" t="s">
        <v>3953</v>
      </c>
      <c r="Y185" t="s">
        <v>3954</v>
      </c>
      <c r="Z185" t="s">
        <v>3955</v>
      </c>
      <c r="AA185" t="s">
        <v>3956</v>
      </c>
      <c r="AB185" t="s">
        <v>3957</v>
      </c>
      <c r="AC185" t="s">
        <v>3958</v>
      </c>
      <c r="AD185" t="s">
        <v>3959</v>
      </c>
      <c r="AE185" t="s">
        <v>3960</v>
      </c>
      <c r="AF185" t="s">
        <v>74</v>
      </c>
      <c r="AG185">
        <v>84</v>
      </c>
      <c r="AH185">
        <v>38</v>
      </c>
      <c r="AI185">
        <v>40</v>
      </c>
      <c r="AJ185">
        <v>0</v>
      </c>
      <c r="AK185">
        <v>35</v>
      </c>
      <c r="AL185" t="s">
        <v>1981</v>
      </c>
      <c r="AM185" t="s">
        <v>729</v>
      </c>
      <c r="AN185" t="s">
        <v>1982</v>
      </c>
      <c r="AO185" t="s">
        <v>3939</v>
      </c>
      <c r="AP185" t="s">
        <v>3940</v>
      </c>
      <c r="AQ185" t="s">
        <v>74</v>
      </c>
      <c r="AR185" t="s">
        <v>3941</v>
      </c>
      <c r="AS185" t="s">
        <v>3942</v>
      </c>
      <c r="AT185" t="s">
        <v>1815</v>
      </c>
      <c r="AU185">
        <v>2017</v>
      </c>
      <c r="AV185">
        <v>214</v>
      </c>
      <c r="AW185" t="s">
        <v>74</v>
      </c>
      <c r="AX185" t="s">
        <v>74</v>
      </c>
      <c r="AY185" t="s">
        <v>74</v>
      </c>
      <c r="AZ185" t="s">
        <v>74</v>
      </c>
      <c r="BA185" t="s">
        <v>74</v>
      </c>
      <c r="BB185">
        <v>172</v>
      </c>
      <c r="BC185">
        <v>190</v>
      </c>
      <c r="BD185" t="s">
        <v>74</v>
      </c>
      <c r="BE185" t="s">
        <v>3961</v>
      </c>
      <c r="BF185" t="str">
        <f>HYPERLINK("http://dx.doi.org/10.1016/j.gca.2017.06.047","http://dx.doi.org/10.1016/j.gca.2017.06.047")</f>
        <v>http://dx.doi.org/10.1016/j.gca.2017.06.047</v>
      </c>
      <c r="BG185" t="s">
        <v>74</v>
      </c>
      <c r="BH185" t="s">
        <v>74</v>
      </c>
      <c r="BI185">
        <v>19</v>
      </c>
      <c r="BJ185" t="s">
        <v>509</v>
      </c>
      <c r="BK185" t="s">
        <v>101</v>
      </c>
      <c r="BL185" t="s">
        <v>509</v>
      </c>
      <c r="BM185" t="s">
        <v>3944</v>
      </c>
      <c r="BN185" t="s">
        <v>74</v>
      </c>
      <c r="BO185" t="s">
        <v>3962</v>
      </c>
      <c r="BP185" t="s">
        <v>74</v>
      </c>
      <c r="BQ185" t="s">
        <v>74</v>
      </c>
      <c r="BR185" t="s">
        <v>105</v>
      </c>
      <c r="BS185" t="s">
        <v>3963</v>
      </c>
      <c r="BT185" t="str">
        <f>HYPERLINK("https%3A%2F%2Fwww.webofscience.com%2Fwos%2Fwoscc%2Ffull-record%2FWOS:000408153100010","View Full Record in Web of Science")</f>
        <v>View Full Record in Web of Science</v>
      </c>
    </row>
    <row r="186" spans="1:72" x14ac:dyDescent="0.15">
      <c r="A186" t="s">
        <v>72</v>
      </c>
      <c r="B186" t="s">
        <v>3964</v>
      </c>
      <c r="C186" t="s">
        <v>74</v>
      </c>
      <c r="D186" t="s">
        <v>74</v>
      </c>
      <c r="E186" t="s">
        <v>74</v>
      </c>
      <c r="F186" t="s">
        <v>3965</v>
      </c>
      <c r="G186" t="s">
        <v>74</v>
      </c>
      <c r="H186" t="s">
        <v>74</v>
      </c>
      <c r="I186" t="s">
        <v>3966</v>
      </c>
      <c r="J186" t="s">
        <v>3967</v>
      </c>
      <c r="K186" t="s">
        <v>74</v>
      </c>
      <c r="L186" t="s">
        <v>74</v>
      </c>
      <c r="M186" t="s">
        <v>78</v>
      </c>
      <c r="N186" t="s">
        <v>79</v>
      </c>
      <c r="O186" t="s">
        <v>74</v>
      </c>
      <c r="P186" t="s">
        <v>74</v>
      </c>
      <c r="Q186" t="s">
        <v>74</v>
      </c>
      <c r="R186" t="s">
        <v>74</v>
      </c>
      <c r="S186" t="s">
        <v>74</v>
      </c>
      <c r="T186" t="s">
        <v>3968</v>
      </c>
      <c r="U186" t="s">
        <v>3969</v>
      </c>
      <c r="V186" t="s">
        <v>3970</v>
      </c>
      <c r="W186" t="s">
        <v>3971</v>
      </c>
      <c r="X186" t="s">
        <v>3972</v>
      </c>
      <c r="Y186" t="s">
        <v>3973</v>
      </c>
      <c r="Z186" t="s">
        <v>3974</v>
      </c>
      <c r="AA186" t="s">
        <v>3975</v>
      </c>
      <c r="AB186" t="s">
        <v>3976</v>
      </c>
      <c r="AC186" t="s">
        <v>3977</v>
      </c>
      <c r="AD186" t="s">
        <v>3978</v>
      </c>
      <c r="AE186" t="s">
        <v>3979</v>
      </c>
      <c r="AF186" t="s">
        <v>74</v>
      </c>
      <c r="AG186">
        <v>44</v>
      </c>
      <c r="AH186">
        <v>20</v>
      </c>
      <c r="AI186">
        <v>23</v>
      </c>
      <c r="AJ186">
        <v>2</v>
      </c>
      <c r="AK186">
        <v>35</v>
      </c>
      <c r="AL186" t="s">
        <v>371</v>
      </c>
      <c r="AM186" t="s">
        <v>372</v>
      </c>
      <c r="AN186" t="s">
        <v>373</v>
      </c>
      <c r="AO186" t="s">
        <v>3980</v>
      </c>
      <c r="AP186" t="s">
        <v>3981</v>
      </c>
      <c r="AQ186" t="s">
        <v>74</v>
      </c>
      <c r="AR186" t="s">
        <v>3982</v>
      </c>
      <c r="AS186" t="s">
        <v>3983</v>
      </c>
      <c r="AT186" t="s">
        <v>1237</v>
      </c>
      <c r="AU186">
        <v>2017</v>
      </c>
      <c r="AV186">
        <v>103</v>
      </c>
      <c r="AW186" t="s">
        <v>74</v>
      </c>
      <c r="AX186" t="s">
        <v>74</v>
      </c>
      <c r="AY186" t="s">
        <v>74</v>
      </c>
      <c r="AZ186" t="s">
        <v>74</v>
      </c>
      <c r="BA186" t="s">
        <v>74</v>
      </c>
      <c r="BB186">
        <v>854</v>
      </c>
      <c r="BC186">
        <v>862</v>
      </c>
      <c r="BD186" t="s">
        <v>74</v>
      </c>
      <c r="BE186" t="s">
        <v>3984</v>
      </c>
      <c r="BF186" t="str">
        <f>HYPERLINK("http://dx.doi.org/10.1016/j.ijbiomac.2017.05.142","http://dx.doi.org/10.1016/j.ijbiomac.2017.05.142")</f>
        <v>http://dx.doi.org/10.1016/j.ijbiomac.2017.05.142</v>
      </c>
      <c r="BG186" t="s">
        <v>74</v>
      </c>
      <c r="BH186" t="s">
        <v>74</v>
      </c>
      <c r="BI186">
        <v>9</v>
      </c>
      <c r="BJ186" t="s">
        <v>3985</v>
      </c>
      <c r="BK186" t="s">
        <v>101</v>
      </c>
      <c r="BL186" t="s">
        <v>3986</v>
      </c>
      <c r="BM186" t="s">
        <v>3987</v>
      </c>
      <c r="BN186">
        <v>28552726</v>
      </c>
      <c r="BO186" t="s">
        <v>74</v>
      </c>
      <c r="BP186" t="s">
        <v>74</v>
      </c>
      <c r="BQ186" t="s">
        <v>74</v>
      </c>
      <c r="BR186" t="s">
        <v>105</v>
      </c>
      <c r="BS186" t="s">
        <v>3988</v>
      </c>
      <c r="BT186" t="str">
        <f>HYPERLINK("https%3A%2F%2Fwww.webofscience.com%2Fwos%2Fwoscc%2Ffull-record%2FWOS:000408286400098","View Full Record in Web of Science")</f>
        <v>View Full Record in Web of Science</v>
      </c>
    </row>
    <row r="187" spans="1:72" x14ac:dyDescent="0.15">
      <c r="A187" t="s">
        <v>72</v>
      </c>
      <c r="B187" t="s">
        <v>3989</v>
      </c>
      <c r="C187" t="s">
        <v>74</v>
      </c>
      <c r="D187" t="s">
        <v>74</v>
      </c>
      <c r="E187" t="s">
        <v>74</v>
      </c>
      <c r="F187" t="s">
        <v>3990</v>
      </c>
      <c r="G187" t="s">
        <v>74</v>
      </c>
      <c r="H187" t="s">
        <v>74</v>
      </c>
      <c r="I187" t="s">
        <v>3991</v>
      </c>
      <c r="J187" t="s">
        <v>3992</v>
      </c>
      <c r="K187" t="s">
        <v>74</v>
      </c>
      <c r="L187" t="s">
        <v>74</v>
      </c>
      <c r="M187" t="s">
        <v>78</v>
      </c>
      <c r="N187" t="s">
        <v>79</v>
      </c>
      <c r="O187" t="s">
        <v>74</v>
      </c>
      <c r="P187" t="s">
        <v>74</v>
      </c>
      <c r="Q187" t="s">
        <v>74</v>
      </c>
      <c r="R187" t="s">
        <v>74</v>
      </c>
      <c r="S187" t="s">
        <v>74</v>
      </c>
      <c r="T187" t="s">
        <v>74</v>
      </c>
      <c r="U187" t="s">
        <v>3993</v>
      </c>
      <c r="V187" t="s">
        <v>3994</v>
      </c>
      <c r="W187" t="s">
        <v>3995</v>
      </c>
      <c r="X187" t="s">
        <v>3996</v>
      </c>
      <c r="Y187" t="s">
        <v>3997</v>
      </c>
      <c r="Z187" t="s">
        <v>3998</v>
      </c>
      <c r="AA187" t="s">
        <v>3999</v>
      </c>
      <c r="AB187" t="s">
        <v>4000</v>
      </c>
      <c r="AC187" t="s">
        <v>4001</v>
      </c>
      <c r="AD187" t="s">
        <v>4002</v>
      </c>
      <c r="AE187" t="s">
        <v>4003</v>
      </c>
      <c r="AF187" t="s">
        <v>74</v>
      </c>
      <c r="AG187">
        <v>86</v>
      </c>
      <c r="AH187">
        <v>33</v>
      </c>
      <c r="AI187">
        <v>33</v>
      </c>
      <c r="AJ187">
        <v>1</v>
      </c>
      <c r="AK187">
        <v>34</v>
      </c>
      <c r="AL187" t="s">
        <v>502</v>
      </c>
      <c r="AM187" t="s">
        <v>372</v>
      </c>
      <c r="AN187" t="s">
        <v>503</v>
      </c>
      <c r="AO187" t="s">
        <v>4004</v>
      </c>
      <c r="AP187" t="s">
        <v>4005</v>
      </c>
      <c r="AQ187" t="s">
        <v>74</v>
      </c>
      <c r="AR187" t="s">
        <v>3992</v>
      </c>
      <c r="AS187" t="s">
        <v>4006</v>
      </c>
      <c r="AT187" t="s">
        <v>1815</v>
      </c>
      <c r="AU187">
        <v>2017</v>
      </c>
      <c r="AV187">
        <v>479</v>
      </c>
      <c r="AW187" t="s">
        <v>74</v>
      </c>
      <c r="AX187" t="s">
        <v>74</v>
      </c>
      <c r="AY187" t="s">
        <v>74</v>
      </c>
      <c r="AZ187" t="s">
        <v>74</v>
      </c>
      <c r="BA187" t="s">
        <v>74</v>
      </c>
      <c r="BB187">
        <v>342</v>
      </c>
      <c r="BC187">
        <v>351</v>
      </c>
      <c r="BD187" t="s">
        <v>74</v>
      </c>
      <c r="BE187" t="s">
        <v>4007</v>
      </c>
      <c r="BF187" t="str">
        <f>HYPERLINK("http://dx.doi.org/10.1016/j.aquaculture.2017.05.036","http://dx.doi.org/10.1016/j.aquaculture.2017.05.036")</f>
        <v>http://dx.doi.org/10.1016/j.aquaculture.2017.05.036</v>
      </c>
      <c r="BG187" t="s">
        <v>74</v>
      </c>
      <c r="BH187" t="s">
        <v>74</v>
      </c>
      <c r="BI187">
        <v>10</v>
      </c>
      <c r="BJ187" t="s">
        <v>4008</v>
      </c>
      <c r="BK187" t="s">
        <v>101</v>
      </c>
      <c r="BL187" t="s">
        <v>4008</v>
      </c>
      <c r="BM187" t="s">
        <v>4009</v>
      </c>
      <c r="BN187" t="s">
        <v>74</v>
      </c>
      <c r="BO187" t="s">
        <v>74</v>
      </c>
      <c r="BP187" t="s">
        <v>74</v>
      </c>
      <c r="BQ187" t="s">
        <v>74</v>
      </c>
      <c r="BR187" t="s">
        <v>105</v>
      </c>
      <c r="BS187" t="s">
        <v>4010</v>
      </c>
      <c r="BT187" t="str">
        <f>HYPERLINK("https%3A%2F%2Fwww.webofscience.com%2Fwos%2Fwoscc%2Ffull-record%2FWOS:000408034700042","View Full Record in Web of Science")</f>
        <v>View Full Record in Web of Science</v>
      </c>
    </row>
    <row r="188" spans="1:72" x14ac:dyDescent="0.15">
      <c r="A188" t="s">
        <v>72</v>
      </c>
      <c r="B188" t="s">
        <v>4011</v>
      </c>
      <c r="C188" t="s">
        <v>74</v>
      </c>
      <c r="D188" t="s">
        <v>74</v>
      </c>
      <c r="E188" t="s">
        <v>74</v>
      </c>
      <c r="F188" t="s">
        <v>4012</v>
      </c>
      <c r="G188" t="s">
        <v>74</v>
      </c>
      <c r="H188" t="s">
        <v>74</v>
      </c>
      <c r="I188" t="s">
        <v>4013</v>
      </c>
      <c r="J188" t="s">
        <v>3088</v>
      </c>
      <c r="K188" t="s">
        <v>74</v>
      </c>
      <c r="L188" t="s">
        <v>74</v>
      </c>
      <c r="M188" t="s">
        <v>78</v>
      </c>
      <c r="N188" t="s">
        <v>273</v>
      </c>
      <c r="O188" t="s">
        <v>74</v>
      </c>
      <c r="P188" t="s">
        <v>74</v>
      </c>
      <c r="Q188" t="s">
        <v>74</v>
      </c>
      <c r="R188" t="s">
        <v>74</v>
      </c>
      <c r="S188" t="s">
        <v>74</v>
      </c>
      <c r="T188" t="s">
        <v>4014</v>
      </c>
      <c r="U188" t="s">
        <v>4015</v>
      </c>
      <c r="V188" t="s">
        <v>4016</v>
      </c>
      <c r="W188" t="s">
        <v>4017</v>
      </c>
      <c r="X188" t="s">
        <v>4018</v>
      </c>
      <c r="Y188" t="s">
        <v>4019</v>
      </c>
      <c r="Z188" t="s">
        <v>4020</v>
      </c>
      <c r="AA188" t="s">
        <v>4021</v>
      </c>
      <c r="AB188" t="s">
        <v>4022</v>
      </c>
      <c r="AC188" t="s">
        <v>4023</v>
      </c>
      <c r="AD188" t="s">
        <v>4024</v>
      </c>
      <c r="AE188" t="s">
        <v>4025</v>
      </c>
      <c r="AF188" t="s">
        <v>74</v>
      </c>
      <c r="AG188">
        <v>104</v>
      </c>
      <c r="AH188">
        <v>11</v>
      </c>
      <c r="AI188">
        <v>12</v>
      </c>
      <c r="AJ188">
        <v>0</v>
      </c>
      <c r="AK188">
        <v>27</v>
      </c>
      <c r="AL188" t="s">
        <v>728</v>
      </c>
      <c r="AM188" t="s">
        <v>729</v>
      </c>
      <c r="AN188" t="s">
        <v>730</v>
      </c>
      <c r="AO188" t="s">
        <v>3101</v>
      </c>
      <c r="AP188" t="s">
        <v>3102</v>
      </c>
      <c r="AQ188" t="s">
        <v>74</v>
      </c>
      <c r="AR188" t="s">
        <v>3103</v>
      </c>
      <c r="AS188" t="s">
        <v>3104</v>
      </c>
      <c r="AT188" t="s">
        <v>1237</v>
      </c>
      <c r="AU188">
        <v>2017</v>
      </c>
      <c r="AV188">
        <v>76</v>
      </c>
      <c r="AW188" t="s">
        <v>74</v>
      </c>
      <c r="AX188" t="s">
        <v>74</v>
      </c>
      <c r="AY188" t="s">
        <v>74</v>
      </c>
      <c r="AZ188" t="s">
        <v>74</v>
      </c>
      <c r="BA188" t="s">
        <v>74</v>
      </c>
      <c r="BB188">
        <v>153</v>
      </c>
      <c r="BC188">
        <v>164</v>
      </c>
      <c r="BD188" t="s">
        <v>74</v>
      </c>
      <c r="BE188" t="s">
        <v>4026</v>
      </c>
      <c r="BF188" t="str">
        <f>HYPERLINK("http://dx.doi.org/10.1016/j.envsci.2017.06.017","http://dx.doi.org/10.1016/j.envsci.2017.06.017")</f>
        <v>http://dx.doi.org/10.1016/j.envsci.2017.06.017</v>
      </c>
      <c r="BG188" t="s">
        <v>74</v>
      </c>
      <c r="BH188" t="s">
        <v>74</v>
      </c>
      <c r="BI188">
        <v>12</v>
      </c>
      <c r="BJ188" t="s">
        <v>2867</v>
      </c>
      <c r="BK188" t="s">
        <v>101</v>
      </c>
      <c r="BL188" t="s">
        <v>1048</v>
      </c>
      <c r="BM188" t="s">
        <v>3106</v>
      </c>
      <c r="BN188" t="s">
        <v>74</v>
      </c>
      <c r="BO188" t="s">
        <v>74</v>
      </c>
      <c r="BP188" t="s">
        <v>74</v>
      </c>
      <c r="BQ188" t="s">
        <v>74</v>
      </c>
      <c r="BR188" t="s">
        <v>105</v>
      </c>
      <c r="BS188" t="s">
        <v>4027</v>
      </c>
      <c r="BT188" t="str">
        <f>HYPERLINK("https%3A%2F%2Fwww.webofscience.com%2Fwos%2Fwoscc%2Ffull-record%2FWOS:000407981300018","View Full Record in Web of Science")</f>
        <v>View Full Record in Web of Science</v>
      </c>
    </row>
    <row r="189" spans="1:72" x14ac:dyDescent="0.15">
      <c r="A189" t="s">
        <v>72</v>
      </c>
      <c r="B189" t="s">
        <v>4028</v>
      </c>
      <c r="C189" t="s">
        <v>74</v>
      </c>
      <c r="D189" t="s">
        <v>74</v>
      </c>
      <c r="E189" t="s">
        <v>74</v>
      </c>
      <c r="F189" t="s">
        <v>4029</v>
      </c>
      <c r="G189" t="s">
        <v>74</v>
      </c>
      <c r="H189" t="s">
        <v>74</v>
      </c>
      <c r="I189" t="s">
        <v>4030</v>
      </c>
      <c r="J189" t="s">
        <v>4031</v>
      </c>
      <c r="K189" t="s">
        <v>74</v>
      </c>
      <c r="L189" t="s">
        <v>74</v>
      </c>
      <c r="M189" t="s">
        <v>78</v>
      </c>
      <c r="N189" t="s">
        <v>79</v>
      </c>
      <c r="O189" t="s">
        <v>74</v>
      </c>
      <c r="P189" t="s">
        <v>74</v>
      </c>
      <c r="Q189" t="s">
        <v>74</v>
      </c>
      <c r="R189" t="s">
        <v>74</v>
      </c>
      <c r="S189" t="s">
        <v>74</v>
      </c>
      <c r="T189" t="s">
        <v>4032</v>
      </c>
      <c r="U189" t="s">
        <v>4033</v>
      </c>
      <c r="V189" t="s">
        <v>4034</v>
      </c>
      <c r="W189" t="s">
        <v>4035</v>
      </c>
      <c r="X189" t="s">
        <v>4036</v>
      </c>
      <c r="Y189" t="s">
        <v>4037</v>
      </c>
      <c r="Z189" t="s">
        <v>4038</v>
      </c>
      <c r="AA189" t="s">
        <v>74</v>
      </c>
      <c r="AB189" t="s">
        <v>74</v>
      </c>
      <c r="AC189" t="s">
        <v>4039</v>
      </c>
      <c r="AD189" t="s">
        <v>4040</v>
      </c>
      <c r="AE189" t="s">
        <v>4041</v>
      </c>
      <c r="AF189" t="s">
        <v>74</v>
      </c>
      <c r="AG189">
        <v>32</v>
      </c>
      <c r="AH189">
        <v>3</v>
      </c>
      <c r="AI189">
        <v>3</v>
      </c>
      <c r="AJ189">
        <v>0</v>
      </c>
      <c r="AK189">
        <v>21</v>
      </c>
      <c r="AL189" t="s">
        <v>4042</v>
      </c>
      <c r="AM189" t="s">
        <v>4043</v>
      </c>
      <c r="AN189" t="s">
        <v>4044</v>
      </c>
      <c r="AO189" t="s">
        <v>4045</v>
      </c>
      <c r="AP189" t="s">
        <v>4046</v>
      </c>
      <c r="AQ189" t="s">
        <v>74</v>
      </c>
      <c r="AR189" t="s">
        <v>4047</v>
      </c>
      <c r="AS189" t="s">
        <v>4048</v>
      </c>
      <c r="AT189" t="s">
        <v>1237</v>
      </c>
      <c r="AU189">
        <v>2017</v>
      </c>
      <c r="AV189">
        <v>16</v>
      </c>
      <c r="AW189">
        <v>5</v>
      </c>
      <c r="AX189" t="s">
        <v>74</v>
      </c>
      <c r="AY189" t="s">
        <v>74</v>
      </c>
      <c r="AZ189" t="s">
        <v>74</v>
      </c>
      <c r="BA189" t="s">
        <v>74</v>
      </c>
      <c r="BB189">
        <v>766</v>
      </c>
      <c r="BC189">
        <v>774</v>
      </c>
      <c r="BD189" t="s">
        <v>74</v>
      </c>
      <c r="BE189" t="s">
        <v>4049</v>
      </c>
      <c r="BF189" t="str">
        <f>HYPERLINK("http://dx.doi.org/10.1007/s11802-017-3286-8","http://dx.doi.org/10.1007/s11802-017-3286-8")</f>
        <v>http://dx.doi.org/10.1007/s11802-017-3286-8</v>
      </c>
      <c r="BG189" t="s">
        <v>74</v>
      </c>
      <c r="BH189" t="s">
        <v>74</v>
      </c>
      <c r="BI189">
        <v>9</v>
      </c>
      <c r="BJ189" t="s">
        <v>1459</v>
      </c>
      <c r="BK189" t="s">
        <v>101</v>
      </c>
      <c r="BL189" t="s">
        <v>1459</v>
      </c>
      <c r="BM189" t="s">
        <v>4050</v>
      </c>
      <c r="BN189" t="s">
        <v>74</v>
      </c>
      <c r="BO189" t="s">
        <v>74</v>
      </c>
      <c r="BP189" t="s">
        <v>74</v>
      </c>
      <c r="BQ189" t="s">
        <v>74</v>
      </c>
      <c r="BR189" t="s">
        <v>105</v>
      </c>
      <c r="BS189" t="s">
        <v>4051</v>
      </c>
      <c r="BT189" t="str">
        <f>HYPERLINK("https%3A%2F%2Fwww.webofscience.com%2Fwos%2Fwoscc%2Ffull-record%2FWOS:000407615200006","View Full Record in Web of Science")</f>
        <v>View Full Record in Web of Science</v>
      </c>
    </row>
    <row r="190" spans="1:72" x14ac:dyDescent="0.15">
      <c r="A190" t="s">
        <v>72</v>
      </c>
      <c r="B190" t="s">
        <v>4052</v>
      </c>
      <c r="C190" t="s">
        <v>74</v>
      </c>
      <c r="D190" t="s">
        <v>74</v>
      </c>
      <c r="E190" t="s">
        <v>74</v>
      </c>
      <c r="F190" t="s">
        <v>4053</v>
      </c>
      <c r="G190" t="s">
        <v>74</v>
      </c>
      <c r="H190" t="s">
        <v>74</v>
      </c>
      <c r="I190" t="s">
        <v>4054</v>
      </c>
      <c r="J190" t="s">
        <v>4055</v>
      </c>
      <c r="K190" t="s">
        <v>74</v>
      </c>
      <c r="L190" t="s">
        <v>74</v>
      </c>
      <c r="M190" t="s">
        <v>78</v>
      </c>
      <c r="N190" t="s">
        <v>79</v>
      </c>
      <c r="O190" t="s">
        <v>74</v>
      </c>
      <c r="P190" t="s">
        <v>74</v>
      </c>
      <c r="Q190" t="s">
        <v>74</v>
      </c>
      <c r="R190" t="s">
        <v>74</v>
      </c>
      <c r="S190" t="s">
        <v>74</v>
      </c>
      <c r="T190" t="s">
        <v>4056</v>
      </c>
      <c r="U190" t="s">
        <v>4057</v>
      </c>
      <c r="V190" t="s">
        <v>4058</v>
      </c>
      <c r="W190" t="s">
        <v>4059</v>
      </c>
      <c r="X190" t="s">
        <v>4060</v>
      </c>
      <c r="Y190" t="s">
        <v>4061</v>
      </c>
      <c r="Z190" t="s">
        <v>4062</v>
      </c>
      <c r="AA190" t="s">
        <v>4063</v>
      </c>
      <c r="AB190" t="s">
        <v>4064</v>
      </c>
      <c r="AC190" t="s">
        <v>4065</v>
      </c>
      <c r="AD190" t="s">
        <v>4066</v>
      </c>
      <c r="AE190" t="s">
        <v>4067</v>
      </c>
      <c r="AF190" t="s">
        <v>74</v>
      </c>
      <c r="AG190">
        <v>77</v>
      </c>
      <c r="AH190">
        <v>4</v>
      </c>
      <c r="AI190">
        <v>4</v>
      </c>
      <c r="AJ190">
        <v>0</v>
      </c>
      <c r="AK190">
        <v>17</v>
      </c>
      <c r="AL190" t="s">
        <v>371</v>
      </c>
      <c r="AM190" t="s">
        <v>372</v>
      </c>
      <c r="AN190" t="s">
        <v>373</v>
      </c>
      <c r="AO190" t="s">
        <v>4068</v>
      </c>
      <c r="AP190" t="s">
        <v>4069</v>
      </c>
      <c r="AQ190" t="s">
        <v>74</v>
      </c>
      <c r="AR190" t="s">
        <v>4070</v>
      </c>
      <c r="AS190" t="s">
        <v>4071</v>
      </c>
      <c r="AT190" t="s">
        <v>1237</v>
      </c>
      <c r="AU190">
        <v>2017</v>
      </c>
      <c r="AV190">
        <v>245</v>
      </c>
      <c r="AW190" t="s">
        <v>74</v>
      </c>
      <c r="AX190" t="s">
        <v>74</v>
      </c>
      <c r="AY190" t="s">
        <v>74</v>
      </c>
      <c r="AZ190" t="s">
        <v>74</v>
      </c>
      <c r="BA190" t="s">
        <v>74</v>
      </c>
      <c r="BB190">
        <v>1</v>
      </c>
      <c r="BC190">
        <v>9</v>
      </c>
      <c r="BD190" t="s">
        <v>74</v>
      </c>
      <c r="BE190" t="s">
        <v>4072</v>
      </c>
      <c r="BF190" t="str">
        <f>HYPERLINK("http://dx.doi.org/10.1016/j.revpa1bo.2017.05.006","http://dx.doi.org/10.1016/j.revpa1bo.2017.05.006")</f>
        <v>http://dx.doi.org/10.1016/j.revpa1bo.2017.05.006</v>
      </c>
      <c r="BG190" t="s">
        <v>74</v>
      </c>
      <c r="BH190" t="s">
        <v>74</v>
      </c>
      <c r="BI190">
        <v>9</v>
      </c>
      <c r="BJ190" t="s">
        <v>4073</v>
      </c>
      <c r="BK190" t="s">
        <v>101</v>
      </c>
      <c r="BL190" t="s">
        <v>4073</v>
      </c>
      <c r="BM190" t="s">
        <v>4074</v>
      </c>
      <c r="BN190" t="s">
        <v>74</v>
      </c>
      <c r="BO190" t="s">
        <v>74</v>
      </c>
      <c r="BP190" t="s">
        <v>74</v>
      </c>
      <c r="BQ190" t="s">
        <v>74</v>
      </c>
      <c r="BR190" t="s">
        <v>105</v>
      </c>
      <c r="BS190" t="s">
        <v>4075</v>
      </c>
      <c r="BT190" t="str">
        <f>HYPERLINK("https%3A%2F%2Fwww.webofscience.com%2Fwos%2Fwoscc%2Ffull-record%2FWOS:000407537300001","View Full Record in Web of Science")</f>
        <v>View Full Record in Web of Science</v>
      </c>
    </row>
    <row r="191" spans="1:72" x14ac:dyDescent="0.15">
      <c r="A191" t="s">
        <v>72</v>
      </c>
      <c r="B191" t="s">
        <v>4076</v>
      </c>
      <c r="C191" t="s">
        <v>74</v>
      </c>
      <c r="D191" t="s">
        <v>74</v>
      </c>
      <c r="E191" t="s">
        <v>74</v>
      </c>
      <c r="F191" t="s">
        <v>4077</v>
      </c>
      <c r="G191" t="s">
        <v>74</v>
      </c>
      <c r="H191" t="s">
        <v>74</v>
      </c>
      <c r="I191" t="s">
        <v>4078</v>
      </c>
      <c r="J191" t="s">
        <v>4079</v>
      </c>
      <c r="K191" t="s">
        <v>74</v>
      </c>
      <c r="L191" t="s">
        <v>74</v>
      </c>
      <c r="M191" t="s">
        <v>78</v>
      </c>
      <c r="N191" t="s">
        <v>79</v>
      </c>
      <c r="O191" t="s">
        <v>74</v>
      </c>
      <c r="P191" t="s">
        <v>74</v>
      </c>
      <c r="Q191" t="s">
        <v>74</v>
      </c>
      <c r="R191" t="s">
        <v>74</v>
      </c>
      <c r="S191" t="s">
        <v>74</v>
      </c>
      <c r="T191" t="s">
        <v>4080</v>
      </c>
      <c r="U191" t="s">
        <v>4081</v>
      </c>
      <c r="V191" t="s">
        <v>4082</v>
      </c>
      <c r="W191" t="s">
        <v>4083</v>
      </c>
      <c r="X191" t="s">
        <v>4084</v>
      </c>
      <c r="Y191" t="s">
        <v>4085</v>
      </c>
      <c r="Z191" t="s">
        <v>4086</v>
      </c>
      <c r="AA191" t="s">
        <v>4087</v>
      </c>
      <c r="AB191" t="s">
        <v>4088</v>
      </c>
      <c r="AC191" t="s">
        <v>4089</v>
      </c>
      <c r="AD191" t="s">
        <v>4090</v>
      </c>
      <c r="AE191" t="s">
        <v>4091</v>
      </c>
      <c r="AF191" t="s">
        <v>74</v>
      </c>
      <c r="AG191">
        <v>52</v>
      </c>
      <c r="AH191">
        <v>19</v>
      </c>
      <c r="AI191">
        <v>19</v>
      </c>
      <c r="AJ191">
        <v>2</v>
      </c>
      <c r="AK191">
        <v>10</v>
      </c>
      <c r="AL191" t="s">
        <v>502</v>
      </c>
      <c r="AM191" t="s">
        <v>372</v>
      </c>
      <c r="AN191" t="s">
        <v>503</v>
      </c>
      <c r="AO191" t="s">
        <v>4092</v>
      </c>
      <c r="AP191" t="s">
        <v>4093</v>
      </c>
      <c r="AQ191" t="s">
        <v>74</v>
      </c>
      <c r="AR191" t="s">
        <v>4094</v>
      </c>
      <c r="AS191" t="s">
        <v>4095</v>
      </c>
      <c r="AT191" t="s">
        <v>1237</v>
      </c>
      <c r="AU191">
        <v>2017</v>
      </c>
      <c r="AV191">
        <v>174</v>
      </c>
      <c r="AW191" t="s">
        <v>74</v>
      </c>
      <c r="AX191" t="s">
        <v>74</v>
      </c>
      <c r="AY191" t="s">
        <v>74</v>
      </c>
      <c r="AZ191" t="s">
        <v>74</v>
      </c>
      <c r="BA191" t="s">
        <v>74</v>
      </c>
      <c r="BB191">
        <v>25</v>
      </c>
      <c r="BC191">
        <v>39</v>
      </c>
      <c r="BD191" t="s">
        <v>74</v>
      </c>
      <c r="BE191" t="s">
        <v>4096</v>
      </c>
      <c r="BF191" t="str">
        <f>HYPERLINK("http://dx.doi.org/10.1016/j.jmarsys.2017.04.002","http://dx.doi.org/10.1016/j.jmarsys.2017.04.002")</f>
        <v>http://dx.doi.org/10.1016/j.jmarsys.2017.04.002</v>
      </c>
      <c r="BG191" t="s">
        <v>74</v>
      </c>
      <c r="BH191" t="s">
        <v>74</v>
      </c>
      <c r="BI191">
        <v>15</v>
      </c>
      <c r="BJ191" t="s">
        <v>4097</v>
      </c>
      <c r="BK191" t="s">
        <v>101</v>
      </c>
      <c r="BL191" t="s">
        <v>4098</v>
      </c>
      <c r="BM191" t="s">
        <v>4099</v>
      </c>
      <c r="BN191" t="s">
        <v>74</v>
      </c>
      <c r="BO191" t="s">
        <v>74</v>
      </c>
      <c r="BP191" t="s">
        <v>74</v>
      </c>
      <c r="BQ191" t="s">
        <v>74</v>
      </c>
      <c r="BR191" t="s">
        <v>105</v>
      </c>
      <c r="BS191" t="s">
        <v>4100</v>
      </c>
      <c r="BT191" t="str">
        <f>HYPERLINK("https%3A%2F%2Fwww.webofscience.com%2Fwos%2Fwoscc%2Ffull-record%2FWOS:000406730800003","View Full Record in Web of Science")</f>
        <v>View Full Record in Web of Science</v>
      </c>
    </row>
    <row r="192" spans="1:72" x14ac:dyDescent="0.15">
      <c r="A192" t="s">
        <v>72</v>
      </c>
      <c r="B192" t="s">
        <v>4101</v>
      </c>
      <c r="C192" t="s">
        <v>74</v>
      </c>
      <c r="D192" t="s">
        <v>74</v>
      </c>
      <c r="E192" t="s">
        <v>74</v>
      </c>
      <c r="F192" t="s">
        <v>4102</v>
      </c>
      <c r="G192" t="s">
        <v>74</v>
      </c>
      <c r="H192" t="s">
        <v>74</v>
      </c>
      <c r="I192" t="s">
        <v>4103</v>
      </c>
      <c r="J192" t="s">
        <v>4104</v>
      </c>
      <c r="K192" t="s">
        <v>74</v>
      </c>
      <c r="L192" t="s">
        <v>74</v>
      </c>
      <c r="M192" t="s">
        <v>78</v>
      </c>
      <c r="N192" t="s">
        <v>79</v>
      </c>
      <c r="O192" t="s">
        <v>74</v>
      </c>
      <c r="P192" t="s">
        <v>74</v>
      </c>
      <c r="Q192" t="s">
        <v>74</v>
      </c>
      <c r="R192" t="s">
        <v>74</v>
      </c>
      <c r="S192" t="s">
        <v>74</v>
      </c>
      <c r="T192" t="s">
        <v>4105</v>
      </c>
      <c r="U192" t="s">
        <v>4106</v>
      </c>
      <c r="V192" t="s">
        <v>4107</v>
      </c>
      <c r="W192" t="s">
        <v>4108</v>
      </c>
      <c r="X192" t="s">
        <v>4109</v>
      </c>
      <c r="Y192" t="s">
        <v>4110</v>
      </c>
      <c r="Z192" t="s">
        <v>4111</v>
      </c>
      <c r="AA192" t="s">
        <v>74</v>
      </c>
      <c r="AB192" t="s">
        <v>4112</v>
      </c>
      <c r="AC192" t="s">
        <v>4113</v>
      </c>
      <c r="AD192" t="s">
        <v>4114</v>
      </c>
      <c r="AE192" t="s">
        <v>4115</v>
      </c>
      <c r="AF192" t="s">
        <v>74</v>
      </c>
      <c r="AG192">
        <v>38</v>
      </c>
      <c r="AH192">
        <v>0</v>
      </c>
      <c r="AI192">
        <v>0</v>
      </c>
      <c r="AJ192">
        <v>0</v>
      </c>
      <c r="AK192">
        <v>2</v>
      </c>
      <c r="AL192" t="s">
        <v>728</v>
      </c>
      <c r="AM192" t="s">
        <v>729</v>
      </c>
      <c r="AN192" t="s">
        <v>730</v>
      </c>
      <c r="AO192" t="s">
        <v>4116</v>
      </c>
      <c r="AP192" t="s">
        <v>4117</v>
      </c>
      <c r="AQ192" t="s">
        <v>74</v>
      </c>
      <c r="AR192" t="s">
        <v>4104</v>
      </c>
      <c r="AS192" t="s">
        <v>4118</v>
      </c>
      <c r="AT192" t="s">
        <v>1237</v>
      </c>
      <c r="AU192">
        <v>2017</v>
      </c>
      <c r="AV192">
        <v>44</v>
      </c>
      <c r="AW192">
        <v>5</v>
      </c>
      <c r="AX192" t="s">
        <v>74</v>
      </c>
      <c r="AY192" t="s">
        <v>74</v>
      </c>
      <c r="AZ192" t="s">
        <v>74</v>
      </c>
      <c r="BA192" t="s">
        <v>74</v>
      </c>
      <c r="BB192">
        <v>534</v>
      </c>
      <c r="BC192">
        <v>539</v>
      </c>
      <c r="BD192" t="s">
        <v>74</v>
      </c>
      <c r="BE192" t="s">
        <v>4119</v>
      </c>
      <c r="BF192" t="str">
        <f>HYPERLINK("http://dx.doi.org/10.1016/j.anl.2016.11.005","http://dx.doi.org/10.1016/j.anl.2016.11.005")</f>
        <v>http://dx.doi.org/10.1016/j.anl.2016.11.005</v>
      </c>
      <c r="BG192" t="s">
        <v>74</v>
      </c>
      <c r="BH192" t="s">
        <v>74</v>
      </c>
      <c r="BI192">
        <v>6</v>
      </c>
      <c r="BJ192" t="s">
        <v>4120</v>
      </c>
      <c r="BK192" t="s">
        <v>101</v>
      </c>
      <c r="BL192" t="s">
        <v>4120</v>
      </c>
      <c r="BM192" t="s">
        <v>4121</v>
      </c>
      <c r="BN192">
        <v>27986366</v>
      </c>
      <c r="BO192" t="s">
        <v>74</v>
      </c>
      <c r="BP192" t="s">
        <v>74</v>
      </c>
      <c r="BQ192" t="s">
        <v>74</v>
      </c>
      <c r="BR192" t="s">
        <v>105</v>
      </c>
      <c r="BS192" t="s">
        <v>4122</v>
      </c>
      <c r="BT192" t="str">
        <f>HYPERLINK("https%3A%2F%2Fwww.webofscience.com%2Fwos%2Fwoscc%2Ffull-record%2FWOS:000406572800006","View Full Record in Web of Science")</f>
        <v>View Full Record in Web of Science</v>
      </c>
    </row>
    <row r="193" spans="1:72" x14ac:dyDescent="0.15">
      <c r="A193" t="s">
        <v>72</v>
      </c>
      <c r="B193" t="s">
        <v>4123</v>
      </c>
      <c r="C193" t="s">
        <v>74</v>
      </c>
      <c r="D193" t="s">
        <v>74</v>
      </c>
      <c r="E193" t="s">
        <v>74</v>
      </c>
      <c r="F193" t="s">
        <v>4124</v>
      </c>
      <c r="G193" t="s">
        <v>74</v>
      </c>
      <c r="H193" t="s">
        <v>74</v>
      </c>
      <c r="I193" t="s">
        <v>4125</v>
      </c>
      <c r="J193" t="s">
        <v>743</v>
      </c>
      <c r="K193" t="s">
        <v>74</v>
      </c>
      <c r="L193" t="s">
        <v>74</v>
      </c>
      <c r="M193" t="s">
        <v>78</v>
      </c>
      <c r="N193" t="s">
        <v>79</v>
      </c>
      <c r="O193" t="s">
        <v>74</v>
      </c>
      <c r="P193" t="s">
        <v>74</v>
      </c>
      <c r="Q193" t="s">
        <v>74</v>
      </c>
      <c r="R193" t="s">
        <v>74</v>
      </c>
      <c r="S193" t="s">
        <v>74</v>
      </c>
      <c r="T193" t="s">
        <v>4126</v>
      </c>
      <c r="U193" t="s">
        <v>4127</v>
      </c>
      <c r="V193" t="s">
        <v>4128</v>
      </c>
      <c r="W193" t="s">
        <v>4129</v>
      </c>
      <c r="X193" t="s">
        <v>4130</v>
      </c>
      <c r="Y193" t="s">
        <v>4131</v>
      </c>
      <c r="Z193" t="s">
        <v>4132</v>
      </c>
      <c r="AA193" t="s">
        <v>74</v>
      </c>
      <c r="AB193" t="s">
        <v>4133</v>
      </c>
      <c r="AC193" t="s">
        <v>4134</v>
      </c>
      <c r="AD193" t="s">
        <v>4135</v>
      </c>
      <c r="AE193" t="s">
        <v>4136</v>
      </c>
      <c r="AF193" t="s">
        <v>74</v>
      </c>
      <c r="AG193">
        <v>71</v>
      </c>
      <c r="AH193">
        <v>8</v>
      </c>
      <c r="AI193">
        <v>8</v>
      </c>
      <c r="AJ193">
        <v>0</v>
      </c>
      <c r="AK193">
        <v>9</v>
      </c>
      <c r="AL193" t="s">
        <v>755</v>
      </c>
      <c r="AM193" t="s">
        <v>756</v>
      </c>
      <c r="AN193" t="s">
        <v>757</v>
      </c>
      <c r="AO193" t="s">
        <v>758</v>
      </c>
      <c r="AP193" t="s">
        <v>759</v>
      </c>
      <c r="AQ193" t="s">
        <v>74</v>
      </c>
      <c r="AR193" t="s">
        <v>760</v>
      </c>
      <c r="AS193" t="s">
        <v>761</v>
      </c>
      <c r="AT193" t="s">
        <v>4137</v>
      </c>
      <c r="AU193">
        <v>2017</v>
      </c>
      <c r="AV193">
        <v>580</v>
      </c>
      <c r="AW193" t="s">
        <v>74</v>
      </c>
      <c r="AX193" t="s">
        <v>74</v>
      </c>
      <c r="AY193" t="s">
        <v>74</v>
      </c>
      <c r="AZ193" t="s">
        <v>74</v>
      </c>
      <c r="BA193" t="s">
        <v>74</v>
      </c>
      <c r="BB193">
        <v>69</v>
      </c>
      <c r="BC193">
        <v>82</v>
      </c>
      <c r="BD193" t="s">
        <v>74</v>
      </c>
      <c r="BE193" t="s">
        <v>4138</v>
      </c>
      <c r="BF193" t="str">
        <f>HYPERLINK("http://dx.doi.org/10.3354/meps12295","http://dx.doi.org/10.3354/meps12295")</f>
        <v>http://dx.doi.org/10.3354/meps12295</v>
      </c>
      <c r="BG193" t="s">
        <v>74</v>
      </c>
      <c r="BH193" t="s">
        <v>74</v>
      </c>
      <c r="BI193">
        <v>14</v>
      </c>
      <c r="BJ193" t="s">
        <v>764</v>
      </c>
      <c r="BK193" t="s">
        <v>101</v>
      </c>
      <c r="BL193" t="s">
        <v>766</v>
      </c>
      <c r="BM193" t="s">
        <v>4139</v>
      </c>
      <c r="BN193" t="s">
        <v>74</v>
      </c>
      <c r="BO193" t="s">
        <v>104</v>
      </c>
      <c r="BP193" t="s">
        <v>74</v>
      </c>
      <c r="BQ193" t="s">
        <v>74</v>
      </c>
      <c r="BR193" t="s">
        <v>105</v>
      </c>
      <c r="BS193" t="s">
        <v>4140</v>
      </c>
      <c r="BT193" t="str">
        <f>HYPERLINK("https%3A%2F%2Fwww.webofscience.com%2Fwos%2Fwoscc%2Ffull-record%2FWOS:000419091500005","View Full Record in Web of Science")</f>
        <v>View Full Record in Web of Science</v>
      </c>
    </row>
    <row r="194" spans="1:72" x14ac:dyDescent="0.15">
      <c r="A194" t="s">
        <v>72</v>
      </c>
      <c r="B194" t="s">
        <v>4141</v>
      </c>
      <c r="C194" t="s">
        <v>74</v>
      </c>
      <c r="D194" t="s">
        <v>74</v>
      </c>
      <c r="E194" t="s">
        <v>74</v>
      </c>
      <c r="F194" t="s">
        <v>4142</v>
      </c>
      <c r="G194" t="s">
        <v>74</v>
      </c>
      <c r="H194" t="s">
        <v>74</v>
      </c>
      <c r="I194" t="s">
        <v>4143</v>
      </c>
      <c r="J194" t="s">
        <v>743</v>
      </c>
      <c r="K194" t="s">
        <v>74</v>
      </c>
      <c r="L194" t="s">
        <v>74</v>
      </c>
      <c r="M194" t="s">
        <v>78</v>
      </c>
      <c r="N194" t="s">
        <v>79</v>
      </c>
      <c r="O194" t="s">
        <v>74</v>
      </c>
      <c r="P194" t="s">
        <v>74</v>
      </c>
      <c r="Q194" t="s">
        <v>74</v>
      </c>
      <c r="R194" t="s">
        <v>74</v>
      </c>
      <c r="S194" t="s">
        <v>74</v>
      </c>
      <c r="T194" t="s">
        <v>4144</v>
      </c>
      <c r="U194" t="s">
        <v>4145</v>
      </c>
      <c r="V194" t="s">
        <v>4146</v>
      </c>
      <c r="W194" t="s">
        <v>4147</v>
      </c>
      <c r="X194" t="s">
        <v>4148</v>
      </c>
      <c r="Y194" t="s">
        <v>4149</v>
      </c>
      <c r="Z194" t="s">
        <v>4150</v>
      </c>
      <c r="AA194" t="s">
        <v>4151</v>
      </c>
      <c r="AB194" t="s">
        <v>4152</v>
      </c>
      <c r="AC194" t="s">
        <v>4153</v>
      </c>
      <c r="AD194" t="s">
        <v>4154</v>
      </c>
      <c r="AE194" t="s">
        <v>4155</v>
      </c>
      <c r="AF194" t="s">
        <v>74</v>
      </c>
      <c r="AG194">
        <v>85</v>
      </c>
      <c r="AH194">
        <v>23</v>
      </c>
      <c r="AI194">
        <v>23</v>
      </c>
      <c r="AJ194">
        <v>1</v>
      </c>
      <c r="AK194">
        <v>32</v>
      </c>
      <c r="AL194" t="s">
        <v>755</v>
      </c>
      <c r="AM194" t="s">
        <v>756</v>
      </c>
      <c r="AN194" t="s">
        <v>757</v>
      </c>
      <c r="AO194" t="s">
        <v>758</v>
      </c>
      <c r="AP194" t="s">
        <v>759</v>
      </c>
      <c r="AQ194" t="s">
        <v>74</v>
      </c>
      <c r="AR194" t="s">
        <v>760</v>
      </c>
      <c r="AS194" t="s">
        <v>761</v>
      </c>
      <c r="AT194" t="s">
        <v>4137</v>
      </c>
      <c r="AU194">
        <v>2017</v>
      </c>
      <c r="AV194">
        <v>580</v>
      </c>
      <c r="AW194" t="s">
        <v>74</v>
      </c>
      <c r="AX194" t="s">
        <v>74</v>
      </c>
      <c r="AY194" t="s">
        <v>74</v>
      </c>
      <c r="AZ194" t="s">
        <v>74</v>
      </c>
      <c r="BA194" t="s">
        <v>74</v>
      </c>
      <c r="BB194">
        <v>83</v>
      </c>
      <c r="BC194">
        <v>100</v>
      </c>
      <c r="BD194" t="s">
        <v>74</v>
      </c>
      <c r="BE194" t="s">
        <v>4156</v>
      </c>
      <c r="BF194" t="str">
        <f>HYPERLINK("http://dx.doi.org/10.3354/meps12310","http://dx.doi.org/10.3354/meps12310")</f>
        <v>http://dx.doi.org/10.3354/meps12310</v>
      </c>
      <c r="BG194" t="s">
        <v>74</v>
      </c>
      <c r="BH194" t="s">
        <v>74</v>
      </c>
      <c r="BI194">
        <v>18</v>
      </c>
      <c r="BJ194" t="s">
        <v>764</v>
      </c>
      <c r="BK194" t="s">
        <v>101</v>
      </c>
      <c r="BL194" t="s">
        <v>766</v>
      </c>
      <c r="BM194" t="s">
        <v>4139</v>
      </c>
      <c r="BN194" t="s">
        <v>74</v>
      </c>
      <c r="BO194" t="s">
        <v>74</v>
      </c>
      <c r="BP194" t="s">
        <v>74</v>
      </c>
      <c r="BQ194" t="s">
        <v>74</v>
      </c>
      <c r="BR194" t="s">
        <v>105</v>
      </c>
      <c r="BS194" t="s">
        <v>4157</v>
      </c>
      <c r="BT194" t="str">
        <f>HYPERLINK("https%3A%2F%2Fwww.webofscience.com%2Fwos%2Fwoscc%2Ffull-record%2FWOS:000419091500006","View Full Record in Web of Science")</f>
        <v>View Full Record in Web of Science</v>
      </c>
    </row>
    <row r="195" spans="1:72" x14ac:dyDescent="0.15">
      <c r="A195" t="s">
        <v>72</v>
      </c>
      <c r="B195" t="s">
        <v>4158</v>
      </c>
      <c r="C195" t="s">
        <v>74</v>
      </c>
      <c r="D195" t="s">
        <v>74</v>
      </c>
      <c r="E195" t="s">
        <v>74</v>
      </c>
      <c r="F195" t="s">
        <v>4159</v>
      </c>
      <c r="G195" t="s">
        <v>74</v>
      </c>
      <c r="H195" t="s">
        <v>74</v>
      </c>
      <c r="I195" t="s">
        <v>4160</v>
      </c>
      <c r="J195" t="s">
        <v>743</v>
      </c>
      <c r="K195" t="s">
        <v>74</v>
      </c>
      <c r="L195" t="s">
        <v>74</v>
      </c>
      <c r="M195" t="s">
        <v>78</v>
      </c>
      <c r="N195" t="s">
        <v>79</v>
      </c>
      <c r="O195" t="s">
        <v>74</v>
      </c>
      <c r="P195" t="s">
        <v>74</v>
      </c>
      <c r="Q195" t="s">
        <v>74</v>
      </c>
      <c r="R195" t="s">
        <v>74</v>
      </c>
      <c r="S195" t="s">
        <v>74</v>
      </c>
      <c r="T195" t="s">
        <v>4161</v>
      </c>
      <c r="U195" t="s">
        <v>4162</v>
      </c>
      <c r="V195" t="s">
        <v>4163</v>
      </c>
      <c r="W195" t="s">
        <v>4164</v>
      </c>
      <c r="X195" t="s">
        <v>4165</v>
      </c>
      <c r="Y195" t="s">
        <v>4166</v>
      </c>
      <c r="Z195" t="s">
        <v>4167</v>
      </c>
      <c r="AA195" t="s">
        <v>4168</v>
      </c>
      <c r="AB195" t="s">
        <v>4169</v>
      </c>
      <c r="AC195" t="s">
        <v>4170</v>
      </c>
      <c r="AD195" t="s">
        <v>4171</v>
      </c>
      <c r="AE195" t="s">
        <v>4172</v>
      </c>
      <c r="AF195" t="s">
        <v>74</v>
      </c>
      <c r="AG195">
        <v>80</v>
      </c>
      <c r="AH195">
        <v>33</v>
      </c>
      <c r="AI195">
        <v>36</v>
      </c>
      <c r="AJ195">
        <v>2</v>
      </c>
      <c r="AK195">
        <v>39</v>
      </c>
      <c r="AL195" t="s">
        <v>755</v>
      </c>
      <c r="AM195" t="s">
        <v>756</v>
      </c>
      <c r="AN195" t="s">
        <v>757</v>
      </c>
      <c r="AO195" t="s">
        <v>758</v>
      </c>
      <c r="AP195" t="s">
        <v>759</v>
      </c>
      <c r="AQ195" t="s">
        <v>74</v>
      </c>
      <c r="AR195" t="s">
        <v>760</v>
      </c>
      <c r="AS195" t="s">
        <v>761</v>
      </c>
      <c r="AT195" t="s">
        <v>4137</v>
      </c>
      <c r="AU195">
        <v>2017</v>
      </c>
      <c r="AV195">
        <v>580</v>
      </c>
      <c r="AW195" t="s">
        <v>74</v>
      </c>
      <c r="AX195" t="s">
        <v>74</v>
      </c>
      <c r="AY195" t="s">
        <v>74</v>
      </c>
      <c r="AZ195" t="s">
        <v>74</v>
      </c>
      <c r="BA195" t="s">
        <v>74</v>
      </c>
      <c r="BB195">
        <v>101</v>
      </c>
      <c r="BC195">
        <v>115</v>
      </c>
      <c r="BD195" t="s">
        <v>74</v>
      </c>
      <c r="BE195" t="s">
        <v>4173</v>
      </c>
      <c r="BF195" t="str">
        <f>HYPERLINK("http://dx.doi.org/10.3354/meps12309","http://dx.doi.org/10.3354/meps12309")</f>
        <v>http://dx.doi.org/10.3354/meps12309</v>
      </c>
      <c r="BG195" t="s">
        <v>74</v>
      </c>
      <c r="BH195" t="s">
        <v>74</v>
      </c>
      <c r="BI195">
        <v>15</v>
      </c>
      <c r="BJ195" t="s">
        <v>764</v>
      </c>
      <c r="BK195" t="s">
        <v>101</v>
      </c>
      <c r="BL195" t="s">
        <v>766</v>
      </c>
      <c r="BM195" t="s">
        <v>4139</v>
      </c>
      <c r="BN195" t="s">
        <v>74</v>
      </c>
      <c r="BO195" t="s">
        <v>104</v>
      </c>
      <c r="BP195" t="s">
        <v>74</v>
      </c>
      <c r="BQ195" t="s">
        <v>74</v>
      </c>
      <c r="BR195" t="s">
        <v>105</v>
      </c>
      <c r="BS195" t="s">
        <v>4174</v>
      </c>
      <c r="BT195" t="str">
        <f>HYPERLINK("https%3A%2F%2Fwww.webofscience.com%2Fwos%2Fwoscc%2Ffull-record%2FWOS:000419091500007","View Full Record in Web of Science")</f>
        <v>View Full Record in Web of Science</v>
      </c>
    </row>
    <row r="196" spans="1:72" x14ac:dyDescent="0.15">
      <c r="A196" t="s">
        <v>72</v>
      </c>
      <c r="B196" t="s">
        <v>4175</v>
      </c>
      <c r="C196" t="s">
        <v>74</v>
      </c>
      <c r="D196" t="s">
        <v>74</v>
      </c>
      <c r="E196" t="s">
        <v>74</v>
      </c>
      <c r="F196" t="s">
        <v>4176</v>
      </c>
      <c r="G196" t="s">
        <v>74</v>
      </c>
      <c r="H196" t="s">
        <v>74</v>
      </c>
      <c r="I196" t="s">
        <v>4177</v>
      </c>
      <c r="J196" t="s">
        <v>4178</v>
      </c>
      <c r="K196" t="s">
        <v>74</v>
      </c>
      <c r="L196" t="s">
        <v>74</v>
      </c>
      <c r="M196" t="s">
        <v>78</v>
      </c>
      <c r="N196" t="s">
        <v>79</v>
      </c>
      <c r="O196" t="s">
        <v>74</v>
      </c>
      <c r="P196" t="s">
        <v>74</v>
      </c>
      <c r="Q196" t="s">
        <v>74</v>
      </c>
      <c r="R196" t="s">
        <v>74</v>
      </c>
      <c r="S196" t="s">
        <v>74</v>
      </c>
      <c r="T196" t="s">
        <v>74</v>
      </c>
      <c r="U196" t="s">
        <v>4179</v>
      </c>
      <c r="V196" t="s">
        <v>4180</v>
      </c>
      <c r="W196" t="s">
        <v>4181</v>
      </c>
      <c r="X196" t="s">
        <v>4182</v>
      </c>
      <c r="Y196" t="s">
        <v>4183</v>
      </c>
      <c r="Z196" t="s">
        <v>4184</v>
      </c>
      <c r="AA196" t="s">
        <v>4185</v>
      </c>
      <c r="AB196" t="s">
        <v>4186</v>
      </c>
      <c r="AC196" t="s">
        <v>4187</v>
      </c>
      <c r="AD196" t="s">
        <v>4188</v>
      </c>
      <c r="AE196" t="s">
        <v>4189</v>
      </c>
      <c r="AF196" t="s">
        <v>74</v>
      </c>
      <c r="AG196">
        <v>56</v>
      </c>
      <c r="AH196">
        <v>87</v>
      </c>
      <c r="AI196">
        <v>96</v>
      </c>
      <c r="AJ196">
        <v>2</v>
      </c>
      <c r="AK196">
        <v>35</v>
      </c>
      <c r="AL196" t="s">
        <v>311</v>
      </c>
      <c r="AM196" t="s">
        <v>312</v>
      </c>
      <c r="AN196" t="s">
        <v>313</v>
      </c>
      <c r="AO196" t="s">
        <v>4190</v>
      </c>
      <c r="AP196" t="s">
        <v>4191</v>
      </c>
      <c r="AQ196" t="s">
        <v>74</v>
      </c>
      <c r="AR196" t="s">
        <v>4192</v>
      </c>
      <c r="AS196" t="s">
        <v>4193</v>
      </c>
      <c r="AT196" t="s">
        <v>4194</v>
      </c>
      <c r="AU196">
        <v>2017</v>
      </c>
      <c r="AV196">
        <v>21</v>
      </c>
      <c r="AW196">
        <v>9</v>
      </c>
      <c r="AX196" t="s">
        <v>74</v>
      </c>
      <c r="AY196" t="s">
        <v>74</v>
      </c>
      <c r="AZ196" t="s">
        <v>74</v>
      </c>
      <c r="BA196" t="s">
        <v>74</v>
      </c>
      <c r="BB196">
        <v>4841</v>
      </c>
      <c r="BC196">
        <v>4859</v>
      </c>
      <c r="BD196" t="s">
        <v>74</v>
      </c>
      <c r="BE196" t="s">
        <v>4195</v>
      </c>
      <c r="BF196" t="str">
        <f>HYPERLINK("http://dx.doi.org/10.5194/hess-21-4841-2017","http://dx.doi.org/10.5194/hess-21-4841-2017")</f>
        <v>http://dx.doi.org/10.5194/hess-21-4841-2017</v>
      </c>
      <c r="BG196" t="s">
        <v>74</v>
      </c>
      <c r="BH196" t="s">
        <v>74</v>
      </c>
      <c r="BI196">
        <v>19</v>
      </c>
      <c r="BJ196" t="s">
        <v>4196</v>
      </c>
      <c r="BK196" t="s">
        <v>101</v>
      </c>
      <c r="BL196" t="s">
        <v>4197</v>
      </c>
      <c r="BM196" t="s">
        <v>4198</v>
      </c>
      <c r="BN196" t="s">
        <v>74</v>
      </c>
      <c r="BO196" t="s">
        <v>4199</v>
      </c>
      <c r="BP196" t="s">
        <v>74</v>
      </c>
      <c r="BQ196" t="s">
        <v>74</v>
      </c>
      <c r="BR196" t="s">
        <v>105</v>
      </c>
      <c r="BS196" t="s">
        <v>4200</v>
      </c>
      <c r="BT196" t="str">
        <f>HYPERLINK("https%3A%2F%2Fwww.webofscience.com%2Fwos%2Fwoscc%2Ffull-record%2FWOS:000411889800002","View Full Record in Web of Science")</f>
        <v>View Full Record in Web of Science</v>
      </c>
    </row>
    <row r="197" spans="1:72" x14ac:dyDescent="0.15">
      <c r="A197" t="s">
        <v>72</v>
      </c>
      <c r="B197" t="s">
        <v>4201</v>
      </c>
      <c r="C197" t="s">
        <v>74</v>
      </c>
      <c r="D197" t="s">
        <v>74</v>
      </c>
      <c r="E197" t="s">
        <v>74</v>
      </c>
      <c r="F197" t="s">
        <v>4202</v>
      </c>
      <c r="G197" t="s">
        <v>74</v>
      </c>
      <c r="H197" t="s">
        <v>74</v>
      </c>
      <c r="I197" t="s">
        <v>4203</v>
      </c>
      <c r="J197" t="s">
        <v>953</v>
      </c>
      <c r="K197" t="s">
        <v>74</v>
      </c>
      <c r="L197" t="s">
        <v>74</v>
      </c>
      <c r="M197" t="s">
        <v>78</v>
      </c>
      <c r="N197" t="s">
        <v>79</v>
      </c>
      <c r="O197" t="s">
        <v>74</v>
      </c>
      <c r="P197" t="s">
        <v>74</v>
      </c>
      <c r="Q197" t="s">
        <v>74</v>
      </c>
      <c r="R197" t="s">
        <v>74</v>
      </c>
      <c r="S197" t="s">
        <v>74</v>
      </c>
      <c r="T197" t="s">
        <v>74</v>
      </c>
      <c r="U197" t="s">
        <v>4204</v>
      </c>
      <c r="V197" t="s">
        <v>4205</v>
      </c>
      <c r="W197" t="s">
        <v>4206</v>
      </c>
      <c r="X197" t="s">
        <v>4207</v>
      </c>
      <c r="Y197" t="s">
        <v>4208</v>
      </c>
      <c r="Z197" t="s">
        <v>4209</v>
      </c>
      <c r="AA197" t="s">
        <v>74</v>
      </c>
      <c r="AB197" t="s">
        <v>4210</v>
      </c>
      <c r="AC197" t="s">
        <v>4211</v>
      </c>
      <c r="AD197" t="s">
        <v>4212</v>
      </c>
      <c r="AE197" t="s">
        <v>4213</v>
      </c>
      <c r="AF197" t="s">
        <v>74</v>
      </c>
      <c r="AG197">
        <v>33</v>
      </c>
      <c r="AH197">
        <v>40</v>
      </c>
      <c r="AI197">
        <v>43</v>
      </c>
      <c r="AJ197">
        <v>1</v>
      </c>
      <c r="AK197">
        <v>26</v>
      </c>
      <c r="AL197" t="s">
        <v>181</v>
      </c>
      <c r="AM197" t="s">
        <v>182</v>
      </c>
      <c r="AN197" t="s">
        <v>183</v>
      </c>
      <c r="AO197" t="s">
        <v>965</v>
      </c>
      <c r="AP197" t="s">
        <v>74</v>
      </c>
      <c r="AQ197" t="s">
        <v>74</v>
      </c>
      <c r="AR197" t="s">
        <v>966</v>
      </c>
      <c r="AS197" t="s">
        <v>967</v>
      </c>
      <c r="AT197" t="s">
        <v>4194</v>
      </c>
      <c r="AU197">
        <v>2017</v>
      </c>
      <c r="AV197">
        <v>8</v>
      </c>
      <c r="AW197" t="s">
        <v>74</v>
      </c>
      <c r="AX197" t="s">
        <v>74</v>
      </c>
      <c r="AY197" t="s">
        <v>74</v>
      </c>
      <c r="AZ197" t="s">
        <v>74</v>
      </c>
      <c r="BA197" t="s">
        <v>74</v>
      </c>
      <c r="BB197" t="s">
        <v>74</v>
      </c>
      <c r="BC197" t="s">
        <v>74</v>
      </c>
      <c r="BD197">
        <v>731</v>
      </c>
      <c r="BE197" t="s">
        <v>4214</v>
      </c>
      <c r="BF197" t="str">
        <f>HYPERLINK("http://dx.doi.org/10.1038/s41467-017-00820-0","http://dx.doi.org/10.1038/s41467-017-00820-0")</f>
        <v>http://dx.doi.org/10.1038/s41467-017-00820-0</v>
      </c>
      <c r="BG197" t="s">
        <v>74</v>
      </c>
      <c r="BH197" t="s">
        <v>74</v>
      </c>
      <c r="BI197">
        <v>8</v>
      </c>
      <c r="BJ197" t="s">
        <v>190</v>
      </c>
      <c r="BK197" t="s">
        <v>101</v>
      </c>
      <c r="BL197" t="s">
        <v>191</v>
      </c>
      <c r="BM197" t="s">
        <v>4215</v>
      </c>
      <c r="BN197">
        <v>28959021</v>
      </c>
      <c r="BO197" t="s">
        <v>658</v>
      </c>
      <c r="BP197" t="s">
        <v>74</v>
      </c>
      <c r="BQ197" t="s">
        <v>74</v>
      </c>
      <c r="BR197" t="s">
        <v>105</v>
      </c>
      <c r="BS197" t="s">
        <v>4216</v>
      </c>
      <c r="BT197" t="str">
        <f>HYPERLINK("https%3A%2F%2Fwww.webofscience.com%2Fwos%2Fwoscc%2Ffull-record%2FWOS:000411989800015","View Full Record in Web of Science")</f>
        <v>View Full Record in Web of Science</v>
      </c>
    </row>
    <row r="198" spans="1:72" x14ac:dyDescent="0.15">
      <c r="A198" t="s">
        <v>72</v>
      </c>
      <c r="B198" t="s">
        <v>4217</v>
      </c>
      <c r="C198" t="s">
        <v>74</v>
      </c>
      <c r="D198" t="s">
        <v>74</v>
      </c>
      <c r="E198" t="s">
        <v>74</v>
      </c>
      <c r="F198" t="s">
        <v>4218</v>
      </c>
      <c r="G198" t="s">
        <v>74</v>
      </c>
      <c r="H198" t="s">
        <v>74</v>
      </c>
      <c r="I198" t="s">
        <v>4219</v>
      </c>
      <c r="J198" t="s">
        <v>144</v>
      </c>
      <c r="K198" t="s">
        <v>74</v>
      </c>
      <c r="L198" t="s">
        <v>74</v>
      </c>
      <c r="M198" t="s">
        <v>78</v>
      </c>
      <c r="N198" t="s">
        <v>79</v>
      </c>
      <c r="O198" t="s">
        <v>74</v>
      </c>
      <c r="P198" t="s">
        <v>74</v>
      </c>
      <c r="Q198" t="s">
        <v>74</v>
      </c>
      <c r="R198" t="s">
        <v>74</v>
      </c>
      <c r="S198" t="s">
        <v>74</v>
      </c>
      <c r="T198" t="s">
        <v>74</v>
      </c>
      <c r="U198" t="s">
        <v>4220</v>
      </c>
      <c r="V198" t="s">
        <v>4221</v>
      </c>
      <c r="W198" t="s">
        <v>4222</v>
      </c>
      <c r="X198" t="s">
        <v>4223</v>
      </c>
      <c r="Y198" t="s">
        <v>4224</v>
      </c>
      <c r="Z198" t="s">
        <v>4225</v>
      </c>
      <c r="AA198" t="s">
        <v>4226</v>
      </c>
      <c r="AB198" t="s">
        <v>4227</v>
      </c>
      <c r="AC198" t="s">
        <v>4228</v>
      </c>
      <c r="AD198" t="s">
        <v>4229</v>
      </c>
      <c r="AE198" t="s">
        <v>4230</v>
      </c>
      <c r="AF198" t="s">
        <v>74</v>
      </c>
      <c r="AG198">
        <v>66</v>
      </c>
      <c r="AH198">
        <v>49</v>
      </c>
      <c r="AI198">
        <v>50</v>
      </c>
      <c r="AJ198">
        <v>1</v>
      </c>
      <c r="AK198">
        <v>36</v>
      </c>
      <c r="AL198" t="s">
        <v>91</v>
      </c>
      <c r="AM198" t="s">
        <v>92</v>
      </c>
      <c r="AN198" t="s">
        <v>93</v>
      </c>
      <c r="AO198" t="s">
        <v>156</v>
      </c>
      <c r="AP198" t="s">
        <v>157</v>
      </c>
      <c r="AQ198" t="s">
        <v>74</v>
      </c>
      <c r="AR198" t="s">
        <v>158</v>
      </c>
      <c r="AS198" t="s">
        <v>159</v>
      </c>
      <c r="AT198" t="s">
        <v>4231</v>
      </c>
      <c r="AU198">
        <v>2017</v>
      </c>
      <c r="AV198">
        <v>122</v>
      </c>
      <c r="AW198">
        <v>18</v>
      </c>
      <c r="AX198" t="s">
        <v>74</v>
      </c>
      <c r="AY198" t="s">
        <v>74</v>
      </c>
      <c r="AZ198" t="s">
        <v>74</v>
      </c>
      <c r="BA198" t="s">
        <v>74</v>
      </c>
      <c r="BB198">
        <v>9651</v>
      </c>
      <c r="BC198">
        <v>9667</v>
      </c>
      <c r="BD198" t="s">
        <v>74</v>
      </c>
      <c r="BE198" t="s">
        <v>4232</v>
      </c>
      <c r="BF198" t="str">
        <f>HYPERLINK("http://dx.doi.org/10.1002/2017JD027158","http://dx.doi.org/10.1002/2017JD027158")</f>
        <v>http://dx.doi.org/10.1002/2017JD027158</v>
      </c>
      <c r="BG198" t="s">
        <v>74</v>
      </c>
      <c r="BH198" t="s">
        <v>74</v>
      </c>
      <c r="BI198">
        <v>17</v>
      </c>
      <c r="BJ198" t="s">
        <v>162</v>
      </c>
      <c r="BK198" t="s">
        <v>101</v>
      </c>
      <c r="BL198" t="s">
        <v>162</v>
      </c>
      <c r="BM198" t="s">
        <v>4233</v>
      </c>
      <c r="BN198" t="s">
        <v>74</v>
      </c>
      <c r="BO198" t="s">
        <v>74</v>
      </c>
      <c r="BP198" t="s">
        <v>74</v>
      </c>
      <c r="BQ198" t="s">
        <v>74</v>
      </c>
      <c r="BR198" t="s">
        <v>105</v>
      </c>
      <c r="BS198" t="s">
        <v>4234</v>
      </c>
      <c r="BT198" t="str">
        <f>HYPERLINK("https%3A%2F%2Fwww.webofscience.com%2Fwos%2Fwoscc%2Ffull-record%2FWOS:000416388000007","View Full Record in Web of Science")</f>
        <v>View Full Record in Web of Science</v>
      </c>
    </row>
    <row r="199" spans="1:72" x14ac:dyDescent="0.15">
      <c r="A199" t="s">
        <v>72</v>
      </c>
      <c r="B199" t="s">
        <v>4235</v>
      </c>
      <c r="C199" t="s">
        <v>74</v>
      </c>
      <c r="D199" t="s">
        <v>74</v>
      </c>
      <c r="E199" t="s">
        <v>74</v>
      </c>
      <c r="F199" t="s">
        <v>4236</v>
      </c>
      <c r="G199" t="s">
        <v>74</v>
      </c>
      <c r="H199" t="s">
        <v>74</v>
      </c>
      <c r="I199" t="s">
        <v>4237</v>
      </c>
      <c r="J199" t="s">
        <v>638</v>
      </c>
      <c r="K199" t="s">
        <v>74</v>
      </c>
      <c r="L199" t="s">
        <v>74</v>
      </c>
      <c r="M199" t="s">
        <v>78</v>
      </c>
      <c r="N199" t="s">
        <v>79</v>
      </c>
      <c r="O199" t="s">
        <v>74</v>
      </c>
      <c r="P199" t="s">
        <v>74</v>
      </c>
      <c r="Q199" t="s">
        <v>74</v>
      </c>
      <c r="R199" t="s">
        <v>74</v>
      </c>
      <c r="S199" t="s">
        <v>74</v>
      </c>
      <c r="T199" t="s">
        <v>74</v>
      </c>
      <c r="U199" t="s">
        <v>4238</v>
      </c>
      <c r="V199" t="s">
        <v>4239</v>
      </c>
      <c r="W199" t="s">
        <v>4240</v>
      </c>
      <c r="X199" t="s">
        <v>4241</v>
      </c>
      <c r="Y199" t="s">
        <v>4242</v>
      </c>
      <c r="Z199" t="s">
        <v>4243</v>
      </c>
      <c r="AA199" t="s">
        <v>4244</v>
      </c>
      <c r="AB199" t="s">
        <v>4245</v>
      </c>
      <c r="AC199" t="s">
        <v>4246</v>
      </c>
      <c r="AD199" t="s">
        <v>4247</v>
      </c>
      <c r="AE199" t="s">
        <v>4248</v>
      </c>
      <c r="AF199" t="s">
        <v>74</v>
      </c>
      <c r="AG199">
        <v>52</v>
      </c>
      <c r="AH199">
        <v>18</v>
      </c>
      <c r="AI199">
        <v>20</v>
      </c>
      <c r="AJ199">
        <v>2</v>
      </c>
      <c r="AK199">
        <v>21</v>
      </c>
      <c r="AL199" t="s">
        <v>650</v>
      </c>
      <c r="AM199" t="s">
        <v>651</v>
      </c>
      <c r="AN199" t="s">
        <v>652</v>
      </c>
      <c r="AO199" t="s">
        <v>653</v>
      </c>
      <c r="AP199" t="s">
        <v>74</v>
      </c>
      <c r="AQ199" t="s">
        <v>74</v>
      </c>
      <c r="AR199" t="s">
        <v>654</v>
      </c>
      <c r="AS199" t="s">
        <v>655</v>
      </c>
      <c r="AT199" t="s">
        <v>4231</v>
      </c>
      <c r="AU199">
        <v>2017</v>
      </c>
      <c r="AV199">
        <v>7</v>
      </c>
      <c r="AW199" t="s">
        <v>74</v>
      </c>
      <c r="AX199" t="s">
        <v>74</v>
      </c>
      <c r="AY199" t="s">
        <v>74</v>
      </c>
      <c r="AZ199" t="s">
        <v>74</v>
      </c>
      <c r="BA199" t="s">
        <v>74</v>
      </c>
      <c r="BB199" t="s">
        <v>74</v>
      </c>
      <c r="BC199" t="s">
        <v>74</v>
      </c>
      <c r="BD199">
        <v>12344</v>
      </c>
      <c r="BE199" t="s">
        <v>4249</v>
      </c>
      <c r="BF199" t="str">
        <f>HYPERLINK("http://dx.doi.org/10.1038/s41598-017-12479-0","http://dx.doi.org/10.1038/s41598-017-12479-0")</f>
        <v>http://dx.doi.org/10.1038/s41598-017-12479-0</v>
      </c>
      <c r="BG199" t="s">
        <v>74</v>
      </c>
      <c r="BH199" t="s">
        <v>74</v>
      </c>
      <c r="BI199">
        <v>9</v>
      </c>
      <c r="BJ199" t="s">
        <v>190</v>
      </c>
      <c r="BK199" t="s">
        <v>101</v>
      </c>
      <c r="BL199" t="s">
        <v>191</v>
      </c>
      <c r="BM199" t="s">
        <v>4250</v>
      </c>
      <c r="BN199">
        <v>28955055</v>
      </c>
      <c r="BO199" t="s">
        <v>658</v>
      </c>
      <c r="BP199" t="s">
        <v>74</v>
      </c>
      <c r="BQ199" t="s">
        <v>74</v>
      </c>
      <c r="BR199" t="s">
        <v>105</v>
      </c>
      <c r="BS199" t="s">
        <v>4251</v>
      </c>
      <c r="BT199" t="str">
        <f>HYPERLINK("https%3A%2F%2Fwww.webofscience.com%2Fwos%2Fwoscc%2Ffull-record%2FWOS:000411978000003","View Full Record in Web of Science")</f>
        <v>View Full Record in Web of Science</v>
      </c>
    </row>
    <row r="200" spans="1:72" x14ac:dyDescent="0.15">
      <c r="A200" t="s">
        <v>72</v>
      </c>
      <c r="B200" t="s">
        <v>4252</v>
      </c>
      <c r="C200" t="s">
        <v>74</v>
      </c>
      <c r="D200" t="s">
        <v>74</v>
      </c>
      <c r="E200" t="s">
        <v>74</v>
      </c>
      <c r="F200" t="s">
        <v>4253</v>
      </c>
      <c r="G200" t="s">
        <v>74</v>
      </c>
      <c r="H200" t="s">
        <v>74</v>
      </c>
      <c r="I200" t="s">
        <v>4254</v>
      </c>
      <c r="J200" t="s">
        <v>437</v>
      </c>
      <c r="K200" t="s">
        <v>74</v>
      </c>
      <c r="L200" t="s">
        <v>74</v>
      </c>
      <c r="M200" t="s">
        <v>78</v>
      </c>
      <c r="N200" t="s">
        <v>79</v>
      </c>
      <c r="O200" t="s">
        <v>74</v>
      </c>
      <c r="P200" t="s">
        <v>74</v>
      </c>
      <c r="Q200" t="s">
        <v>74</v>
      </c>
      <c r="R200" t="s">
        <v>74</v>
      </c>
      <c r="S200" t="s">
        <v>74</v>
      </c>
      <c r="T200" t="s">
        <v>4255</v>
      </c>
      <c r="U200" t="s">
        <v>4256</v>
      </c>
      <c r="V200" t="s">
        <v>4257</v>
      </c>
      <c r="W200" t="s">
        <v>4258</v>
      </c>
      <c r="X200" t="s">
        <v>4259</v>
      </c>
      <c r="Y200" t="s">
        <v>4260</v>
      </c>
      <c r="Z200" t="s">
        <v>4261</v>
      </c>
      <c r="AA200" t="s">
        <v>74</v>
      </c>
      <c r="AB200" t="s">
        <v>4262</v>
      </c>
      <c r="AC200" t="s">
        <v>74</v>
      </c>
      <c r="AD200" t="s">
        <v>74</v>
      </c>
      <c r="AE200" t="s">
        <v>74</v>
      </c>
      <c r="AF200" t="s">
        <v>74</v>
      </c>
      <c r="AG200">
        <v>57</v>
      </c>
      <c r="AH200">
        <v>51</v>
      </c>
      <c r="AI200">
        <v>59</v>
      </c>
      <c r="AJ200">
        <v>4</v>
      </c>
      <c r="AK200">
        <v>55</v>
      </c>
      <c r="AL200" t="s">
        <v>450</v>
      </c>
      <c r="AM200" t="s">
        <v>451</v>
      </c>
      <c r="AN200" t="s">
        <v>452</v>
      </c>
      <c r="AO200" t="s">
        <v>453</v>
      </c>
      <c r="AP200" t="s">
        <v>74</v>
      </c>
      <c r="AQ200" t="s">
        <v>74</v>
      </c>
      <c r="AR200" t="s">
        <v>454</v>
      </c>
      <c r="AS200" t="s">
        <v>455</v>
      </c>
      <c r="AT200" t="s">
        <v>4263</v>
      </c>
      <c r="AU200">
        <v>2017</v>
      </c>
      <c r="AV200">
        <v>8</v>
      </c>
      <c r="AW200" t="s">
        <v>74</v>
      </c>
      <c r="AX200" t="s">
        <v>74</v>
      </c>
      <c r="AY200" t="s">
        <v>74</v>
      </c>
      <c r="AZ200" t="s">
        <v>74</v>
      </c>
      <c r="BA200" t="s">
        <v>74</v>
      </c>
      <c r="BB200" t="s">
        <v>74</v>
      </c>
      <c r="BC200" t="s">
        <v>74</v>
      </c>
      <c r="BD200">
        <v>1819</v>
      </c>
      <c r="BE200" t="s">
        <v>4264</v>
      </c>
      <c r="BF200" t="str">
        <f>HYPERLINK("http://dx.doi.org/10.3389/fmicb.2017.01819","http://dx.doi.org/10.3389/fmicb.2017.01819")</f>
        <v>http://dx.doi.org/10.3389/fmicb.2017.01819</v>
      </c>
      <c r="BG200" t="s">
        <v>74</v>
      </c>
      <c r="BH200" t="s">
        <v>74</v>
      </c>
      <c r="BI200">
        <v>12</v>
      </c>
      <c r="BJ200" t="s">
        <v>457</v>
      </c>
      <c r="BK200" t="s">
        <v>101</v>
      </c>
      <c r="BL200" t="s">
        <v>457</v>
      </c>
      <c r="BM200" t="s">
        <v>4265</v>
      </c>
      <c r="BN200">
        <v>29018418</v>
      </c>
      <c r="BO200" t="s">
        <v>658</v>
      </c>
      <c r="BP200" t="s">
        <v>74</v>
      </c>
      <c r="BQ200" t="s">
        <v>74</v>
      </c>
      <c r="BR200" t="s">
        <v>105</v>
      </c>
      <c r="BS200" t="s">
        <v>4266</v>
      </c>
      <c r="BT200" t="str">
        <f>HYPERLINK("https%3A%2F%2Fwww.webofscience.com%2Fwos%2Fwoscc%2Ffull-record%2FWOS:000411748400001","View Full Record in Web of Science")</f>
        <v>View Full Record in Web of Science</v>
      </c>
    </row>
    <row r="201" spans="1:72" x14ac:dyDescent="0.15">
      <c r="A201" t="s">
        <v>72</v>
      </c>
      <c r="B201" t="s">
        <v>4267</v>
      </c>
      <c r="C201" t="s">
        <v>74</v>
      </c>
      <c r="D201" t="s">
        <v>74</v>
      </c>
      <c r="E201" t="s">
        <v>74</v>
      </c>
      <c r="F201" t="s">
        <v>4268</v>
      </c>
      <c r="G201" t="s">
        <v>74</v>
      </c>
      <c r="H201" t="s">
        <v>74</v>
      </c>
      <c r="I201" t="s">
        <v>4269</v>
      </c>
      <c r="J201" t="s">
        <v>638</v>
      </c>
      <c r="K201" t="s">
        <v>74</v>
      </c>
      <c r="L201" t="s">
        <v>74</v>
      </c>
      <c r="M201" t="s">
        <v>78</v>
      </c>
      <c r="N201" t="s">
        <v>79</v>
      </c>
      <c r="O201" t="s">
        <v>74</v>
      </c>
      <c r="P201" t="s">
        <v>74</v>
      </c>
      <c r="Q201" t="s">
        <v>74</v>
      </c>
      <c r="R201" t="s">
        <v>74</v>
      </c>
      <c r="S201" t="s">
        <v>74</v>
      </c>
      <c r="T201" t="s">
        <v>74</v>
      </c>
      <c r="U201" t="s">
        <v>4270</v>
      </c>
      <c r="V201" t="s">
        <v>4271</v>
      </c>
      <c r="W201" t="s">
        <v>4272</v>
      </c>
      <c r="X201" t="s">
        <v>4273</v>
      </c>
      <c r="Y201" t="s">
        <v>4274</v>
      </c>
      <c r="Z201" t="s">
        <v>4275</v>
      </c>
      <c r="AA201" t="s">
        <v>4276</v>
      </c>
      <c r="AB201" t="s">
        <v>4277</v>
      </c>
      <c r="AC201" t="s">
        <v>4278</v>
      </c>
      <c r="AD201" t="s">
        <v>4279</v>
      </c>
      <c r="AE201" t="s">
        <v>4280</v>
      </c>
      <c r="AF201" t="s">
        <v>74</v>
      </c>
      <c r="AG201">
        <v>24</v>
      </c>
      <c r="AH201">
        <v>3</v>
      </c>
      <c r="AI201">
        <v>4</v>
      </c>
      <c r="AJ201">
        <v>2</v>
      </c>
      <c r="AK201">
        <v>13</v>
      </c>
      <c r="AL201" t="s">
        <v>650</v>
      </c>
      <c r="AM201" t="s">
        <v>651</v>
      </c>
      <c r="AN201" t="s">
        <v>652</v>
      </c>
      <c r="AO201" t="s">
        <v>653</v>
      </c>
      <c r="AP201" t="s">
        <v>74</v>
      </c>
      <c r="AQ201" t="s">
        <v>74</v>
      </c>
      <c r="AR201" t="s">
        <v>654</v>
      </c>
      <c r="AS201" t="s">
        <v>655</v>
      </c>
      <c r="AT201" t="s">
        <v>4263</v>
      </c>
      <c r="AU201">
        <v>2017</v>
      </c>
      <c r="AV201">
        <v>7</v>
      </c>
      <c r="AW201" t="s">
        <v>74</v>
      </c>
      <c r="AX201" t="s">
        <v>74</v>
      </c>
      <c r="AY201" t="s">
        <v>74</v>
      </c>
      <c r="AZ201" t="s">
        <v>74</v>
      </c>
      <c r="BA201" t="s">
        <v>74</v>
      </c>
      <c r="BB201" t="s">
        <v>74</v>
      </c>
      <c r="BC201" t="s">
        <v>74</v>
      </c>
      <c r="BD201">
        <v>12321</v>
      </c>
      <c r="BE201" t="s">
        <v>4281</v>
      </c>
      <c r="BF201" t="str">
        <f>HYPERLINK("http://dx.doi.org/10.1038/s41598-017-12517-x","http://dx.doi.org/10.1038/s41598-017-12517-x")</f>
        <v>http://dx.doi.org/10.1038/s41598-017-12517-x</v>
      </c>
      <c r="BG201" t="s">
        <v>74</v>
      </c>
      <c r="BH201" t="s">
        <v>74</v>
      </c>
      <c r="BI201">
        <v>6</v>
      </c>
      <c r="BJ201" t="s">
        <v>190</v>
      </c>
      <c r="BK201" t="s">
        <v>101</v>
      </c>
      <c r="BL201" t="s">
        <v>191</v>
      </c>
      <c r="BM201" t="s">
        <v>4282</v>
      </c>
      <c r="BN201">
        <v>28951613</v>
      </c>
      <c r="BO201" t="s">
        <v>1094</v>
      </c>
      <c r="BP201" t="s">
        <v>74</v>
      </c>
      <c r="BQ201" t="s">
        <v>74</v>
      </c>
      <c r="BR201" t="s">
        <v>105</v>
      </c>
      <c r="BS201" t="s">
        <v>4283</v>
      </c>
      <c r="BT201" t="str">
        <f>HYPERLINK("https%3A%2F%2Fwww.webofscience.com%2Fwos%2Fwoscc%2Ffull-record%2FWOS:000411677500025","View Full Record in Web of Science")</f>
        <v>View Full Record in Web of Science</v>
      </c>
    </row>
    <row r="202" spans="1:72" x14ac:dyDescent="0.15">
      <c r="A202" t="s">
        <v>72</v>
      </c>
      <c r="B202" t="s">
        <v>4284</v>
      </c>
      <c r="C202" t="s">
        <v>74</v>
      </c>
      <c r="D202" t="s">
        <v>74</v>
      </c>
      <c r="E202" t="s">
        <v>74</v>
      </c>
      <c r="F202" t="s">
        <v>4285</v>
      </c>
      <c r="G202" t="s">
        <v>74</v>
      </c>
      <c r="H202" t="s">
        <v>74</v>
      </c>
      <c r="I202" t="s">
        <v>4286</v>
      </c>
      <c r="J202" t="s">
        <v>903</v>
      </c>
      <c r="K202" t="s">
        <v>74</v>
      </c>
      <c r="L202" t="s">
        <v>74</v>
      </c>
      <c r="M202" t="s">
        <v>78</v>
      </c>
      <c r="N202" t="s">
        <v>79</v>
      </c>
      <c r="O202" t="s">
        <v>74</v>
      </c>
      <c r="P202" t="s">
        <v>74</v>
      </c>
      <c r="Q202" t="s">
        <v>74</v>
      </c>
      <c r="R202" t="s">
        <v>74</v>
      </c>
      <c r="S202" t="s">
        <v>74</v>
      </c>
      <c r="T202" t="s">
        <v>74</v>
      </c>
      <c r="U202" t="s">
        <v>4287</v>
      </c>
      <c r="V202" t="s">
        <v>4288</v>
      </c>
      <c r="W202" t="s">
        <v>4289</v>
      </c>
      <c r="X202" t="s">
        <v>4290</v>
      </c>
      <c r="Y202" t="s">
        <v>4291</v>
      </c>
      <c r="Z202" t="s">
        <v>4292</v>
      </c>
      <c r="AA202" t="s">
        <v>4293</v>
      </c>
      <c r="AB202" t="s">
        <v>4294</v>
      </c>
      <c r="AC202" t="s">
        <v>4295</v>
      </c>
      <c r="AD202" t="s">
        <v>4296</v>
      </c>
      <c r="AE202" t="s">
        <v>4297</v>
      </c>
      <c r="AF202" t="s">
        <v>74</v>
      </c>
      <c r="AG202">
        <v>93</v>
      </c>
      <c r="AH202">
        <v>25</v>
      </c>
      <c r="AI202">
        <v>26</v>
      </c>
      <c r="AJ202">
        <v>0</v>
      </c>
      <c r="AK202">
        <v>36</v>
      </c>
      <c r="AL202" t="s">
        <v>311</v>
      </c>
      <c r="AM202" t="s">
        <v>312</v>
      </c>
      <c r="AN202" t="s">
        <v>313</v>
      </c>
      <c r="AO202" t="s">
        <v>915</v>
      </c>
      <c r="AP202" t="s">
        <v>916</v>
      </c>
      <c r="AQ202" t="s">
        <v>74</v>
      </c>
      <c r="AR202" t="s">
        <v>917</v>
      </c>
      <c r="AS202" t="s">
        <v>918</v>
      </c>
      <c r="AT202" t="s">
        <v>4298</v>
      </c>
      <c r="AU202">
        <v>2017</v>
      </c>
      <c r="AV202">
        <v>13</v>
      </c>
      <c r="AW202">
        <v>9</v>
      </c>
      <c r="AX202" t="s">
        <v>74</v>
      </c>
      <c r="AY202" t="s">
        <v>74</v>
      </c>
      <c r="AZ202" t="s">
        <v>74</v>
      </c>
      <c r="BA202" t="s">
        <v>74</v>
      </c>
      <c r="BB202">
        <v>1243</v>
      </c>
      <c r="BC202">
        <v>1257</v>
      </c>
      <c r="BD202" t="s">
        <v>74</v>
      </c>
      <c r="BE202" t="s">
        <v>4299</v>
      </c>
      <c r="BF202" t="str">
        <f>HYPERLINK("http://dx.doi.org/10.5194/cp-13-1243-2017","http://dx.doi.org/10.5194/cp-13-1243-2017")</f>
        <v>http://dx.doi.org/10.5194/cp-13-1243-2017</v>
      </c>
      <c r="BG202" t="s">
        <v>74</v>
      </c>
      <c r="BH202" t="s">
        <v>74</v>
      </c>
      <c r="BI202">
        <v>15</v>
      </c>
      <c r="BJ202" t="s">
        <v>920</v>
      </c>
      <c r="BK202" t="s">
        <v>101</v>
      </c>
      <c r="BL202" t="s">
        <v>921</v>
      </c>
      <c r="BM202" t="s">
        <v>4300</v>
      </c>
      <c r="BN202" t="s">
        <v>74</v>
      </c>
      <c r="BO202" t="s">
        <v>322</v>
      </c>
      <c r="BP202" t="s">
        <v>74</v>
      </c>
      <c r="BQ202" t="s">
        <v>74</v>
      </c>
      <c r="BR202" t="s">
        <v>105</v>
      </c>
      <c r="BS202" t="s">
        <v>4301</v>
      </c>
      <c r="BT202" t="str">
        <f>HYPERLINK("https%3A%2F%2Fwww.webofscience.com%2Fwos%2Fwoscc%2Ffull-record%2FWOS:000411587900001","View Full Record in Web of Science")</f>
        <v>View Full Record in Web of Science</v>
      </c>
    </row>
    <row r="203" spans="1:72" x14ac:dyDescent="0.15">
      <c r="A203" t="s">
        <v>72</v>
      </c>
      <c r="B203" t="s">
        <v>4302</v>
      </c>
      <c r="C203" t="s">
        <v>74</v>
      </c>
      <c r="D203" t="s">
        <v>74</v>
      </c>
      <c r="E203" t="s">
        <v>74</v>
      </c>
      <c r="F203" t="s">
        <v>4303</v>
      </c>
      <c r="G203" t="s">
        <v>74</v>
      </c>
      <c r="H203" t="s">
        <v>74</v>
      </c>
      <c r="I203" t="s">
        <v>4304</v>
      </c>
      <c r="J203" t="s">
        <v>903</v>
      </c>
      <c r="K203" t="s">
        <v>74</v>
      </c>
      <c r="L203" t="s">
        <v>74</v>
      </c>
      <c r="M203" t="s">
        <v>78</v>
      </c>
      <c r="N203" t="s">
        <v>79</v>
      </c>
      <c r="O203" t="s">
        <v>74</v>
      </c>
      <c r="P203" t="s">
        <v>74</v>
      </c>
      <c r="Q203" t="s">
        <v>74</v>
      </c>
      <c r="R203" t="s">
        <v>74</v>
      </c>
      <c r="S203" t="s">
        <v>74</v>
      </c>
      <c r="T203" t="s">
        <v>74</v>
      </c>
      <c r="U203" t="s">
        <v>4305</v>
      </c>
      <c r="V203" t="s">
        <v>4306</v>
      </c>
      <c r="W203" t="s">
        <v>4307</v>
      </c>
      <c r="X203" t="s">
        <v>4308</v>
      </c>
      <c r="Y203" t="s">
        <v>4309</v>
      </c>
      <c r="Z203" t="s">
        <v>4310</v>
      </c>
      <c r="AA203" t="s">
        <v>4311</v>
      </c>
      <c r="AB203" t="s">
        <v>4312</v>
      </c>
      <c r="AC203" t="s">
        <v>74</v>
      </c>
      <c r="AD203" t="s">
        <v>74</v>
      </c>
      <c r="AE203" t="s">
        <v>74</v>
      </c>
      <c r="AF203" t="s">
        <v>74</v>
      </c>
      <c r="AG203">
        <v>33</v>
      </c>
      <c r="AH203">
        <v>11</v>
      </c>
      <c r="AI203">
        <v>11</v>
      </c>
      <c r="AJ203">
        <v>0</v>
      </c>
      <c r="AK203">
        <v>15</v>
      </c>
      <c r="AL203" t="s">
        <v>311</v>
      </c>
      <c r="AM203" t="s">
        <v>312</v>
      </c>
      <c r="AN203" t="s">
        <v>313</v>
      </c>
      <c r="AO203" t="s">
        <v>915</v>
      </c>
      <c r="AP203" t="s">
        <v>916</v>
      </c>
      <c r="AQ203" t="s">
        <v>74</v>
      </c>
      <c r="AR203" t="s">
        <v>917</v>
      </c>
      <c r="AS203" t="s">
        <v>918</v>
      </c>
      <c r="AT203" t="s">
        <v>4298</v>
      </c>
      <c r="AU203">
        <v>2017</v>
      </c>
      <c r="AV203">
        <v>13</v>
      </c>
      <c r="AW203">
        <v>9</v>
      </c>
      <c r="AX203" t="s">
        <v>74</v>
      </c>
      <c r="AY203" t="s">
        <v>74</v>
      </c>
      <c r="AZ203" t="s">
        <v>74</v>
      </c>
      <c r="BA203" t="s">
        <v>74</v>
      </c>
      <c r="BB203">
        <v>1259</v>
      </c>
      <c r="BC203">
        <v>1267</v>
      </c>
      <c r="BD203" t="s">
        <v>74</v>
      </c>
      <c r="BE203" t="s">
        <v>4313</v>
      </c>
      <c r="BF203" t="str">
        <f>HYPERLINK("http://dx.doi.org/10.5194/cp-13-1259-2017","http://dx.doi.org/10.5194/cp-13-1259-2017")</f>
        <v>http://dx.doi.org/10.5194/cp-13-1259-2017</v>
      </c>
      <c r="BG203" t="s">
        <v>74</v>
      </c>
      <c r="BH203" t="s">
        <v>74</v>
      </c>
      <c r="BI203">
        <v>9</v>
      </c>
      <c r="BJ203" t="s">
        <v>920</v>
      </c>
      <c r="BK203" t="s">
        <v>101</v>
      </c>
      <c r="BL203" t="s">
        <v>921</v>
      </c>
      <c r="BM203" t="s">
        <v>4300</v>
      </c>
      <c r="BN203" t="s">
        <v>74</v>
      </c>
      <c r="BO203" t="s">
        <v>322</v>
      </c>
      <c r="BP203" t="s">
        <v>74</v>
      </c>
      <c r="BQ203" t="s">
        <v>74</v>
      </c>
      <c r="BR203" t="s">
        <v>105</v>
      </c>
      <c r="BS203" t="s">
        <v>4314</v>
      </c>
      <c r="BT203" t="str">
        <f>HYPERLINK("https%3A%2F%2Fwww.webofscience.com%2Fwos%2Fwoscc%2Ffull-record%2FWOS:000411587900002","View Full Record in Web of Science")</f>
        <v>View Full Record in Web of Science</v>
      </c>
    </row>
    <row r="204" spans="1:72" x14ac:dyDescent="0.15">
      <c r="A204" t="s">
        <v>72</v>
      </c>
      <c r="B204" t="s">
        <v>4315</v>
      </c>
      <c r="C204" t="s">
        <v>74</v>
      </c>
      <c r="D204" t="s">
        <v>74</v>
      </c>
      <c r="E204" t="s">
        <v>74</v>
      </c>
      <c r="F204" t="s">
        <v>4316</v>
      </c>
      <c r="G204" t="s">
        <v>74</v>
      </c>
      <c r="H204" t="s">
        <v>74</v>
      </c>
      <c r="I204" t="s">
        <v>4317</v>
      </c>
      <c r="J204" t="s">
        <v>638</v>
      </c>
      <c r="K204" t="s">
        <v>74</v>
      </c>
      <c r="L204" t="s">
        <v>74</v>
      </c>
      <c r="M204" t="s">
        <v>78</v>
      </c>
      <c r="N204" t="s">
        <v>79</v>
      </c>
      <c r="O204" t="s">
        <v>74</v>
      </c>
      <c r="P204" t="s">
        <v>74</v>
      </c>
      <c r="Q204" t="s">
        <v>74</v>
      </c>
      <c r="R204" t="s">
        <v>74</v>
      </c>
      <c r="S204" t="s">
        <v>74</v>
      </c>
      <c r="T204" t="s">
        <v>74</v>
      </c>
      <c r="U204" t="s">
        <v>4318</v>
      </c>
      <c r="V204" t="s">
        <v>4319</v>
      </c>
      <c r="W204" t="s">
        <v>4320</v>
      </c>
      <c r="X204" t="s">
        <v>4321</v>
      </c>
      <c r="Y204" t="s">
        <v>4322</v>
      </c>
      <c r="Z204" t="s">
        <v>4323</v>
      </c>
      <c r="AA204" t="s">
        <v>4324</v>
      </c>
      <c r="AB204" t="s">
        <v>4325</v>
      </c>
      <c r="AC204" t="s">
        <v>4326</v>
      </c>
      <c r="AD204" t="s">
        <v>4327</v>
      </c>
      <c r="AE204" t="s">
        <v>4328</v>
      </c>
      <c r="AF204" t="s">
        <v>74</v>
      </c>
      <c r="AG204">
        <v>100</v>
      </c>
      <c r="AH204">
        <v>10</v>
      </c>
      <c r="AI204">
        <v>11</v>
      </c>
      <c r="AJ204">
        <v>0</v>
      </c>
      <c r="AK204">
        <v>21</v>
      </c>
      <c r="AL204" t="s">
        <v>650</v>
      </c>
      <c r="AM204" t="s">
        <v>651</v>
      </c>
      <c r="AN204" t="s">
        <v>652</v>
      </c>
      <c r="AO204" t="s">
        <v>653</v>
      </c>
      <c r="AP204" t="s">
        <v>74</v>
      </c>
      <c r="AQ204" t="s">
        <v>74</v>
      </c>
      <c r="AR204" t="s">
        <v>654</v>
      </c>
      <c r="AS204" t="s">
        <v>655</v>
      </c>
      <c r="AT204" t="s">
        <v>4298</v>
      </c>
      <c r="AU204">
        <v>2017</v>
      </c>
      <c r="AV204">
        <v>7</v>
      </c>
      <c r="AW204" t="s">
        <v>74</v>
      </c>
      <c r="AX204" t="s">
        <v>74</v>
      </c>
      <c r="AY204" t="s">
        <v>74</v>
      </c>
      <c r="AZ204" t="s">
        <v>74</v>
      </c>
      <c r="BA204" t="s">
        <v>74</v>
      </c>
      <c r="BB204" t="s">
        <v>74</v>
      </c>
      <c r="BC204" t="s">
        <v>74</v>
      </c>
      <c r="BD204">
        <v>12251</v>
      </c>
      <c r="BE204" t="s">
        <v>4329</v>
      </c>
      <c r="BF204" t="str">
        <f>HYPERLINK("http://dx.doi.org/10.1038/s41598-017-12427-y","http://dx.doi.org/10.1038/s41598-017-12427-y")</f>
        <v>http://dx.doi.org/10.1038/s41598-017-12427-y</v>
      </c>
      <c r="BG204" t="s">
        <v>74</v>
      </c>
      <c r="BH204" t="s">
        <v>74</v>
      </c>
      <c r="BI204">
        <v>11</v>
      </c>
      <c r="BJ204" t="s">
        <v>190</v>
      </c>
      <c r="BK204" t="s">
        <v>101</v>
      </c>
      <c r="BL204" t="s">
        <v>191</v>
      </c>
      <c r="BM204" t="s">
        <v>4330</v>
      </c>
      <c r="BN204">
        <v>28947777</v>
      </c>
      <c r="BO204" t="s">
        <v>923</v>
      </c>
      <c r="BP204" t="s">
        <v>74</v>
      </c>
      <c r="BQ204" t="s">
        <v>74</v>
      </c>
      <c r="BR204" t="s">
        <v>105</v>
      </c>
      <c r="BS204" t="s">
        <v>4331</v>
      </c>
      <c r="BT204" t="str">
        <f>HYPERLINK("https%3A%2F%2Fwww.webofscience.com%2Fwos%2Fwoscc%2Ffull-record%2FWOS:000411648500025","View Full Record in Web of Science")</f>
        <v>View Full Record in Web of Science</v>
      </c>
    </row>
    <row r="205" spans="1:72" x14ac:dyDescent="0.15">
      <c r="A205" t="s">
        <v>72</v>
      </c>
      <c r="B205" t="s">
        <v>4332</v>
      </c>
      <c r="C205" t="s">
        <v>74</v>
      </c>
      <c r="D205" t="s">
        <v>74</v>
      </c>
      <c r="E205" t="s">
        <v>74</v>
      </c>
      <c r="F205" t="s">
        <v>4333</v>
      </c>
      <c r="G205" t="s">
        <v>74</v>
      </c>
      <c r="H205" t="s">
        <v>74</v>
      </c>
      <c r="I205" t="s">
        <v>4334</v>
      </c>
      <c r="J205" t="s">
        <v>4335</v>
      </c>
      <c r="K205" t="s">
        <v>74</v>
      </c>
      <c r="L205" t="s">
        <v>74</v>
      </c>
      <c r="M205" t="s">
        <v>78</v>
      </c>
      <c r="N205" t="s">
        <v>79</v>
      </c>
      <c r="O205" t="s">
        <v>74</v>
      </c>
      <c r="P205" t="s">
        <v>74</v>
      </c>
      <c r="Q205" t="s">
        <v>74</v>
      </c>
      <c r="R205" t="s">
        <v>74</v>
      </c>
      <c r="S205" t="s">
        <v>74</v>
      </c>
      <c r="T205" t="s">
        <v>4336</v>
      </c>
      <c r="U205" t="s">
        <v>4337</v>
      </c>
      <c r="V205" t="s">
        <v>4338</v>
      </c>
      <c r="W205" t="s">
        <v>4339</v>
      </c>
      <c r="X205" t="s">
        <v>4340</v>
      </c>
      <c r="Y205" t="s">
        <v>4341</v>
      </c>
      <c r="Z205" t="s">
        <v>4342</v>
      </c>
      <c r="AA205" t="s">
        <v>4343</v>
      </c>
      <c r="AB205" t="s">
        <v>4344</v>
      </c>
      <c r="AC205" t="s">
        <v>4345</v>
      </c>
      <c r="AD205" t="s">
        <v>4346</v>
      </c>
      <c r="AE205" t="s">
        <v>4347</v>
      </c>
      <c r="AF205" t="s">
        <v>74</v>
      </c>
      <c r="AG205">
        <v>53</v>
      </c>
      <c r="AH205">
        <v>8</v>
      </c>
      <c r="AI205">
        <v>8</v>
      </c>
      <c r="AJ205">
        <v>0</v>
      </c>
      <c r="AK205">
        <v>8</v>
      </c>
      <c r="AL205" t="s">
        <v>1270</v>
      </c>
      <c r="AM205" t="s">
        <v>209</v>
      </c>
      <c r="AN205" t="s">
        <v>1682</v>
      </c>
      <c r="AO205" t="s">
        <v>4348</v>
      </c>
      <c r="AP205" t="s">
        <v>4349</v>
      </c>
      <c r="AQ205" t="s">
        <v>74</v>
      </c>
      <c r="AR205" t="s">
        <v>4350</v>
      </c>
      <c r="AS205" t="s">
        <v>4351</v>
      </c>
      <c r="AT205" t="s">
        <v>4298</v>
      </c>
      <c r="AU205">
        <v>2017</v>
      </c>
      <c r="AV205">
        <v>827</v>
      </c>
      <c r="AW205" t="s">
        <v>74</v>
      </c>
      <c r="AX205" t="s">
        <v>74</v>
      </c>
      <c r="AY205" t="s">
        <v>74</v>
      </c>
      <c r="AZ205" t="s">
        <v>74</v>
      </c>
      <c r="BA205" t="s">
        <v>74</v>
      </c>
      <c r="BB205">
        <v>415</v>
      </c>
      <c r="BC205">
        <v>447</v>
      </c>
      <c r="BD205" t="s">
        <v>74</v>
      </c>
      <c r="BE205" t="s">
        <v>4352</v>
      </c>
      <c r="BF205" t="str">
        <f>HYPERLINK("http://dx.doi.org/10.1017/jfm.2017.482","http://dx.doi.org/10.1017/jfm.2017.482")</f>
        <v>http://dx.doi.org/10.1017/jfm.2017.482</v>
      </c>
      <c r="BG205" t="s">
        <v>74</v>
      </c>
      <c r="BH205" t="s">
        <v>74</v>
      </c>
      <c r="BI205">
        <v>33</v>
      </c>
      <c r="BJ205" t="s">
        <v>4353</v>
      </c>
      <c r="BK205" t="s">
        <v>101</v>
      </c>
      <c r="BL205" t="s">
        <v>4354</v>
      </c>
      <c r="BM205" t="s">
        <v>4355</v>
      </c>
      <c r="BN205" t="s">
        <v>74</v>
      </c>
      <c r="BO205" t="s">
        <v>2091</v>
      </c>
      <c r="BP205" t="s">
        <v>74</v>
      </c>
      <c r="BQ205" t="s">
        <v>74</v>
      </c>
      <c r="BR205" t="s">
        <v>105</v>
      </c>
      <c r="BS205" t="s">
        <v>4356</v>
      </c>
      <c r="BT205" t="str">
        <f>HYPERLINK("https%3A%2F%2Fwww.webofscience.com%2Fwos%2Fwoscc%2Ffull-record%2FWOS:000408326300018","View Full Record in Web of Science")</f>
        <v>View Full Record in Web of Science</v>
      </c>
    </row>
    <row r="206" spans="1:72" x14ac:dyDescent="0.15">
      <c r="A206" t="s">
        <v>72</v>
      </c>
      <c r="B206" t="s">
        <v>4357</v>
      </c>
      <c r="C206" t="s">
        <v>74</v>
      </c>
      <c r="D206" t="s">
        <v>74</v>
      </c>
      <c r="E206" t="s">
        <v>74</v>
      </c>
      <c r="F206" t="s">
        <v>4358</v>
      </c>
      <c r="G206" t="s">
        <v>74</v>
      </c>
      <c r="H206" t="s">
        <v>74</v>
      </c>
      <c r="I206" t="s">
        <v>4359</v>
      </c>
      <c r="J206" t="s">
        <v>638</v>
      </c>
      <c r="K206" t="s">
        <v>74</v>
      </c>
      <c r="L206" t="s">
        <v>74</v>
      </c>
      <c r="M206" t="s">
        <v>78</v>
      </c>
      <c r="N206" t="s">
        <v>79</v>
      </c>
      <c r="O206" t="s">
        <v>74</v>
      </c>
      <c r="P206" t="s">
        <v>74</v>
      </c>
      <c r="Q206" t="s">
        <v>74</v>
      </c>
      <c r="R206" t="s">
        <v>74</v>
      </c>
      <c r="S206" t="s">
        <v>74</v>
      </c>
      <c r="T206" t="s">
        <v>74</v>
      </c>
      <c r="U206" t="s">
        <v>4360</v>
      </c>
      <c r="V206" t="s">
        <v>4361</v>
      </c>
      <c r="W206" t="s">
        <v>4362</v>
      </c>
      <c r="X206" t="s">
        <v>4363</v>
      </c>
      <c r="Y206" t="s">
        <v>4364</v>
      </c>
      <c r="Z206" t="s">
        <v>4365</v>
      </c>
      <c r="AA206" t="s">
        <v>4366</v>
      </c>
      <c r="AB206" t="s">
        <v>4367</v>
      </c>
      <c r="AC206" t="s">
        <v>4368</v>
      </c>
      <c r="AD206" t="s">
        <v>4369</v>
      </c>
      <c r="AE206" t="s">
        <v>4370</v>
      </c>
      <c r="AF206" t="s">
        <v>74</v>
      </c>
      <c r="AG206">
        <v>43</v>
      </c>
      <c r="AH206">
        <v>47</v>
      </c>
      <c r="AI206">
        <v>50</v>
      </c>
      <c r="AJ206">
        <v>0</v>
      </c>
      <c r="AK206">
        <v>16</v>
      </c>
      <c r="AL206" t="s">
        <v>650</v>
      </c>
      <c r="AM206" t="s">
        <v>651</v>
      </c>
      <c r="AN206" t="s">
        <v>652</v>
      </c>
      <c r="AO206" t="s">
        <v>653</v>
      </c>
      <c r="AP206" t="s">
        <v>74</v>
      </c>
      <c r="AQ206" t="s">
        <v>74</v>
      </c>
      <c r="AR206" t="s">
        <v>654</v>
      </c>
      <c r="AS206" t="s">
        <v>655</v>
      </c>
      <c r="AT206" t="s">
        <v>4298</v>
      </c>
      <c r="AU206">
        <v>2017</v>
      </c>
      <c r="AV206">
        <v>7</v>
      </c>
      <c r="AW206" t="s">
        <v>74</v>
      </c>
      <c r="AX206" t="s">
        <v>74</v>
      </c>
      <c r="AY206" t="s">
        <v>74</v>
      </c>
      <c r="AZ206" t="s">
        <v>74</v>
      </c>
      <c r="BA206" t="s">
        <v>74</v>
      </c>
      <c r="BB206" t="s">
        <v>74</v>
      </c>
      <c r="BC206" t="s">
        <v>74</v>
      </c>
      <c r="BD206">
        <v>12238</v>
      </c>
      <c r="BE206" t="s">
        <v>4371</v>
      </c>
      <c r="BF206" t="str">
        <f>HYPERLINK("http://dx.doi.org/10.1038/s41598-017-11758-0","http://dx.doi.org/10.1038/s41598-017-11758-0")</f>
        <v>http://dx.doi.org/10.1038/s41598-017-11758-0</v>
      </c>
      <c r="BG206" t="s">
        <v>74</v>
      </c>
      <c r="BH206" t="s">
        <v>74</v>
      </c>
      <c r="BI206">
        <v>8</v>
      </c>
      <c r="BJ206" t="s">
        <v>190</v>
      </c>
      <c r="BK206" t="s">
        <v>101</v>
      </c>
      <c r="BL206" t="s">
        <v>191</v>
      </c>
      <c r="BM206" t="s">
        <v>4330</v>
      </c>
      <c r="BN206">
        <v>28947829</v>
      </c>
      <c r="BO206" t="s">
        <v>658</v>
      </c>
      <c r="BP206" t="s">
        <v>74</v>
      </c>
      <c r="BQ206" t="s">
        <v>74</v>
      </c>
      <c r="BR206" t="s">
        <v>105</v>
      </c>
      <c r="BS206" t="s">
        <v>4372</v>
      </c>
      <c r="BT206" t="str">
        <f>HYPERLINK("https%3A%2F%2Fwww.webofscience.com%2Fwos%2Fwoscc%2Ffull-record%2FWOS:000411648500012","View Full Record in Web of Science")</f>
        <v>View Full Record in Web of Science</v>
      </c>
    </row>
    <row r="207" spans="1:72" x14ac:dyDescent="0.15">
      <c r="A207" t="s">
        <v>72</v>
      </c>
      <c r="B207" t="s">
        <v>4373</v>
      </c>
      <c r="C207" t="s">
        <v>74</v>
      </c>
      <c r="D207" t="s">
        <v>74</v>
      </c>
      <c r="E207" t="s">
        <v>74</v>
      </c>
      <c r="F207" t="s">
        <v>4374</v>
      </c>
      <c r="G207" t="s">
        <v>74</v>
      </c>
      <c r="H207" t="s">
        <v>74</v>
      </c>
      <c r="I207" t="s">
        <v>4375</v>
      </c>
      <c r="J207" t="s">
        <v>4376</v>
      </c>
      <c r="K207" t="s">
        <v>74</v>
      </c>
      <c r="L207" t="s">
        <v>74</v>
      </c>
      <c r="M207" t="s">
        <v>78</v>
      </c>
      <c r="N207" t="s">
        <v>79</v>
      </c>
      <c r="O207" t="s">
        <v>74</v>
      </c>
      <c r="P207" t="s">
        <v>74</v>
      </c>
      <c r="Q207" t="s">
        <v>74</v>
      </c>
      <c r="R207" t="s">
        <v>74</v>
      </c>
      <c r="S207" t="s">
        <v>74</v>
      </c>
      <c r="T207" t="s">
        <v>4377</v>
      </c>
      <c r="U207" t="s">
        <v>4378</v>
      </c>
      <c r="V207" t="s">
        <v>4379</v>
      </c>
      <c r="W207" t="s">
        <v>4380</v>
      </c>
      <c r="X207" t="s">
        <v>4381</v>
      </c>
      <c r="Y207" t="s">
        <v>4382</v>
      </c>
      <c r="Z207" t="s">
        <v>4383</v>
      </c>
      <c r="AA207" t="s">
        <v>4384</v>
      </c>
      <c r="AB207" t="s">
        <v>4385</v>
      </c>
      <c r="AC207" t="s">
        <v>4386</v>
      </c>
      <c r="AD207" t="s">
        <v>4387</v>
      </c>
      <c r="AE207" t="s">
        <v>4388</v>
      </c>
      <c r="AF207" t="s">
        <v>74</v>
      </c>
      <c r="AG207">
        <v>38</v>
      </c>
      <c r="AH207">
        <v>3</v>
      </c>
      <c r="AI207">
        <v>3</v>
      </c>
      <c r="AJ207">
        <v>1</v>
      </c>
      <c r="AK207">
        <v>26</v>
      </c>
      <c r="AL207" t="s">
        <v>2520</v>
      </c>
      <c r="AM207" t="s">
        <v>2521</v>
      </c>
      <c r="AN207" t="s">
        <v>2522</v>
      </c>
      <c r="AO207" t="s">
        <v>4389</v>
      </c>
      <c r="AP207" t="s">
        <v>4390</v>
      </c>
      <c r="AQ207" t="s">
        <v>74</v>
      </c>
      <c r="AR207" t="s">
        <v>4376</v>
      </c>
      <c r="AS207" t="s">
        <v>4391</v>
      </c>
      <c r="AT207" t="s">
        <v>4392</v>
      </c>
      <c r="AU207">
        <v>2017</v>
      </c>
      <c r="AV207">
        <v>7</v>
      </c>
      <c r="AW207" t="s">
        <v>74</v>
      </c>
      <c r="AX207" t="s">
        <v>74</v>
      </c>
      <c r="AY207" t="s">
        <v>74</v>
      </c>
      <c r="AZ207" t="s">
        <v>74</v>
      </c>
      <c r="BA207" t="s">
        <v>74</v>
      </c>
      <c r="BB207" t="s">
        <v>74</v>
      </c>
      <c r="BC207" t="s">
        <v>74</v>
      </c>
      <c r="BD207">
        <v>343</v>
      </c>
      <c r="BE207" t="s">
        <v>4393</v>
      </c>
      <c r="BF207" t="str">
        <f>HYPERLINK("http://dx.doi.org/10.1007/s13205-017-0983-3","http://dx.doi.org/10.1007/s13205-017-0983-3")</f>
        <v>http://dx.doi.org/10.1007/s13205-017-0983-3</v>
      </c>
      <c r="BG207" t="s">
        <v>74</v>
      </c>
      <c r="BH207" t="s">
        <v>74</v>
      </c>
      <c r="BI207">
        <v>11</v>
      </c>
      <c r="BJ207" t="s">
        <v>947</v>
      </c>
      <c r="BK207" t="s">
        <v>101</v>
      </c>
      <c r="BL207" t="s">
        <v>947</v>
      </c>
      <c r="BM207" t="s">
        <v>4394</v>
      </c>
      <c r="BN207">
        <v>28955640</v>
      </c>
      <c r="BO207" t="s">
        <v>164</v>
      </c>
      <c r="BP207" t="s">
        <v>74</v>
      </c>
      <c r="BQ207" t="s">
        <v>74</v>
      </c>
      <c r="BR207" t="s">
        <v>105</v>
      </c>
      <c r="BS207" t="s">
        <v>4395</v>
      </c>
      <c r="BT207" t="str">
        <f>HYPERLINK("https%3A%2F%2Fwww.webofscience.com%2Fwos%2Fwoscc%2Ffull-record%2FWOS:000411736100001","View Full Record in Web of Science")</f>
        <v>View Full Record in Web of Science</v>
      </c>
    </row>
    <row r="208" spans="1:72" x14ac:dyDescent="0.15">
      <c r="A208" t="s">
        <v>72</v>
      </c>
      <c r="B208" t="s">
        <v>4396</v>
      </c>
      <c r="C208" t="s">
        <v>74</v>
      </c>
      <c r="D208" t="s">
        <v>74</v>
      </c>
      <c r="E208" t="s">
        <v>74</v>
      </c>
      <c r="F208" t="s">
        <v>4397</v>
      </c>
      <c r="G208" t="s">
        <v>74</v>
      </c>
      <c r="H208" t="s">
        <v>74</v>
      </c>
      <c r="I208" t="s">
        <v>4398</v>
      </c>
      <c r="J208" t="s">
        <v>4399</v>
      </c>
      <c r="K208" t="s">
        <v>74</v>
      </c>
      <c r="L208" t="s">
        <v>74</v>
      </c>
      <c r="M208" t="s">
        <v>78</v>
      </c>
      <c r="N208" t="s">
        <v>79</v>
      </c>
      <c r="O208" t="s">
        <v>74</v>
      </c>
      <c r="P208" t="s">
        <v>74</v>
      </c>
      <c r="Q208" t="s">
        <v>74</v>
      </c>
      <c r="R208" t="s">
        <v>74</v>
      </c>
      <c r="S208" t="s">
        <v>74</v>
      </c>
      <c r="T208" t="s">
        <v>4400</v>
      </c>
      <c r="U208" t="s">
        <v>74</v>
      </c>
      <c r="V208" t="s">
        <v>4401</v>
      </c>
      <c r="W208" t="s">
        <v>4402</v>
      </c>
      <c r="X208" t="s">
        <v>4403</v>
      </c>
      <c r="Y208" t="s">
        <v>4404</v>
      </c>
      <c r="Z208" t="s">
        <v>4405</v>
      </c>
      <c r="AA208" t="s">
        <v>4406</v>
      </c>
      <c r="AB208" t="s">
        <v>4407</v>
      </c>
      <c r="AC208" t="s">
        <v>4408</v>
      </c>
      <c r="AD208" t="s">
        <v>4409</v>
      </c>
      <c r="AE208" t="s">
        <v>4410</v>
      </c>
      <c r="AF208" t="s">
        <v>74</v>
      </c>
      <c r="AG208">
        <v>61</v>
      </c>
      <c r="AH208">
        <v>41</v>
      </c>
      <c r="AI208">
        <v>42</v>
      </c>
      <c r="AJ208">
        <v>0</v>
      </c>
      <c r="AK208">
        <v>10</v>
      </c>
      <c r="AL208" t="s">
        <v>4411</v>
      </c>
      <c r="AM208" t="s">
        <v>4412</v>
      </c>
      <c r="AN208" t="s">
        <v>4413</v>
      </c>
      <c r="AO208" t="s">
        <v>4414</v>
      </c>
      <c r="AP208" t="s">
        <v>74</v>
      </c>
      <c r="AQ208" t="s">
        <v>74</v>
      </c>
      <c r="AR208" t="s">
        <v>4415</v>
      </c>
      <c r="AS208" t="s">
        <v>4416</v>
      </c>
      <c r="AT208" t="s">
        <v>4417</v>
      </c>
      <c r="AU208">
        <v>2017</v>
      </c>
      <c r="AV208">
        <v>5</v>
      </c>
      <c r="AW208" t="s">
        <v>74</v>
      </c>
      <c r="AX208" t="s">
        <v>74</v>
      </c>
      <c r="AY208" t="s">
        <v>74</v>
      </c>
      <c r="AZ208" t="s">
        <v>74</v>
      </c>
      <c r="BA208" t="s">
        <v>74</v>
      </c>
      <c r="BB208" t="s">
        <v>74</v>
      </c>
      <c r="BC208" t="s">
        <v>74</v>
      </c>
      <c r="BD208">
        <v>55</v>
      </c>
      <c r="BE208" t="s">
        <v>4418</v>
      </c>
      <c r="BF208" t="str">
        <f>HYPERLINK("http://dx.doi.org/10.1525/elementa.241","http://dx.doi.org/10.1525/elementa.241")</f>
        <v>http://dx.doi.org/10.1525/elementa.241</v>
      </c>
      <c r="BG208" t="s">
        <v>74</v>
      </c>
      <c r="BH208" t="s">
        <v>74</v>
      </c>
      <c r="BI208">
        <v>27</v>
      </c>
      <c r="BJ208" t="s">
        <v>834</v>
      </c>
      <c r="BK208" t="s">
        <v>101</v>
      </c>
      <c r="BL208" t="s">
        <v>835</v>
      </c>
      <c r="BM208" t="s">
        <v>4419</v>
      </c>
      <c r="BN208" t="s">
        <v>74</v>
      </c>
      <c r="BO208" t="s">
        <v>4420</v>
      </c>
      <c r="BP208" t="s">
        <v>74</v>
      </c>
      <c r="BQ208" t="s">
        <v>74</v>
      </c>
      <c r="BR208" t="s">
        <v>105</v>
      </c>
      <c r="BS208" t="s">
        <v>4421</v>
      </c>
      <c r="BT208" t="str">
        <f>HYPERLINK("https%3A%2F%2Fwww.webofscience.com%2Fwos%2Fwoscc%2Ffull-record%2FWOS:000411394600001","View Full Record in Web of Science")</f>
        <v>View Full Record in Web of Science</v>
      </c>
    </row>
    <row r="209" spans="1:72" x14ac:dyDescent="0.15">
      <c r="A209" t="s">
        <v>72</v>
      </c>
      <c r="B209" t="s">
        <v>4422</v>
      </c>
      <c r="C209" t="s">
        <v>74</v>
      </c>
      <c r="D209" t="s">
        <v>74</v>
      </c>
      <c r="E209" t="s">
        <v>74</v>
      </c>
      <c r="F209" t="s">
        <v>4423</v>
      </c>
      <c r="G209" t="s">
        <v>74</v>
      </c>
      <c r="H209" t="s">
        <v>74</v>
      </c>
      <c r="I209" t="s">
        <v>4424</v>
      </c>
      <c r="J209" t="s">
        <v>4425</v>
      </c>
      <c r="K209" t="s">
        <v>74</v>
      </c>
      <c r="L209" t="s">
        <v>74</v>
      </c>
      <c r="M209" t="s">
        <v>78</v>
      </c>
      <c r="N209" t="s">
        <v>79</v>
      </c>
      <c r="O209" t="s">
        <v>74</v>
      </c>
      <c r="P209" t="s">
        <v>74</v>
      </c>
      <c r="Q209" t="s">
        <v>74</v>
      </c>
      <c r="R209" t="s">
        <v>74</v>
      </c>
      <c r="S209" t="s">
        <v>74</v>
      </c>
      <c r="T209" t="s">
        <v>74</v>
      </c>
      <c r="U209" t="s">
        <v>4426</v>
      </c>
      <c r="V209" t="s">
        <v>4427</v>
      </c>
      <c r="W209" t="s">
        <v>4428</v>
      </c>
      <c r="X209" t="s">
        <v>1179</v>
      </c>
      <c r="Y209" t="s">
        <v>4429</v>
      </c>
      <c r="Z209" t="s">
        <v>4430</v>
      </c>
      <c r="AA209" t="s">
        <v>74</v>
      </c>
      <c r="AB209" t="s">
        <v>74</v>
      </c>
      <c r="AC209" t="s">
        <v>4431</v>
      </c>
      <c r="AD209" t="s">
        <v>4432</v>
      </c>
      <c r="AE209" t="s">
        <v>4433</v>
      </c>
      <c r="AF209" t="s">
        <v>74</v>
      </c>
      <c r="AG209">
        <v>32</v>
      </c>
      <c r="AH209">
        <v>34</v>
      </c>
      <c r="AI209">
        <v>36</v>
      </c>
      <c r="AJ209">
        <v>0</v>
      </c>
      <c r="AK209">
        <v>13</v>
      </c>
      <c r="AL209" t="s">
        <v>311</v>
      </c>
      <c r="AM209" t="s">
        <v>312</v>
      </c>
      <c r="AN209" t="s">
        <v>313</v>
      </c>
      <c r="AO209" t="s">
        <v>4434</v>
      </c>
      <c r="AP209" t="s">
        <v>74</v>
      </c>
      <c r="AQ209" t="s">
        <v>74</v>
      </c>
      <c r="AR209" t="s">
        <v>4435</v>
      </c>
      <c r="AS209" t="s">
        <v>4436</v>
      </c>
      <c r="AT209" t="s">
        <v>4417</v>
      </c>
      <c r="AU209">
        <v>2017</v>
      </c>
      <c r="AV209">
        <v>13</v>
      </c>
      <c r="AW209">
        <v>5</v>
      </c>
      <c r="AX209" t="s">
        <v>74</v>
      </c>
      <c r="AY209" t="s">
        <v>74</v>
      </c>
      <c r="AZ209" t="s">
        <v>74</v>
      </c>
      <c r="BA209" t="s">
        <v>74</v>
      </c>
      <c r="BB209">
        <v>765</v>
      </c>
      <c r="BC209">
        <v>776</v>
      </c>
      <c r="BD209" t="s">
        <v>74</v>
      </c>
      <c r="BE209" t="s">
        <v>4437</v>
      </c>
      <c r="BF209" t="str">
        <f>HYPERLINK("http://dx.doi.org/10.5194/os-13-765-2017","http://dx.doi.org/10.5194/os-13-765-2017")</f>
        <v>http://dx.doi.org/10.5194/os-13-765-2017</v>
      </c>
      <c r="BG209" t="s">
        <v>74</v>
      </c>
      <c r="BH209" t="s">
        <v>74</v>
      </c>
      <c r="BI209">
        <v>12</v>
      </c>
      <c r="BJ209" t="s">
        <v>2463</v>
      </c>
      <c r="BK209" t="s">
        <v>101</v>
      </c>
      <c r="BL209" t="s">
        <v>2463</v>
      </c>
      <c r="BM209" t="s">
        <v>4438</v>
      </c>
      <c r="BN209" t="s">
        <v>74</v>
      </c>
      <c r="BO209" t="s">
        <v>4439</v>
      </c>
      <c r="BP209" t="s">
        <v>74</v>
      </c>
      <c r="BQ209" t="s">
        <v>74</v>
      </c>
      <c r="BR209" t="s">
        <v>105</v>
      </c>
      <c r="BS209" t="s">
        <v>4440</v>
      </c>
      <c r="BT209" t="str">
        <f>HYPERLINK("https%3A%2F%2Fwww.webofscience.com%2Fwos%2Fwoscc%2Ffull-record%2FWOS:000411366400002","View Full Record in Web of Science")</f>
        <v>View Full Record in Web of Science</v>
      </c>
    </row>
    <row r="210" spans="1:72" x14ac:dyDescent="0.15">
      <c r="A210" t="s">
        <v>72</v>
      </c>
      <c r="B210" t="s">
        <v>4441</v>
      </c>
      <c r="C210" t="s">
        <v>74</v>
      </c>
      <c r="D210" t="s">
        <v>74</v>
      </c>
      <c r="E210" t="s">
        <v>74</v>
      </c>
      <c r="F210" t="s">
        <v>4442</v>
      </c>
      <c r="G210" t="s">
        <v>74</v>
      </c>
      <c r="H210" t="s">
        <v>74</v>
      </c>
      <c r="I210" t="s">
        <v>4443</v>
      </c>
      <c r="J210" t="s">
        <v>4444</v>
      </c>
      <c r="K210" t="s">
        <v>74</v>
      </c>
      <c r="L210" t="s">
        <v>74</v>
      </c>
      <c r="M210" t="s">
        <v>78</v>
      </c>
      <c r="N210" t="s">
        <v>79</v>
      </c>
      <c r="O210" t="s">
        <v>74</v>
      </c>
      <c r="P210" t="s">
        <v>74</v>
      </c>
      <c r="Q210" t="s">
        <v>74</v>
      </c>
      <c r="R210" t="s">
        <v>74</v>
      </c>
      <c r="S210" t="s">
        <v>74</v>
      </c>
      <c r="T210" t="s">
        <v>4445</v>
      </c>
      <c r="U210" t="s">
        <v>4446</v>
      </c>
      <c r="V210" t="s">
        <v>4447</v>
      </c>
      <c r="W210" t="s">
        <v>4448</v>
      </c>
      <c r="X210" t="s">
        <v>4449</v>
      </c>
      <c r="Y210" t="s">
        <v>4450</v>
      </c>
      <c r="Z210" t="s">
        <v>4451</v>
      </c>
      <c r="AA210" t="s">
        <v>4452</v>
      </c>
      <c r="AB210" t="s">
        <v>4453</v>
      </c>
      <c r="AC210" t="s">
        <v>4454</v>
      </c>
      <c r="AD210" t="s">
        <v>4455</v>
      </c>
      <c r="AE210" t="s">
        <v>4456</v>
      </c>
      <c r="AF210" t="s">
        <v>74</v>
      </c>
      <c r="AG210">
        <v>73</v>
      </c>
      <c r="AH210">
        <v>9</v>
      </c>
      <c r="AI210">
        <v>9</v>
      </c>
      <c r="AJ210">
        <v>0</v>
      </c>
      <c r="AK210">
        <v>25</v>
      </c>
      <c r="AL210" t="s">
        <v>4457</v>
      </c>
      <c r="AM210" t="s">
        <v>182</v>
      </c>
      <c r="AN210" t="s">
        <v>4458</v>
      </c>
      <c r="AO210" t="s">
        <v>4459</v>
      </c>
      <c r="AP210" t="s">
        <v>74</v>
      </c>
      <c r="AQ210" t="s">
        <v>74</v>
      </c>
      <c r="AR210" t="s">
        <v>4460</v>
      </c>
      <c r="AS210" t="s">
        <v>4461</v>
      </c>
      <c r="AT210" t="s">
        <v>4462</v>
      </c>
      <c r="AU210">
        <v>2017</v>
      </c>
      <c r="AV210">
        <v>18</v>
      </c>
      <c r="AW210" t="s">
        <v>74</v>
      </c>
      <c r="AX210" t="s">
        <v>74</v>
      </c>
      <c r="AY210" t="s">
        <v>74</v>
      </c>
      <c r="AZ210" t="s">
        <v>74</v>
      </c>
      <c r="BA210" t="s">
        <v>74</v>
      </c>
      <c r="BB210" t="s">
        <v>74</v>
      </c>
      <c r="BC210" t="s">
        <v>74</v>
      </c>
      <c r="BD210">
        <v>5</v>
      </c>
      <c r="BE210" t="s">
        <v>4463</v>
      </c>
      <c r="BF210" t="str">
        <f>HYPERLINK("http://dx.doi.org/10.1186/s12932-017-0043-2","http://dx.doi.org/10.1186/s12932-017-0043-2")</f>
        <v>http://dx.doi.org/10.1186/s12932-017-0043-2</v>
      </c>
      <c r="BG210" t="s">
        <v>74</v>
      </c>
      <c r="BH210" t="s">
        <v>74</v>
      </c>
      <c r="BI210">
        <v>15</v>
      </c>
      <c r="BJ210" t="s">
        <v>509</v>
      </c>
      <c r="BK210" t="s">
        <v>101</v>
      </c>
      <c r="BL210" t="s">
        <v>509</v>
      </c>
      <c r="BM210" t="s">
        <v>4464</v>
      </c>
      <c r="BN210">
        <v>29086802</v>
      </c>
      <c r="BO210" t="s">
        <v>658</v>
      </c>
      <c r="BP210" t="s">
        <v>74</v>
      </c>
      <c r="BQ210" t="s">
        <v>74</v>
      </c>
      <c r="BR210" t="s">
        <v>105</v>
      </c>
      <c r="BS210" t="s">
        <v>4465</v>
      </c>
      <c r="BT210" t="str">
        <f>HYPERLINK("https%3A%2F%2Fwww.webofscience.com%2Fwos%2Fwoscc%2Ffull-record%2FWOS:000411396100001","View Full Record in Web of Science")</f>
        <v>View Full Record in Web of Science</v>
      </c>
    </row>
    <row r="211" spans="1:72" x14ac:dyDescent="0.15">
      <c r="A211" t="s">
        <v>72</v>
      </c>
      <c r="B211" t="s">
        <v>4466</v>
      </c>
      <c r="C211" t="s">
        <v>74</v>
      </c>
      <c r="D211" t="s">
        <v>74</v>
      </c>
      <c r="E211" t="s">
        <v>74</v>
      </c>
      <c r="F211" t="s">
        <v>4467</v>
      </c>
      <c r="G211" t="s">
        <v>74</v>
      </c>
      <c r="H211" t="s">
        <v>74</v>
      </c>
      <c r="I211" t="s">
        <v>4468</v>
      </c>
      <c r="J211" t="s">
        <v>299</v>
      </c>
      <c r="K211" t="s">
        <v>74</v>
      </c>
      <c r="L211" t="s">
        <v>74</v>
      </c>
      <c r="M211" t="s">
        <v>78</v>
      </c>
      <c r="N211" t="s">
        <v>79</v>
      </c>
      <c r="O211" t="s">
        <v>74</v>
      </c>
      <c r="P211" t="s">
        <v>74</v>
      </c>
      <c r="Q211" t="s">
        <v>74</v>
      </c>
      <c r="R211" t="s">
        <v>74</v>
      </c>
      <c r="S211" t="s">
        <v>74</v>
      </c>
      <c r="T211" t="s">
        <v>74</v>
      </c>
      <c r="U211" t="s">
        <v>4469</v>
      </c>
      <c r="V211" t="s">
        <v>4470</v>
      </c>
      <c r="W211" t="s">
        <v>4471</v>
      </c>
      <c r="X211" t="s">
        <v>4472</v>
      </c>
      <c r="Y211" t="s">
        <v>4473</v>
      </c>
      <c r="Z211" t="s">
        <v>4474</v>
      </c>
      <c r="AA211" t="s">
        <v>4475</v>
      </c>
      <c r="AB211" t="s">
        <v>4476</v>
      </c>
      <c r="AC211" t="s">
        <v>4477</v>
      </c>
      <c r="AD211" t="s">
        <v>4478</v>
      </c>
      <c r="AE211" t="s">
        <v>4479</v>
      </c>
      <c r="AF211" t="s">
        <v>74</v>
      </c>
      <c r="AG211">
        <v>49</v>
      </c>
      <c r="AH211">
        <v>16</v>
      </c>
      <c r="AI211">
        <v>17</v>
      </c>
      <c r="AJ211">
        <v>1</v>
      </c>
      <c r="AK211">
        <v>8</v>
      </c>
      <c r="AL211" t="s">
        <v>311</v>
      </c>
      <c r="AM211" t="s">
        <v>312</v>
      </c>
      <c r="AN211" t="s">
        <v>313</v>
      </c>
      <c r="AO211" t="s">
        <v>314</v>
      </c>
      <c r="AP211" t="s">
        <v>315</v>
      </c>
      <c r="AQ211" t="s">
        <v>74</v>
      </c>
      <c r="AR211" t="s">
        <v>299</v>
      </c>
      <c r="AS211" t="s">
        <v>316</v>
      </c>
      <c r="AT211" t="s">
        <v>4462</v>
      </c>
      <c r="AU211">
        <v>2017</v>
      </c>
      <c r="AV211">
        <v>11</v>
      </c>
      <c r="AW211">
        <v>5</v>
      </c>
      <c r="AX211" t="s">
        <v>74</v>
      </c>
      <c r="AY211" t="s">
        <v>74</v>
      </c>
      <c r="AZ211" t="s">
        <v>74</v>
      </c>
      <c r="BA211" t="s">
        <v>74</v>
      </c>
      <c r="BB211">
        <v>2231</v>
      </c>
      <c r="BC211">
        <v>2246</v>
      </c>
      <c r="BD211" t="s">
        <v>74</v>
      </c>
      <c r="BE211" t="s">
        <v>4480</v>
      </c>
      <c r="BF211" t="str">
        <f>HYPERLINK("http://dx.doi.org/10.5194/tc-11-2231-2017","http://dx.doi.org/10.5194/tc-11-2231-2017")</f>
        <v>http://dx.doi.org/10.5194/tc-11-2231-2017</v>
      </c>
      <c r="BG211" t="s">
        <v>74</v>
      </c>
      <c r="BH211" t="s">
        <v>74</v>
      </c>
      <c r="BI211">
        <v>16</v>
      </c>
      <c r="BJ211" t="s">
        <v>319</v>
      </c>
      <c r="BK211" t="s">
        <v>101</v>
      </c>
      <c r="BL211" t="s">
        <v>320</v>
      </c>
      <c r="BM211" t="s">
        <v>4481</v>
      </c>
      <c r="BN211" t="s">
        <v>74</v>
      </c>
      <c r="BO211" t="s">
        <v>322</v>
      </c>
      <c r="BP211" t="s">
        <v>74</v>
      </c>
      <c r="BQ211" t="s">
        <v>74</v>
      </c>
      <c r="BR211" t="s">
        <v>105</v>
      </c>
      <c r="BS211" t="s">
        <v>4482</v>
      </c>
      <c r="BT211" t="str">
        <f>HYPERLINK("https%3A%2F%2Fwww.webofscience.com%2Fwos%2Fwoscc%2Ffull-record%2FWOS:000411259100001","View Full Record in Web of Science")</f>
        <v>View Full Record in Web of Science</v>
      </c>
    </row>
    <row r="212" spans="1:72" x14ac:dyDescent="0.15">
      <c r="A212" t="s">
        <v>72</v>
      </c>
      <c r="B212" t="s">
        <v>4483</v>
      </c>
      <c r="C212" t="s">
        <v>74</v>
      </c>
      <c r="D212" t="s">
        <v>74</v>
      </c>
      <c r="E212" t="s">
        <v>74</v>
      </c>
      <c r="F212" t="s">
        <v>4484</v>
      </c>
      <c r="G212" t="s">
        <v>74</v>
      </c>
      <c r="H212" t="s">
        <v>74</v>
      </c>
      <c r="I212" t="s">
        <v>4485</v>
      </c>
      <c r="J212" t="s">
        <v>817</v>
      </c>
      <c r="K212" t="s">
        <v>74</v>
      </c>
      <c r="L212" t="s">
        <v>74</v>
      </c>
      <c r="M212" t="s">
        <v>78</v>
      </c>
      <c r="N212" t="s">
        <v>79</v>
      </c>
      <c r="O212" t="s">
        <v>74</v>
      </c>
      <c r="P212" t="s">
        <v>74</v>
      </c>
      <c r="Q212" t="s">
        <v>74</v>
      </c>
      <c r="R212" t="s">
        <v>74</v>
      </c>
      <c r="S212" t="s">
        <v>74</v>
      </c>
      <c r="T212" t="s">
        <v>74</v>
      </c>
      <c r="U212" t="s">
        <v>4486</v>
      </c>
      <c r="V212" t="s">
        <v>4487</v>
      </c>
      <c r="W212" t="s">
        <v>4488</v>
      </c>
      <c r="X212" t="s">
        <v>4489</v>
      </c>
      <c r="Y212" t="s">
        <v>4490</v>
      </c>
      <c r="Z212" t="s">
        <v>4491</v>
      </c>
      <c r="AA212" t="s">
        <v>4492</v>
      </c>
      <c r="AB212" t="s">
        <v>4493</v>
      </c>
      <c r="AC212" t="s">
        <v>4494</v>
      </c>
      <c r="AD212" t="s">
        <v>4495</v>
      </c>
      <c r="AE212" t="s">
        <v>4496</v>
      </c>
      <c r="AF212" t="s">
        <v>74</v>
      </c>
      <c r="AG212">
        <v>123</v>
      </c>
      <c r="AH212">
        <v>81</v>
      </c>
      <c r="AI212">
        <v>87</v>
      </c>
      <c r="AJ212">
        <v>1</v>
      </c>
      <c r="AK212">
        <v>109</v>
      </c>
      <c r="AL212" t="s">
        <v>311</v>
      </c>
      <c r="AM212" t="s">
        <v>312</v>
      </c>
      <c r="AN212" t="s">
        <v>313</v>
      </c>
      <c r="AO212" t="s">
        <v>829</v>
      </c>
      <c r="AP212" t="s">
        <v>830</v>
      </c>
      <c r="AQ212" t="s">
        <v>74</v>
      </c>
      <c r="AR212" t="s">
        <v>831</v>
      </c>
      <c r="AS212" t="s">
        <v>832</v>
      </c>
      <c r="AT212" t="s">
        <v>4462</v>
      </c>
      <c r="AU212">
        <v>2017</v>
      </c>
      <c r="AV212">
        <v>17</v>
      </c>
      <c r="AW212">
        <v>18</v>
      </c>
      <c r="AX212" t="s">
        <v>74</v>
      </c>
      <c r="AY212" t="s">
        <v>74</v>
      </c>
      <c r="AZ212" t="s">
        <v>74</v>
      </c>
      <c r="BA212" t="s">
        <v>74</v>
      </c>
      <c r="BB212">
        <v>11135</v>
      </c>
      <c r="BC212">
        <v>11161</v>
      </c>
      <c r="BD212" t="s">
        <v>74</v>
      </c>
      <c r="BE212" t="s">
        <v>4497</v>
      </c>
      <c r="BF212" t="str">
        <f>HYPERLINK("http://dx.doi.org/10.5194/acp-17-11135-2017","http://dx.doi.org/10.5194/acp-17-11135-2017")</f>
        <v>http://dx.doi.org/10.5194/acp-17-11135-2017</v>
      </c>
      <c r="BG212" t="s">
        <v>74</v>
      </c>
      <c r="BH212" t="s">
        <v>74</v>
      </c>
      <c r="BI212">
        <v>27</v>
      </c>
      <c r="BJ212" t="s">
        <v>834</v>
      </c>
      <c r="BK212" t="s">
        <v>101</v>
      </c>
      <c r="BL212" t="s">
        <v>835</v>
      </c>
      <c r="BM212" t="s">
        <v>4498</v>
      </c>
      <c r="BN212" t="s">
        <v>74</v>
      </c>
      <c r="BO212" t="s">
        <v>4499</v>
      </c>
      <c r="BP212" t="s">
        <v>74</v>
      </c>
      <c r="BQ212" t="s">
        <v>74</v>
      </c>
      <c r="BR212" t="s">
        <v>105</v>
      </c>
      <c r="BS212" t="s">
        <v>4500</v>
      </c>
      <c r="BT212" t="str">
        <f>HYPERLINK("https%3A%2F%2Fwww.webofscience.com%2Fwos%2Fwoscc%2Ffull-record%2FWOS:000411253700003","View Full Record in Web of Science")</f>
        <v>View Full Record in Web of Science</v>
      </c>
    </row>
    <row r="213" spans="1:72" x14ac:dyDescent="0.15">
      <c r="A213" t="s">
        <v>72</v>
      </c>
      <c r="B213" t="s">
        <v>4501</v>
      </c>
      <c r="C213" t="s">
        <v>74</v>
      </c>
      <c r="D213" t="s">
        <v>74</v>
      </c>
      <c r="E213" t="s">
        <v>74</v>
      </c>
      <c r="F213" t="s">
        <v>4502</v>
      </c>
      <c r="G213" t="s">
        <v>74</v>
      </c>
      <c r="H213" t="s">
        <v>74</v>
      </c>
      <c r="I213" t="s">
        <v>4503</v>
      </c>
      <c r="J213" t="s">
        <v>4504</v>
      </c>
      <c r="K213" t="s">
        <v>74</v>
      </c>
      <c r="L213" t="s">
        <v>74</v>
      </c>
      <c r="M213" t="s">
        <v>78</v>
      </c>
      <c r="N213" t="s">
        <v>79</v>
      </c>
      <c r="O213" t="s">
        <v>74</v>
      </c>
      <c r="P213" t="s">
        <v>74</v>
      </c>
      <c r="Q213" t="s">
        <v>74</v>
      </c>
      <c r="R213" t="s">
        <v>74</v>
      </c>
      <c r="S213" t="s">
        <v>74</v>
      </c>
      <c r="T213" t="s">
        <v>4505</v>
      </c>
      <c r="U213" t="s">
        <v>4506</v>
      </c>
      <c r="V213" t="s">
        <v>4507</v>
      </c>
      <c r="W213" t="s">
        <v>4508</v>
      </c>
      <c r="X213" t="s">
        <v>4509</v>
      </c>
      <c r="Y213" t="s">
        <v>4510</v>
      </c>
      <c r="Z213" t="s">
        <v>4511</v>
      </c>
      <c r="AA213" t="s">
        <v>4512</v>
      </c>
      <c r="AB213" t="s">
        <v>4513</v>
      </c>
      <c r="AC213" t="s">
        <v>4514</v>
      </c>
      <c r="AD213" t="s">
        <v>4514</v>
      </c>
      <c r="AE213" t="s">
        <v>4515</v>
      </c>
      <c r="AF213" t="s">
        <v>74</v>
      </c>
      <c r="AG213">
        <v>56</v>
      </c>
      <c r="AH213">
        <v>20</v>
      </c>
      <c r="AI213">
        <v>23</v>
      </c>
      <c r="AJ213">
        <v>3</v>
      </c>
      <c r="AK213">
        <v>33</v>
      </c>
      <c r="AL213" t="s">
        <v>371</v>
      </c>
      <c r="AM213" t="s">
        <v>372</v>
      </c>
      <c r="AN213" t="s">
        <v>373</v>
      </c>
      <c r="AO213" t="s">
        <v>4516</v>
      </c>
      <c r="AP213" t="s">
        <v>4517</v>
      </c>
      <c r="AQ213" t="s">
        <v>74</v>
      </c>
      <c r="AR213" t="s">
        <v>4518</v>
      </c>
      <c r="AS213" t="s">
        <v>4519</v>
      </c>
      <c r="AT213" t="s">
        <v>4462</v>
      </c>
      <c r="AU213">
        <v>2017</v>
      </c>
      <c r="AV213">
        <v>467</v>
      </c>
      <c r="AW213" t="s">
        <v>74</v>
      </c>
      <c r="AX213" t="s">
        <v>74</v>
      </c>
      <c r="AY213" t="s">
        <v>74</v>
      </c>
      <c r="AZ213" t="s">
        <v>74</v>
      </c>
      <c r="BA213" t="s">
        <v>74</v>
      </c>
      <c r="BB213">
        <v>134</v>
      </c>
      <c r="BC213">
        <v>142</v>
      </c>
      <c r="BD213" t="s">
        <v>74</v>
      </c>
      <c r="BE213" t="s">
        <v>4520</v>
      </c>
      <c r="BF213" t="str">
        <f>HYPERLINK("http://dx.doi.org/10.1016/j.chemgeo.2017.08.002","http://dx.doi.org/10.1016/j.chemgeo.2017.08.002")</f>
        <v>http://dx.doi.org/10.1016/j.chemgeo.2017.08.002</v>
      </c>
      <c r="BG213" t="s">
        <v>74</v>
      </c>
      <c r="BH213" t="s">
        <v>74</v>
      </c>
      <c r="BI213">
        <v>9</v>
      </c>
      <c r="BJ213" t="s">
        <v>509</v>
      </c>
      <c r="BK213" t="s">
        <v>101</v>
      </c>
      <c r="BL213" t="s">
        <v>509</v>
      </c>
      <c r="BM213" t="s">
        <v>4521</v>
      </c>
      <c r="BN213" t="s">
        <v>74</v>
      </c>
      <c r="BO213" t="s">
        <v>74</v>
      </c>
      <c r="BP213" t="s">
        <v>74</v>
      </c>
      <c r="BQ213" t="s">
        <v>74</v>
      </c>
      <c r="BR213" t="s">
        <v>105</v>
      </c>
      <c r="BS213" t="s">
        <v>4522</v>
      </c>
      <c r="BT213" t="str">
        <f>HYPERLINK("https%3A%2F%2Fwww.webofscience.com%2Fwos%2Fwoscc%2Ffull-record%2FWOS:000408048800012","View Full Record in Web of Science")</f>
        <v>View Full Record in Web of Science</v>
      </c>
    </row>
    <row r="214" spans="1:72" x14ac:dyDescent="0.15">
      <c r="A214" t="s">
        <v>72</v>
      </c>
      <c r="B214" t="s">
        <v>4523</v>
      </c>
      <c r="C214" t="s">
        <v>74</v>
      </c>
      <c r="D214" t="s">
        <v>74</v>
      </c>
      <c r="E214" t="s">
        <v>74</v>
      </c>
      <c r="F214" t="s">
        <v>4524</v>
      </c>
      <c r="G214" t="s">
        <v>74</v>
      </c>
      <c r="H214" t="s">
        <v>74</v>
      </c>
      <c r="I214" t="s">
        <v>4525</v>
      </c>
      <c r="J214" t="s">
        <v>464</v>
      </c>
      <c r="K214" t="s">
        <v>74</v>
      </c>
      <c r="L214" t="s">
        <v>74</v>
      </c>
      <c r="M214" t="s">
        <v>78</v>
      </c>
      <c r="N214" t="s">
        <v>79</v>
      </c>
      <c r="O214" t="s">
        <v>74</v>
      </c>
      <c r="P214" t="s">
        <v>74</v>
      </c>
      <c r="Q214" t="s">
        <v>74</v>
      </c>
      <c r="R214" t="s">
        <v>74</v>
      </c>
      <c r="S214" t="s">
        <v>74</v>
      </c>
      <c r="T214" t="s">
        <v>4526</v>
      </c>
      <c r="U214" t="s">
        <v>4527</v>
      </c>
      <c r="V214" t="s">
        <v>4528</v>
      </c>
      <c r="W214" t="s">
        <v>4529</v>
      </c>
      <c r="X214" t="s">
        <v>4530</v>
      </c>
      <c r="Y214" t="s">
        <v>4531</v>
      </c>
      <c r="Z214" t="s">
        <v>4532</v>
      </c>
      <c r="AA214" t="s">
        <v>74</v>
      </c>
      <c r="AB214" t="s">
        <v>4533</v>
      </c>
      <c r="AC214" t="s">
        <v>4534</v>
      </c>
      <c r="AD214" t="s">
        <v>4535</v>
      </c>
      <c r="AE214" t="s">
        <v>4536</v>
      </c>
      <c r="AF214" t="s">
        <v>74</v>
      </c>
      <c r="AG214">
        <v>51</v>
      </c>
      <c r="AH214">
        <v>15</v>
      </c>
      <c r="AI214">
        <v>15</v>
      </c>
      <c r="AJ214">
        <v>0</v>
      </c>
      <c r="AK214">
        <v>12</v>
      </c>
      <c r="AL214" t="s">
        <v>477</v>
      </c>
      <c r="AM214" t="s">
        <v>92</v>
      </c>
      <c r="AN214" t="s">
        <v>478</v>
      </c>
      <c r="AO214" t="s">
        <v>479</v>
      </c>
      <c r="AP214" t="s">
        <v>74</v>
      </c>
      <c r="AQ214" t="s">
        <v>74</v>
      </c>
      <c r="AR214" t="s">
        <v>480</v>
      </c>
      <c r="AS214" t="s">
        <v>481</v>
      </c>
      <c r="AT214" t="s">
        <v>4537</v>
      </c>
      <c r="AU214">
        <v>2017</v>
      </c>
      <c r="AV214">
        <v>114</v>
      </c>
      <c r="AW214">
        <v>38</v>
      </c>
      <c r="AX214" t="s">
        <v>74</v>
      </c>
      <c r="AY214" t="s">
        <v>74</v>
      </c>
      <c r="AZ214" t="s">
        <v>74</v>
      </c>
      <c r="BA214" t="s">
        <v>74</v>
      </c>
      <c r="BB214">
        <v>10232</v>
      </c>
      <c r="BC214">
        <v>10237</v>
      </c>
      <c r="BD214" t="s">
        <v>74</v>
      </c>
      <c r="BE214" t="s">
        <v>4538</v>
      </c>
      <c r="BF214" t="str">
        <f>HYPERLINK("http://dx.doi.org/10.1073/pnas.1705437114","http://dx.doi.org/10.1073/pnas.1705437114")</f>
        <v>http://dx.doi.org/10.1073/pnas.1705437114</v>
      </c>
      <c r="BG214" t="s">
        <v>74</v>
      </c>
      <c r="BH214" t="s">
        <v>74</v>
      </c>
      <c r="BI214">
        <v>6</v>
      </c>
      <c r="BJ214" t="s">
        <v>190</v>
      </c>
      <c r="BK214" t="s">
        <v>101</v>
      </c>
      <c r="BL214" t="s">
        <v>191</v>
      </c>
      <c r="BM214" t="s">
        <v>4539</v>
      </c>
      <c r="BN214">
        <v>28874555</v>
      </c>
      <c r="BO214" t="s">
        <v>1170</v>
      </c>
      <c r="BP214" t="s">
        <v>74</v>
      </c>
      <c r="BQ214" t="s">
        <v>74</v>
      </c>
      <c r="BR214" t="s">
        <v>105</v>
      </c>
      <c r="BS214" t="s">
        <v>4540</v>
      </c>
      <c r="BT214" t="str">
        <f>HYPERLINK("https%3A%2F%2Fwww.webofscience.com%2Fwos%2Fwoscc%2Ffull-record%2FWOS:000411157100077","View Full Record in Web of Science")</f>
        <v>View Full Record in Web of Science</v>
      </c>
    </row>
    <row r="215" spans="1:72" x14ac:dyDescent="0.15">
      <c r="A215" t="s">
        <v>72</v>
      </c>
      <c r="B215" t="s">
        <v>4541</v>
      </c>
      <c r="C215" t="s">
        <v>74</v>
      </c>
      <c r="D215" t="s">
        <v>74</v>
      </c>
      <c r="E215" t="s">
        <v>74</v>
      </c>
      <c r="F215" t="s">
        <v>4542</v>
      </c>
      <c r="G215" t="s">
        <v>74</v>
      </c>
      <c r="H215" t="s">
        <v>74</v>
      </c>
      <c r="I215" t="s">
        <v>4543</v>
      </c>
      <c r="J215" t="s">
        <v>4544</v>
      </c>
      <c r="K215" t="s">
        <v>74</v>
      </c>
      <c r="L215" t="s">
        <v>74</v>
      </c>
      <c r="M215" t="s">
        <v>78</v>
      </c>
      <c r="N215" t="s">
        <v>79</v>
      </c>
      <c r="O215" t="s">
        <v>74</v>
      </c>
      <c r="P215" t="s">
        <v>74</v>
      </c>
      <c r="Q215" t="s">
        <v>74</v>
      </c>
      <c r="R215" t="s">
        <v>74</v>
      </c>
      <c r="S215" t="s">
        <v>74</v>
      </c>
      <c r="T215" t="s">
        <v>4545</v>
      </c>
      <c r="U215" t="s">
        <v>4546</v>
      </c>
      <c r="V215" t="s">
        <v>4547</v>
      </c>
      <c r="W215" t="s">
        <v>4548</v>
      </c>
      <c r="X215" t="s">
        <v>4549</v>
      </c>
      <c r="Y215" t="s">
        <v>4550</v>
      </c>
      <c r="Z215" t="s">
        <v>4551</v>
      </c>
      <c r="AA215" t="s">
        <v>4552</v>
      </c>
      <c r="AB215" t="s">
        <v>4553</v>
      </c>
      <c r="AC215" t="s">
        <v>4554</v>
      </c>
      <c r="AD215" t="s">
        <v>4555</v>
      </c>
      <c r="AE215" t="s">
        <v>4556</v>
      </c>
      <c r="AF215" t="s">
        <v>74</v>
      </c>
      <c r="AG215">
        <v>78</v>
      </c>
      <c r="AH215">
        <v>24</v>
      </c>
      <c r="AI215">
        <v>25</v>
      </c>
      <c r="AJ215">
        <v>1</v>
      </c>
      <c r="AK215">
        <v>18</v>
      </c>
      <c r="AL215" t="s">
        <v>450</v>
      </c>
      <c r="AM215" t="s">
        <v>451</v>
      </c>
      <c r="AN215" t="s">
        <v>452</v>
      </c>
      <c r="AO215" t="s">
        <v>4557</v>
      </c>
      <c r="AP215" t="s">
        <v>74</v>
      </c>
      <c r="AQ215" t="s">
        <v>74</v>
      </c>
      <c r="AR215" t="s">
        <v>4558</v>
      </c>
      <c r="AS215" t="s">
        <v>4559</v>
      </c>
      <c r="AT215" t="s">
        <v>4537</v>
      </c>
      <c r="AU215">
        <v>2017</v>
      </c>
      <c r="AV215">
        <v>8</v>
      </c>
      <c r="AW215" t="s">
        <v>74</v>
      </c>
      <c r="AX215" t="s">
        <v>74</v>
      </c>
      <c r="AY215" t="s">
        <v>74</v>
      </c>
      <c r="AZ215" t="s">
        <v>74</v>
      </c>
      <c r="BA215" t="s">
        <v>74</v>
      </c>
      <c r="BB215" t="s">
        <v>74</v>
      </c>
      <c r="BC215" t="s">
        <v>74</v>
      </c>
      <c r="BD215">
        <v>1153</v>
      </c>
      <c r="BE215" t="s">
        <v>4560</v>
      </c>
      <c r="BF215" t="str">
        <f>HYPERLINK("http://dx.doi.org/10.3389/fimmu.2017.01153","http://dx.doi.org/10.3389/fimmu.2017.01153")</f>
        <v>http://dx.doi.org/10.3389/fimmu.2017.01153</v>
      </c>
      <c r="BG215" t="s">
        <v>74</v>
      </c>
      <c r="BH215" t="s">
        <v>74</v>
      </c>
      <c r="BI215">
        <v>12</v>
      </c>
      <c r="BJ215" t="s">
        <v>4561</v>
      </c>
      <c r="BK215" t="s">
        <v>101</v>
      </c>
      <c r="BL215" t="s">
        <v>4561</v>
      </c>
      <c r="BM215" t="s">
        <v>4562</v>
      </c>
      <c r="BN215">
        <v>28974951</v>
      </c>
      <c r="BO215" t="s">
        <v>658</v>
      </c>
      <c r="BP215" t="s">
        <v>74</v>
      </c>
      <c r="BQ215" t="s">
        <v>74</v>
      </c>
      <c r="BR215" t="s">
        <v>105</v>
      </c>
      <c r="BS215" t="s">
        <v>4563</v>
      </c>
      <c r="BT215" t="str">
        <f>HYPERLINK("https%3A%2F%2Fwww.webofscience.com%2Fwos%2Fwoscc%2Ffull-record%2FWOS:000411062100001","View Full Record in Web of Science")</f>
        <v>View Full Record in Web of Science</v>
      </c>
    </row>
    <row r="216" spans="1:72" x14ac:dyDescent="0.15">
      <c r="A216" t="s">
        <v>72</v>
      </c>
      <c r="B216" t="s">
        <v>4564</v>
      </c>
      <c r="C216" t="s">
        <v>74</v>
      </c>
      <c r="D216" t="s">
        <v>74</v>
      </c>
      <c r="E216" t="s">
        <v>74</v>
      </c>
      <c r="F216" t="s">
        <v>4565</v>
      </c>
      <c r="G216" t="s">
        <v>74</v>
      </c>
      <c r="H216" t="s">
        <v>74</v>
      </c>
      <c r="I216" t="s">
        <v>4566</v>
      </c>
      <c r="J216" t="s">
        <v>464</v>
      </c>
      <c r="K216" t="s">
        <v>74</v>
      </c>
      <c r="L216" t="s">
        <v>74</v>
      </c>
      <c r="M216" t="s">
        <v>78</v>
      </c>
      <c r="N216" t="s">
        <v>79</v>
      </c>
      <c r="O216" t="s">
        <v>74</v>
      </c>
      <c r="P216" t="s">
        <v>74</v>
      </c>
      <c r="Q216" t="s">
        <v>74</v>
      </c>
      <c r="R216" t="s">
        <v>74</v>
      </c>
      <c r="S216" t="s">
        <v>74</v>
      </c>
      <c r="T216" t="s">
        <v>4567</v>
      </c>
      <c r="U216" t="s">
        <v>4568</v>
      </c>
      <c r="V216" t="s">
        <v>4569</v>
      </c>
      <c r="W216" t="s">
        <v>4570</v>
      </c>
      <c r="X216" t="s">
        <v>4571</v>
      </c>
      <c r="Y216" t="s">
        <v>4572</v>
      </c>
      <c r="Z216" t="s">
        <v>4573</v>
      </c>
      <c r="AA216" t="s">
        <v>4574</v>
      </c>
      <c r="AB216" t="s">
        <v>4575</v>
      </c>
      <c r="AC216" t="s">
        <v>4576</v>
      </c>
      <c r="AD216" t="s">
        <v>4577</v>
      </c>
      <c r="AE216" t="s">
        <v>4578</v>
      </c>
      <c r="AF216" t="s">
        <v>74</v>
      </c>
      <c r="AG216">
        <v>60</v>
      </c>
      <c r="AH216">
        <v>55</v>
      </c>
      <c r="AI216">
        <v>58</v>
      </c>
      <c r="AJ216">
        <v>1</v>
      </c>
      <c r="AK216">
        <v>78</v>
      </c>
      <c r="AL216" t="s">
        <v>477</v>
      </c>
      <c r="AM216" t="s">
        <v>92</v>
      </c>
      <c r="AN216" t="s">
        <v>478</v>
      </c>
      <c r="AO216" t="s">
        <v>479</v>
      </c>
      <c r="AP216" t="s">
        <v>74</v>
      </c>
      <c r="AQ216" t="s">
        <v>74</v>
      </c>
      <c r="AR216" t="s">
        <v>480</v>
      </c>
      <c r="AS216" t="s">
        <v>481</v>
      </c>
      <c r="AT216" t="s">
        <v>4537</v>
      </c>
      <c r="AU216">
        <v>2017</v>
      </c>
      <c r="AV216">
        <v>114</v>
      </c>
      <c r="AW216">
        <v>38</v>
      </c>
      <c r="AX216" t="s">
        <v>74</v>
      </c>
      <c r="AY216" t="s">
        <v>74</v>
      </c>
      <c r="AZ216" t="s">
        <v>74</v>
      </c>
      <c r="BA216" t="s">
        <v>74</v>
      </c>
      <c r="BB216">
        <v>10035</v>
      </c>
      <c r="BC216">
        <v>10040</v>
      </c>
      <c r="BD216" t="s">
        <v>74</v>
      </c>
      <c r="BE216" t="s">
        <v>4579</v>
      </c>
      <c r="BF216" t="str">
        <f>HYPERLINK("http://dx.doi.org/10.1073/pnas.1705595114","http://dx.doi.org/10.1073/pnas.1705595114")</f>
        <v>http://dx.doi.org/10.1073/pnas.1705595114</v>
      </c>
      <c r="BG216" t="s">
        <v>74</v>
      </c>
      <c r="BH216" t="s">
        <v>74</v>
      </c>
      <c r="BI216">
        <v>6</v>
      </c>
      <c r="BJ216" t="s">
        <v>190</v>
      </c>
      <c r="BK216" t="s">
        <v>101</v>
      </c>
      <c r="BL216" t="s">
        <v>191</v>
      </c>
      <c r="BM216" t="s">
        <v>4539</v>
      </c>
      <c r="BN216">
        <v>28874529</v>
      </c>
      <c r="BO216" t="s">
        <v>4580</v>
      </c>
      <c r="BP216" t="s">
        <v>74</v>
      </c>
      <c r="BQ216" t="s">
        <v>74</v>
      </c>
      <c r="BR216" t="s">
        <v>105</v>
      </c>
      <c r="BS216" t="s">
        <v>4581</v>
      </c>
      <c r="BT216" t="str">
        <f>HYPERLINK("https%3A%2F%2Fwww.webofscience.com%2Fwos%2Fwoscc%2Ffull-record%2FWOS:000411157100044","View Full Record in Web of Science")</f>
        <v>View Full Record in Web of Science</v>
      </c>
    </row>
    <row r="217" spans="1:72" x14ac:dyDescent="0.15">
      <c r="A217" t="s">
        <v>72</v>
      </c>
      <c r="B217" t="s">
        <v>4582</v>
      </c>
      <c r="C217" t="s">
        <v>74</v>
      </c>
      <c r="D217" t="s">
        <v>74</v>
      </c>
      <c r="E217" t="s">
        <v>74</v>
      </c>
      <c r="F217" t="s">
        <v>4583</v>
      </c>
      <c r="G217" t="s">
        <v>74</v>
      </c>
      <c r="H217" t="s">
        <v>74</v>
      </c>
      <c r="I217" t="s">
        <v>4584</v>
      </c>
      <c r="J217" t="s">
        <v>4585</v>
      </c>
      <c r="K217" t="s">
        <v>74</v>
      </c>
      <c r="L217" t="s">
        <v>74</v>
      </c>
      <c r="M217" t="s">
        <v>78</v>
      </c>
      <c r="N217" t="s">
        <v>79</v>
      </c>
      <c r="O217" t="s">
        <v>74</v>
      </c>
      <c r="P217" t="s">
        <v>74</v>
      </c>
      <c r="Q217" t="s">
        <v>74</v>
      </c>
      <c r="R217" t="s">
        <v>74</v>
      </c>
      <c r="S217" t="s">
        <v>74</v>
      </c>
      <c r="T217" t="s">
        <v>4586</v>
      </c>
      <c r="U217" t="s">
        <v>4587</v>
      </c>
      <c r="V217" t="s">
        <v>4588</v>
      </c>
      <c r="W217" t="s">
        <v>4589</v>
      </c>
      <c r="X217" t="s">
        <v>4590</v>
      </c>
      <c r="Y217" t="s">
        <v>4591</v>
      </c>
      <c r="Z217" t="s">
        <v>4592</v>
      </c>
      <c r="AA217" t="s">
        <v>74</v>
      </c>
      <c r="AB217" t="s">
        <v>4593</v>
      </c>
      <c r="AC217" t="s">
        <v>4594</v>
      </c>
      <c r="AD217" t="s">
        <v>4595</v>
      </c>
      <c r="AE217" t="s">
        <v>4596</v>
      </c>
      <c r="AF217" t="s">
        <v>74</v>
      </c>
      <c r="AG217">
        <v>53</v>
      </c>
      <c r="AH217">
        <v>15</v>
      </c>
      <c r="AI217">
        <v>15</v>
      </c>
      <c r="AJ217">
        <v>1</v>
      </c>
      <c r="AK217">
        <v>31</v>
      </c>
      <c r="AL217" t="s">
        <v>4597</v>
      </c>
      <c r="AM217" t="s">
        <v>182</v>
      </c>
      <c r="AN217" t="s">
        <v>4598</v>
      </c>
      <c r="AO217" t="s">
        <v>4599</v>
      </c>
      <c r="AP217" t="s">
        <v>74</v>
      </c>
      <c r="AQ217" t="s">
        <v>74</v>
      </c>
      <c r="AR217" t="s">
        <v>4585</v>
      </c>
      <c r="AS217" t="s">
        <v>4600</v>
      </c>
      <c r="AT217" t="s">
        <v>4601</v>
      </c>
      <c r="AU217">
        <v>2017</v>
      </c>
      <c r="AV217">
        <v>5</v>
      </c>
      <c r="AW217" t="s">
        <v>74</v>
      </c>
      <c r="AX217" t="s">
        <v>74</v>
      </c>
      <c r="AY217" t="s">
        <v>74</v>
      </c>
      <c r="AZ217" t="s">
        <v>74</v>
      </c>
      <c r="BA217" t="s">
        <v>74</v>
      </c>
      <c r="BB217" t="s">
        <v>74</v>
      </c>
      <c r="BC217" t="s">
        <v>74</v>
      </c>
      <c r="BD217" t="s">
        <v>4602</v>
      </c>
      <c r="BE217" t="s">
        <v>4603</v>
      </c>
      <c r="BF217" t="str">
        <f>HYPERLINK("http://dx.doi.org/10.7717/peerj.3718","http://dx.doi.org/10.7717/peerj.3718")</f>
        <v>http://dx.doi.org/10.7717/peerj.3718</v>
      </c>
      <c r="BG217" t="s">
        <v>74</v>
      </c>
      <c r="BH217" t="s">
        <v>74</v>
      </c>
      <c r="BI217">
        <v>17</v>
      </c>
      <c r="BJ217" t="s">
        <v>190</v>
      </c>
      <c r="BK217" t="s">
        <v>101</v>
      </c>
      <c r="BL217" t="s">
        <v>191</v>
      </c>
      <c r="BM217" t="s">
        <v>4604</v>
      </c>
      <c r="BN217">
        <v>28948096</v>
      </c>
      <c r="BO217" t="s">
        <v>1094</v>
      </c>
      <c r="BP217" t="s">
        <v>74</v>
      </c>
      <c r="BQ217" t="s">
        <v>74</v>
      </c>
      <c r="BR217" t="s">
        <v>105</v>
      </c>
      <c r="BS217" t="s">
        <v>4605</v>
      </c>
      <c r="BT217" t="str">
        <f>HYPERLINK("https%3A%2F%2Fwww.webofscience.com%2Fwos%2Fwoscc%2Ffull-record%2FWOS:000411281500002","View Full Record in Web of Science")</f>
        <v>View Full Record in Web of Science</v>
      </c>
    </row>
    <row r="218" spans="1:72" x14ac:dyDescent="0.15">
      <c r="A218" t="s">
        <v>72</v>
      </c>
      <c r="B218" t="s">
        <v>4606</v>
      </c>
      <c r="C218" t="s">
        <v>74</v>
      </c>
      <c r="D218" t="s">
        <v>74</v>
      </c>
      <c r="E218" t="s">
        <v>74</v>
      </c>
      <c r="F218" t="s">
        <v>4607</v>
      </c>
      <c r="G218" t="s">
        <v>74</v>
      </c>
      <c r="H218" t="s">
        <v>74</v>
      </c>
      <c r="I218" t="s">
        <v>4608</v>
      </c>
      <c r="J218" t="s">
        <v>299</v>
      </c>
      <c r="K218" t="s">
        <v>74</v>
      </c>
      <c r="L218" t="s">
        <v>74</v>
      </c>
      <c r="M218" t="s">
        <v>78</v>
      </c>
      <c r="N218" t="s">
        <v>79</v>
      </c>
      <c r="O218" t="s">
        <v>74</v>
      </c>
      <c r="P218" t="s">
        <v>74</v>
      </c>
      <c r="Q218" t="s">
        <v>74</v>
      </c>
      <c r="R218" t="s">
        <v>74</v>
      </c>
      <c r="S218" t="s">
        <v>74</v>
      </c>
      <c r="T218" t="s">
        <v>74</v>
      </c>
      <c r="U218" t="s">
        <v>4609</v>
      </c>
      <c r="V218" t="s">
        <v>4610</v>
      </c>
      <c r="W218" t="s">
        <v>4611</v>
      </c>
      <c r="X218" t="s">
        <v>4612</v>
      </c>
      <c r="Y218" t="s">
        <v>4613</v>
      </c>
      <c r="Z218" t="s">
        <v>4614</v>
      </c>
      <c r="AA218" t="s">
        <v>4615</v>
      </c>
      <c r="AB218" t="s">
        <v>4616</v>
      </c>
      <c r="AC218" t="s">
        <v>4617</v>
      </c>
      <c r="AD218" t="s">
        <v>4618</v>
      </c>
      <c r="AE218" t="s">
        <v>4619</v>
      </c>
      <c r="AF218" t="s">
        <v>74</v>
      </c>
      <c r="AG218">
        <v>53</v>
      </c>
      <c r="AH218">
        <v>9</v>
      </c>
      <c r="AI218">
        <v>9</v>
      </c>
      <c r="AJ218">
        <v>0</v>
      </c>
      <c r="AK218">
        <v>11</v>
      </c>
      <c r="AL218" t="s">
        <v>311</v>
      </c>
      <c r="AM218" t="s">
        <v>312</v>
      </c>
      <c r="AN218" t="s">
        <v>313</v>
      </c>
      <c r="AO218" t="s">
        <v>314</v>
      </c>
      <c r="AP218" t="s">
        <v>315</v>
      </c>
      <c r="AQ218" t="s">
        <v>74</v>
      </c>
      <c r="AR218" t="s">
        <v>299</v>
      </c>
      <c r="AS218" t="s">
        <v>316</v>
      </c>
      <c r="AT218" t="s">
        <v>4601</v>
      </c>
      <c r="AU218">
        <v>2017</v>
      </c>
      <c r="AV218">
        <v>11</v>
      </c>
      <c r="AW218">
        <v>5</v>
      </c>
      <c r="AX218" t="s">
        <v>74</v>
      </c>
      <c r="AY218" t="s">
        <v>74</v>
      </c>
      <c r="AZ218" t="s">
        <v>74</v>
      </c>
      <c r="BA218" t="s">
        <v>74</v>
      </c>
      <c r="BB218">
        <v>2213</v>
      </c>
      <c r="BC218">
        <v>2229</v>
      </c>
      <c r="BD218" t="s">
        <v>74</v>
      </c>
      <c r="BE218" t="s">
        <v>4620</v>
      </c>
      <c r="BF218" t="str">
        <f>HYPERLINK("http://dx.doi.org/10.5194/tc-11-2213-2017","http://dx.doi.org/10.5194/tc-11-2213-2017")</f>
        <v>http://dx.doi.org/10.5194/tc-11-2213-2017</v>
      </c>
      <c r="BG218" t="s">
        <v>74</v>
      </c>
      <c r="BH218" t="s">
        <v>74</v>
      </c>
      <c r="BI218">
        <v>17</v>
      </c>
      <c r="BJ218" t="s">
        <v>319</v>
      </c>
      <c r="BK218" t="s">
        <v>101</v>
      </c>
      <c r="BL218" t="s">
        <v>320</v>
      </c>
      <c r="BM218" t="s">
        <v>4621</v>
      </c>
      <c r="BN218" t="s">
        <v>74</v>
      </c>
      <c r="BO218" t="s">
        <v>322</v>
      </c>
      <c r="BP218" t="s">
        <v>74</v>
      </c>
      <c r="BQ218" t="s">
        <v>74</v>
      </c>
      <c r="BR218" t="s">
        <v>105</v>
      </c>
      <c r="BS218" t="s">
        <v>4622</v>
      </c>
      <c r="BT218" t="str">
        <f>HYPERLINK("https%3A%2F%2Fwww.webofscience.com%2Fwos%2Fwoscc%2Ffull-record%2FWOS:000411001000001","View Full Record in Web of Science")</f>
        <v>View Full Record in Web of Science</v>
      </c>
    </row>
    <row r="219" spans="1:72" x14ac:dyDescent="0.15">
      <c r="A219" t="s">
        <v>72</v>
      </c>
      <c r="B219" t="s">
        <v>4623</v>
      </c>
      <c r="C219" t="s">
        <v>74</v>
      </c>
      <c r="D219" t="s">
        <v>74</v>
      </c>
      <c r="E219" t="s">
        <v>74</v>
      </c>
      <c r="F219" t="s">
        <v>4624</v>
      </c>
      <c r="G219" t="s">
        <v>74</v>
      </c>
      <c r="H219" t="s">
        <v>74</v>
      </c>
      <c r="I219" t="s">
        <v>4625</v>
      </c>
      <c r="J219" t="s">
        <v>144</v>
      </c>
      <c r="K219" t="s">
        <v>74</v>
      </c>
      <c r="L219" t="s">
        <v>74</v>
      </c>
      <c r="M219" t="s">
        <v>78</v>
      </c>
      <c r="N219" t="s">
        <v>79</v>
      </c>
      <c r="O219" t="s">
        <v>74</v>
      </c>
      <c r="P219" t="s">
        <v>74</v>
      </c>
      <c r="Q219" t="s">
        <v>74</v>
      </c>
      <c r="R219" t="s">
        <v>74</v>
      </c>
      <c r="S219" t="s">
        <v>74</v>
      </c>
      <c r="T219" t="s">
        <v>74</v>
      </c>
      <c r="U219" t="s">
        <v>4626</v>
      </c>
      <c r="V219" t="s">
        <v>4627</v>
      </c>
      <c r="W219" t="s">
        <v>4628</v>
      </c>
      <c r="X219" t="s">
        <v>3617</v>
      </c>
      <c r="Y219" t="s">
        <v>4629</v>
      </c>
      <c r="Z219" t="s">
        <v>3711</v>
      </c>
      <c r="AA219" t="s">
        <v>74</v>
      </c>
      <c r="AB219" t="s">
        <v>74</v>
      </c>
      <c r="AC219" t="s">
        <v>4630</v>
      </c>
      <c r="AD219" t="s">
        <v>4631</v>
      </c>
      <c r="AE219" t="s">
        <v>74</v>
      </c>
      <c r="AF219" t="s">
        <v>74</v>
      </c>
      <c r="AG219">
        <v>37</v>
      </c>
      <c r="AH219">
        <v>8</v>
      </c>
      <c r="AI219">
        <v>8</v>
      </c>
      <c r="AJ219">
        <v>0</v>
      </c>
      <c r="AK219">
        <v>4</v>
      </c>
      <c r="AL219" t="s">
        <v>91</v>
      </c>
      <c r="AM219" t="s">
        <v>92</v>
      </c>
      <c r="AN219" t="s">
        <v>93</v>
      </c>
      <c r="AO219" t="s">
        <v>156</v>
      </c>
      <c r="AP219" t="s">
        <v>157</v>
      </c>
      <c r="AQ219" t="s">
        <v>74</v>
      </c>
      <c r="AR219" t="s">
        <v>158</v>
      </c>
      <c r="AS219" t="s">
        <v>159</v>
      </c>
      <c r="AT219" t="s">
        <v>4632</v>
      </c>
      <c r="AU219">
        <v>2017</v>
      </c>
      <c r="AV219">
        <v>122</v>
      </c>
      <c r="AW219">
        <v>17</v>
      </c>
      <c r="AX219" t="s">
        <v>74</v>
      </c>
      <c r="AY219" t="s">
        <v>74</v>
      </c>
      <c r="AZ219" t="s">
        <v>74</v>
      </c>
      <c r="BA219" t="s">
        <v>74</v>
      </c>
      <c r="BB219">
        <v>8998</v>
      </c>
      <c r="BC219">
        <v>9010</v>
      </c>
      <c r="BD219" t="s">
        <v>74</v>
      </c>
      <c r="BE219" t="s">
        <v>4633</v>
      </c>
      <c r="BF219" t="str">
        <f>HYPERLINK("http://dx.doi.org/10.1002/2017JD027079","http://dx.doi.org/10.1002/2017JD027079")</f>
        <v>http://dx.doi.org/10.1002/2017JD027079</v>
      </c>
      <c r="BG219" t="s">
        <v>74</v>
      </c>
      <c r="BH219" t="s">
        <v>74</v>
      </c>
      <c r="BI219">
        <v>13</v>
      </c>
      <c r="BJ219" t="s">
        <v>162</v>
      </c>
      <c r="BK219" t="s">
        <v>101</v>
      </c>
      <c r="BL219" t="s">
        <v>162</v>
      </c>
      <c r="BM219" t="s">
        <v>4634</v>
      </c>
      <c r="BN219" t="s">
        <v>74</v>
      </c>
      <c r="BO219" t="s">
        <v>1240</v>
      </c>
      <c r="BP219" t="s">
        <v>74</v>
      </c>
      <c r="BQ219" t="s">
        <v>74</v>
      </c>
      <c r="BR219" t="s">
        <v>105</v>
      </c>
      <c r="BS219" t="s">
        <v>4635</v>
      </c>
      <c r="BT219" t="str">
        <f>HYPERLINK("https%3A%2F%2Fwww.webofscience.com%2Fwos%2Fwoscc%2Ffull-record%2FWOS:000416387300003","View Full Record in Web of Science")</f>
        <v>View Full Record in Web of Science</v>
      </c>
    </row>
    <row r="220" spans="1:72" x14ac:dyDescent="0.15">
      <c r="A220" t="s">
        <v>72</v>
      </c>
      <c r="B220" t="s">
        <v>4636</v>
      </c>
      <c r="C220" t="s">
        <v>74</v>
      </c>
      <c r="D220" t="s">
        <v>74</v>
      </c>
      <c r="E220" t="s">
        <v>74</v>
      </c>
      <c r="F220" t="s">
        <v>4637</v>
      </c>
      <c r="G220" t="s">
        <v>74</v>
      </c>
      <c r="H220" t="s">
        <v>74</v>
      </c>
      <c r="I220" t="s">
        <v>4638</v>
      </c>
      <c r="J220" t="s">
        <v>77</v>
      </c>
      <c r="K220" t="s">
        <v>74</v>
      </c>
      <c r="L220" t="s">
        <v>74</v>
      </c>
      <c r="M220" t="s">
        <v>78</v>
      </c>
      <c r="N220" t="s">
        <v>79</v>
      </c>
      <c r="O220" t="s">
        <v>74</v>
      </c>
      <c r="P220" t="s">
        <v>74</v>
      </c>
      <c r="Q220" t="s">
        <v>74</v>
      </c>
      <c r="R220" t="s">
        <v>74</v>
      </c>
      <c r="S220" t="s">
        <v>74</v>
      </c>
      <c r="T220" t="s">
        <v>74</v>
      </c>
      <c r="U220" t="s">
        <v>4639</v>
      </c>
      <c r="V220" t="s">
        <v>4640</v>
      </c>
      <c r="W220" t="s">
        <v>4641</v>
      </c>
      <c r="X220" t="s">
        <v>4642</v>
      </c>
      <c r="Y220" t="s">
        <v>4643</v>
      </c>
      <c r="Z220" t="s">
        <v>4644</v>
      </c>
      <c r="AA220" t="s">
        <v>4645</v>
      </c>
      <c r="AB220" t="s">
        <v>4646</v>
      </c>
      <c r="AC220" t="s">
        <v>4647</v>
      </c>
      <c r="AD220" t="s">
        <v>4648</v>
      </c>
      <c r="AE220" t="s">
        <v>4649</v>
      </c>
      <c r="AF220" t="s">
        <v>74</v>
      </c>
      <c r="AG220">
        <v>45</v>
      </c>
      <c r="AH220">
        <v>33</v>
      </c>
      <c r="AI220">
        <v>33</v>
      </c>
      <c r="AJ220">
        <v>0</v>
      </c>
      <c r="AK220">
        <v>27</v>
      </c>
      <c r="AL220" t="s">
        <v>91</v>
      </c>
      <c r="AM220" t="s">
        <v>92</v>
      </c>
      <c r="AN220" t="s">
        <v>93</v>
      </c>
      <c r="AO220" t="s">
        <v>94</v>
      </c>
      <c r="AP220" t="s">
        <v>95</v>
      </c>
      <c r="AQ220" t="s">
        <v>74</v>
      </c>
      <c r="AR220" t="s">
        <v>96</v>
      </c>
      <c r="AS220" t="s">
        <v>97</v>
      </c>
      <c r="AT220" t="s">
        <v>4632</v>
      </c>
      <c r="AU220">
        <v>2017</v>
      </c>
      <c r="AV220">
        <v>44</v>
      </c>
      <c r="AW220">
        <v>17</v>
      </c>
      <c r="AX220" t="s">
        <v>74</v>
      </c>
      <c r="AY220" t="s">
        <v>74</v>
      </c>
      <c r="AZ220" t="s">
        <v>74</v>
      </c>
      <c r="BA220" t="s">
        <v>74</v>
      </c>
      <c r="BB220">
        <v>8785</v>
      </c>
      <c r="BC220">
        <v>8794</v>
      </c>
      <c r="BD220" t="s">
        <v>74</v>
      </c>
      <c r="BE220" t="s">
        <v>4650</v>
      </c>
      <c r="BF220" t="str">
        <f>HYPERLINK("http://dx.doi.org/10.1002/2017GL074749","http://dx.doi.org/10.1002/2017GL074749")</f>
        <v>http://dx.doi.org/10.1002/2017GL074749</v>
      </c>
      <c r="BG220" t="s">
        <v>74</v>
      </c>
      <c r="BH220" t="s">
        <v>74</v>
      </c>
      <c r="BI220">
        <v>10</v>
      </c>
      <c r="BJ220" t="s">
        <v>100</v>
      </c>
      <c r="BK220" t="s">
        <v>101</v>
      </c>
      <c r="BL220" t="s">
        <v>102</v>
      </c>
      <c r="BM220" t="s">
        <v>4651</v>
      </c>
      <c r="BN220" t="s">
        <v>74</v>
      </c>
      <c r="BO220" t="s">
        <v>193</v>
      </c>
      <c r="BP220" t="s">
        <v>74</v>
      </c>
      <c r="BQ220" t="s">
        <v>74</v>
      </c>
      <c r="BR220" t="s">
        <v>105</v>
      </c>
      <c r="BS220" t="s">
        <v>4652</v>
      </c>
      <c r="BT220" t="str">
        <f>HYPERLINK("https%3A%2F%2Fwww.webofscience.com%2Fwos%2Fwoscc%2Ffull-record%2FWOS:000411702400013","View Full Record in Web of Science")</f>
        <v>View Full Record in Web of Science</v>
      </c>
    </row>
    <row r="221" spans="1:72" x14ac:dyDescent="0.15">
      <c r="A221" t="s">
        <v>72</v>
      </c>
      <c r="B221" t="s">
        <v>4653</v>
      </c>
      <c r="C221" t="s">
        <v>74</v>
      </c>
      <c r="D221" t="s">
        <v>74</v>
      </c>
      <c r="E221" t="s">
        <v>74</v>
      </c>
      <c r="F221" t="s">
        <v>4654</v>
      </c>
      <c r="G221" t="s">
        <v>74</v>
      </c>
      <c r="H221" t="s">
        <v>74</v>
      </c>
      <c r="I221" t="s">
        <v>4655</v>
      </c>
      <c r="J221" t="s">
        <v>77</v>
      </c>
      <c r="K221" t="s">
        <v>74</v>
      </c>
      <c r="L221" t="s">
        <v>74</v>
      </c>
      <c r="M221" t="s">
        <v>78</v>
      </c>
      <c r="N221" t="s">
        <v>79</v>
      </c>
      <c r="O221" t="s">
        <v>74</v>
      </c>
      <c r="P221" t="s">
        <v>74</v>
      </c>
      <c r="Q221" t="s">
        <v>74</v>
      </c>
      <c r="R221" t="s">
        <v>74</v>
      </c>
      <c r="S221" t="s">
        <v>74</v>
      </c>
      <c r="T221" t="s">
        <v>74</v>
      </c>
      <c r="U221" t="s">
        <v>4656</v>
      </c>
      <c r="V221" t="s">
        <v>4657</v>
      </c>
      <c r="W221" t="s">
        <v>4658</v>
      </c>
      <c r="X221" t="s">
        <v>4659</v>
      </c>
      <c r="Y221" t="s">
        <v>4660</v>
      </c>
      <c r="Z221" t="s">
        <v>4661</v>
      </c>
      <c r="AA221" t="s">
        <v>4662</v>
      </c>
      <c r="AB221" t="s">
        <v>4663</v>
      </c>
      <c r="AC221" t="s">
        <v>4664</v>
      </c>
      <c r="AD221" t="s">
        <v>4665</v>
      </c>
      <c r="AE221" t="s">
        <v>4666</v>
      </c>
      <c r="AF221" t="s">
        <v>74</v>
      </c>
      <c r="AG221">
        <v>53</v>
      </c>
      <c r="AH221">
        <v>36</v>
      </c>
      <c r="AI221">
        <v>40</v>
      </c>
      <c r="AJ221">
        <v>0</v>
      </c>
      <c r="AK221">
        <v>14</v>
      </c>
      <c r="AL221" t="s">
        <v>91</v>
      </c>
      <c r="AM221" t="s">
        <v>92</v>
      </c>
      <c r="AN221" t="s">
        <v>93</v>
      </c>
      <c r="AO221" t="s">
        <v>94</v>
      </c>
      <c r="AP221" t="s">
        <v>95</v>
      </c>
      <c r="AQ221" t="s">
        <v>74</v>
      </c>
      <c r="AR221" t="s">
        <v>96</v>
      </c>
      <c r="AS221" t="s">
        <v>97</v>
      </c>
      <c r="AT221" t="s">
        <v>4632</v>
      </c>
      <c r="AU221">
        <v>2017</v>
      </c>
      <c r="AV221">
        <v>44</v>
      </c>
      <c r="AW221">
        <v>17</v>
      </c>
      <c r="AX221" t="s">
        <v>74</v>
      </c>
      <c r="AY221" t="s">
        <v>74</v>
      </c>
      <c r="AZ221" t="s">
        <v>74</v>
      </c>
      <c r="BA221" t="s">
        <v>74</v>
      </c>
      <c r="BB221">
        <v>8936</v>
      </c>
      <c r="BC221">
        <v>8944</v>
      </c>
      <c r="BD221" t="s">
        <v>4667</v>
      </c>
      <c r="BE221" t="s">
        <v>4668</v>
      </c>
      <c r="BF221" t="str">
        <f>HYPERLINK("http://dx.doi.org/10.1002/2017GL074433","http://dx.doi.org/10.1002/2017GL074433")</f>
        <v>http://dx.doi.org/10.1002/2017GL074433</v>
      </c>
      <c r="BG221" t="s">
        <v>74</v>
      </c>
      <c r="BH221" t="s">
        <v>74</v>
      </c>
      <c r="BI221">
        <v>9</v>
      </c>
      <c r="BJ221" t="s">
        <v>100</v>
      </c>
      <c r="BK221" t="s">
        <v>101</v>
      </c>
      <c r="BL221" t="s">
        <v>102</v>
      </c>
      <c r="BM221" t="s">
        <v>4651</v>
      </c>
      <c r="BN221" t="s">
        <v>74</v>
      </c>
      <c r="BO221" t="s">
        <v>598</v>
      </c>
      <c r="BP221" t="s">
        <v>74</v>
      </c>
      <c r="BQ221" t="s">
        <v>74</v>
      </c>
      <c r="BR221" t="s">
        <v>105</v>
      </c>
      <c r="BS221" t="s">
        <v>4669</v>
      </c>
      <c r="BT221" t="str">
        <f>HYPERLINK("https%3A%2F%2Fwww.webofscience.com%2Fwos%2Fwoscc%2Ffull-record%2FWOS:000411702400031","View Full Record in Web of Science")</f>
        <v>View Full Record in Web of Science</v>
      </c>
    </row>
    <row r="222" spans="1:72" x14ac:dyDescent="0.15">
      <c r="A222" t="s">
        <v>72</v>
      </c>
      <c r="B222" t="s">
        <v>4670</v>
      </c>
      <c r="C222" t="s">
        <v>74</v>
      </c>
      <c r="D222" t="s">
        <v>74</v>
      </c>
      <c r="E222" t="s">
        <v>74</v>
      </c>
      <c r="F222" t="s">
        <v>4671</v>
      </c>
      <c r="G222" t="s">
        <v>74</v>
      </c>
      <c r="H222" t="s">
        <v>74</v>
      </c>
      <c r="I222" t="s">
        <v>4672</v>
      </c>
      <c r="J222" t="s">
        <v>77</v>
      </c>
      <c r="K222" t="s">
        <v>74</v>
      </c>
      <c r="L222" t="s">
        <v>74</v>
      </c>
      <c r="M222" t="s">
        <v>78</v>
      </c>
      <c r="N222" t="s">
        <v>79</v>
      </c>
      <c r="O222" t="s">
        <v>74</v>
      </c>
      <c r="P222" t="s">
        <v>74</v>
      </c>
      <c r="Q222" t="s">
        <v>74</v>
      </c>
      <c r="R222" t="s">
        <v>74</v>
      </c>
      <c r="S222" t="s">
        <v>74</v>
      </c>
      <c r="T222" t="s">
        <v>74</v>
      </c>
      <c r="U222" t="s">
        <v>4673</v>
      </c>
      <c r="V222" t="s">
        <v>4674</v>
      </c>
      <c r="W222" t="s">
        <v>4675</v>
      </c>
      <c r="X222" t="s">
        <v>4676</v>
      </c>
      <c r="Y222" t="s">
        <v>4677</v>
      </c>
      <c r="Z222" t="s">
        <v>4678</v>
      </c>
      <c r="AA222" t="s">
        <v>4679</v>
      </c>
      <c r="AB222" t="s">
        <v>4680</v>
      </c>
      <c r="AC222" t="s">
        <v>4681</v>
      </c>
      <c r="AD222" t="s">
        <v>4682</v>
      </c>
      <c r="AE222" t="s">
        <v>4683</v>
      </c>
      <c r="AF222" t="s">
        <v>74</v>
      </c>
      <c r="AG222">
        <v>53</v>
      </c>
      <c r="AH222">
        <v>126</v>
      </c>
      <c r="AI222">
        <v>141</v>
      </c>
      <c r="AJ222">
        <v>0</v>
      </c>
      <c r="AK222">
        <v>57</v>
      </c>
      <c r="AL222" t="s">
        <v>91</v>
      </c>
      <c r="AM222" t="s">
        <v>92</v>
      </c>
      <c r="AN222" t="s">
        <v>93</v>
      </c>
      <c r="AO222" t="s">
        <v>94</v>
      </c>
      <c r="AP222" t="s">
        <v>95</v>
      </c>
      <c r="AQ222" t="s">
        <v>74</v>
      </c>
      <c r="AR222" t="s">
        <v>96</v>
      </c>
      <c r="AS222" t="s">
        <v>97</v>
      </c>
      <c r="AT222" t="s">
        <v>4632</v>
      </c>
      <c r="AU222">
        <v>2017</v>
      </c>
      <c r="AV222">
        <v>44</v>
      </c>
      <c r="AW222">
        <v>17</v>
      </c>
      <c r="AX222" t="s">
        <v>74</v>
      </c>
      <c r="AY222" t="s">
        <v>74</v>
      </c>
      <c r="AZ222" t="s">
        <v>74</v>
      </c>
      <c r="BA222" t="s">
        <v>74</v>
      </c>
      <c r="BB222">
        <v>9008</v>
      </c>
      <c r="BC222">
        <v>9019</v>
      </c>
      <c r="BD222" t="s">
        <v>4684</v>
      </c>
      <c r="BE222" t="s">
        <v>4685</v>
      </c>
      <c r="BF222" t="str">
        <f>HYPERLINK("http://dx.doi.org/10.1002/2017GL074691","http://dx.doi.org/10.1002/2017GL074691")</f>
        <v>http://dx.doi.org/10.1002/2017GL074691</v>
      </c>
      <c r="BG222" t="s">
        <v>74</v>
      </c>
      <c r="BH222" t="s">
        <v>74</v>
      </c>
      <c r="BI222">
        <v>12</v>
      </c>
      <c r="BJ222" t="s">
        <v>100</v>
      </c>
      <c r="BK222" t="s">
        <v>101</v>
      </c>
      <c r="BL222" t="s">
        <v>102</v>
      </c>
      <c r="BM222" t="s">
        <v>4651</v>
      </c>
      <c r="BN222" t="s">
        <v>74</v>
      </c>
      <c r="BO222" t="s">
        <v>74</v>
      </c>
      <c r="BP222" t="s">
        <v>74</v>
      </c>
      <c r="BQ222" t="s">
        <v>74</v>
      </c>
      <c r="BR222" t="s">
        <v>105</v>
      </c>
      <c r="BS222" t="s">
        <v>4686</v>
      </c>
      <c r="BT222" t="str">
        <f>HYPERLINK("https%3A%2F%2Fwww.webofscience.com%2Fwos%2Fwoscc%2Ffull-record%2FWOS:000411702400039","View Full Record in Web of Science")</f>
        <v>View Full Record in Web of Science</v>
      </c>
    </row>
    <row r="223" spans="1:72" x14ac:dyDescent="0.15">
      <c r="A223" t="s">
        <v>72</v>
      </c>
      <c r="B223" t="s">
        <v>4687</v>
      </c>
      <c r="C223" t="s">
        <v>74</v>
      </c>
      <c r="D223" t="s">
        <v>74</v>
      </c>
      <c r="E223" t="s">
        <v>74</v>
      </c>
      <c r="F223" t="s">
        <v>4688</v>
      </c>
      <c r="G223" t="s">
        <v>74</v>
      </c>
      <c r="H223" t="s">
        <v>74</v>
      </c>
      <c r="I223" t="s">
        <v>4689</v>
      </c>
      <c r="J223" t="s">
        <v>77</v>
      </c>
      <c r="K223" t="s">
        <v>74</v>
      </c>
      <c r="L223" t="s">
        <v>74</v>
      </c>
      <c r="M223" t="s">
        <v>78</v>
      </c>
      <c r="N223" t="s">
        <v>79</v>
      </c>
      <c r="O223" t="s">
        <v>74</v>
      </c>
      <c r="P223" t="s">
        <v>74</v>
      </c>
      <c r="Q223" t="s">
        <v>74</v>
      </c>
      <c r="R223" t="s">
        <v>74</v>
      </c>
      <c r="S223" t="s">
        <v>74</v>
      </c>
      <c r="T223" t="s">
        <v>74</v>
      </c>
      <c r="U223" t="s">
        <v>4690</v>
      </c>
      <c r="V223" t="s">
        <v>4691</v>
      </c>
      <c r="W223" t="s">
        <v>4692</v>
      </c>
      <c r="X223" t="s">
        <v>4693</v>
      </c>
      <c r="Y223" t="s">
        <v>4694</v>
      </c>
      <c r="Z223" t="s">
        <v>4695</v>
      </c>
      <c r="AA223" t="s">
        <v>4696</v>
      </c>
      <c r="AB223" t="s">
        <v>4697</v>
      </c>
      <c r="AC223" t="s">
        <v>4698</v>
      </c>
      <c r="AD223" t="s">
        <v>4631</v>
      </c>
      <c r="AE223" t="s">
        <v>74</v>
      </c>
      <c r="AF223" t="s">
        <v>74</v>
      </c>
      <c r="AG223">
        <v>25</v>
      </c>
      <c r="AH223">
        <v>3</v>
      </c>
      <c r="AI223">
        <v>4</v>
      </c>
      <c r="AJ223">
        <v>1</v>
      </c>
      <c r="AK223">
        <v>12</v>
      </c>
      <c r="AL223" t="s">
        <v>91</v>
      </c>
      <c r="AM223" t="s">
        <v>92</v>
      </c>
      <c r="AN223" t="s">
        <v>93</v>
      </c>
      <c r="AO223" t="s">
        <v>94</v>
      </c>
      <c r="AP223" t="s">
        <v>95</v>
      </c>
      <c r="AQ223" t="s">
        <v>74</v>
      </c>
      <c r="AR223" t="s">
        <v>96</v>
      </c>
      <c r="AS223" t="s">
        <v>97</v>
      </c>
      <c r="AT223" t="s">
        <v>4632</v>
      </c>
      <c r="AU223">
        <v>2017</v>
      </c>
      <c r="AV223">
        <v>44</v>
      </c>
      <c r="AW223">
        <v>17</v>
      </c>
      <c r="AX223" t="s">
        <v>74</v>
      </c>
      <c r="AY223" t="s">
        <v>74</v>
      </c>
      <c r="AZ223" t="s">
        <v>74</v>
      </c>
      <c r="BA223" t="s">
        <v>74</v>
      </c>
      <c r="BB223">
        <v>9084</v>
      </c>
      <c r="BC223">
        <v>9092</v>
      </c>
      <c r="BD223" t="s">
        <v>4699</v>
      </c>
      <c r="BE223" t="s">
        <v>4700</v>
      </c>
      <c r="BF223" t="str">
        <f>HYPERLINK("http://dx.doi.org/10.1002/2017GL074722","http://dx.doi.org/10.1002/2017GL074722")</f>
        <v>http://dx.doi.org/10.1002/2017GL074722</v>
      </c>
      <c r="BG223" t="s">
        <v>74</v>
      </c>
      <c r="BH223" t="s">
        <v>74</v>
      </c>
      <c r="BI223">
        <v>9</v>
      </c>
      <c r="BJ223" t="s">
        <v>100</v>
      </c>
      <c r="BK223" t="s">
        <v>101</v>
      </c>
      <c r="BL223" t="s">
        <v>102</v>
      </c>
      <c r="BM223" t="s">
        <v>4651</v>
      </c>
      <c r="BN223" t="s">
        <v>74</v>
      </c>
      <c r="BO223" t="s">
        <v>74</v>
      </c>
      <c r="BP223" t="s">
        <v>74</v>
      </c>
      <c r="BQ223" t="s">
        <v>74</v>
      </c>
      <c r="BR223" t="s">
        <v>105</v>
      </c>
      <c r="BS223" t="s">
        <v>4701</v>
      </c>
      <c r="BT223" t="str">
        <f>HYPERLINK("https%3A%2F%2Fwww.webofscience.com%2Fwos%2Fwoscc%2Ffull-record%2FWOS:000411702400047","View Full Record in Web of Science")</f>
        <v>View Full Record in Web of Science</v>
      </c>
    </row>
    <row r="224" spans="1:72" x14ac:dyDescent="0.15">
      <c r="A224" t="s">
        <v>72</v>
      </c>
      <c r="B224" t="s">
        <v>4702</v>
      </c>
      <c r="C224" t="s">
        <v>74</v>
      </c>
      <c r="D224" t="s">
        <v>74</v>
      </c>
      <c r="E224" t="s">
        <v>74</v>
      </c>
      <c r="F224" t="s">
        <v>4703</v>
      </c>
      <c r="G224" t="s">
        <v>74</v>
      </c>
      <c r="H224" t="s">
        <v>74</v>
      </c>
      <c r="I224" t="s">
        <v>4704</v>
      </c>
      <c r="J224" t="s">
        <v>144</v>
      </c>
      <c r="K224" t="s">
        <v>74</v>
      </c>
      <c r="L224" t="s">
        <v>74</v>
      </c>
      <c r="M224" t="s">
        <v>78</v>
      </c>
      <c r="N224" t="s">
        <v>79</v>
      </c>
      <c r="O224" t="s">
        <v>74</v>
      </c>
      <c r="P224" t="s">
        <v>74</v>
      </c>
      <c r="Q224" t="s">
        <v>74</v>
      </c>
      <c r="R224" t="s">
        <v>74</v>
      </c>
      <c r="S224" t="s">
        <v>74</v>
      </c>
      <c r="T224" t="s">
        <v>74</v>
      </c>
      <c r="U224" t="s">
        <v>4705</v>
      </c>
      <c r="V224" t="s">
        <v>4706</v>
      </c>
      <c r="W224" t="s">
        <v>4707</v>
      </c>
      <c r="X224" t="s">
        <v>4708</v>
      </c>
      <c r="Y224" t="s">
        <v>4709</v>
      </c>
      <c r="Z224" t="s">
        <v>4710</v>
      </c>
      <c r="AA224" t="s">
        <v>4711</v>
      </c>
      <c r="AB224" t="s">
        <v>4712</v>
      </c>
      <c r="AC224" t="s">
        <v>4713</v>
      </c>
      <c r="AD224" t="s">
        <v>4714</v>
      </c>
      <c r="AE224" t="s">
        <v>4715</v>
      </c>
      <c r="AF224" t="s">
        <v>74</v>
      </c>
      <c r="AG224">
        <v>31</v>
      </c>
      <c r="AH224">
        <v>15</v>
      </c>
      <c r="AI224">
        <v>18</v>
      </c>
      <c r="AJ224">
        <v>0</v>
      </c>
      <c r="AK224">
        <v>0</v>
      </c>
      <c r="AL224" t="s">
        <v>91</v>
      </c>
      <c r="AM224" t="s">
        <v>92</v>
      </c>
      <c r="AN224" t="s">
        <v>93</v>
      </c>
      <c r="AO224" t="s">
        <v>156</v>
      </c>
      <c r="AP224" t="s">
        <v>157</v>
      </c>
      <c r="AQ224" t="s">
        <v>74</v>
      </c>
      <c r="AR224" t="s">
        <v>158</v>
      </c>
      <c r="AS224" t="s">
        <v>159</v>
      </c>
      <c r="AT224" t="s">
        <v>4632</v>
      </c>
      <c r="AU224">
        <v>2017</v>
      </c>
      <c r="AV224">
        <v>122</v>
      </c>
      <c r="AW224">
        <v>17</v>
      </c>
      <c r="AX224" t="s">
        <v>74</v>
      </c>
      <c r="AY224" t="s">
        <v>74</v>
      </c>
      <c r="AZ224" t="s">
        <v>74</v>
      </c>
      <c r="BA224" t="s">
        <v>74</v>
      </c>
      <c r="BB224">
        <v>8969</v>
      </c>
      <c r="BC224">
        <v>8981</v>
      </c>
      <c r="BD224" t="s">
        <v>74</v>
      </c>
      <c r="BE224" t="s">
        <v>4716</v>
      </c>
      <c r="BF224" t="str">
        <f>HYPERLINK("http://dx.doi.org/10.1002/2016JD026217","http://dx.doi.org/10.1002/2016JD026217")</f>
        <v>http://dx.doi.org/10.1002/2016JD026217</v>
      </c>
      <c r="BG224" t="s">
        <v>74</v>
      </c>
      <c r="BH224" t="s">
        <v>74</v>
      </c>
      <c r="BI224">
        <v>13</v>
      </c>
      <c r="BJ224" t="s">
        <v>162</v>
      </c>
      <c r="BK224" t="s">
        <v>101</v>
      </c>
      <c r="BL224" t="s">
        <v>162</v>
      </c>
      <c r="BM224" t="s">
        <v>4634</v>
      </c>
      <c r="BN224" t="s">
        <v>74</v>
      </c>
      <c r="BO224" t="s">
        <v>547</v>
      </c>
      <c r="BP224" t="s">
        <v>74</v>
      </c>
      <c r="BQ224" t="s">
        <v>74</v>
      </c>
      <c r="BR224" t="s">
        <v>105</v>
      </c>
      <c r="BS224" t="s">
        <v>4717</v>
      </c>
      <c r="BT224" t="str">
        <f>HYPERLINK("https%3A%2F%2Fwww.webofscience.com%2Fwos%2Fwoscc%2Ffull-record%2FWOS:000416387300001","View Full Record in Web of Science")</f>
        <v>View Full Record in Web of Science</v>
      </c>
    </row>
    <row r="225" spans="1:72" x14ac:dyDescent="0.15">
      <c r="A225" t="s">
        <v>72</v>
      </c>
      <c r="B225" t="s">
        <v>4718</v>
      </c>
      <c r="C225" t="s">
        <v>74</v>
      </c>
      <c r="D225" t="s">
        <v>74</v>
      </c>
      <c r="E225" t="s">
        <v>74</v>
      </c>
      <c r="F225" t="s">
        <v>4719</v>
      </c>
      <c r="G225" t="s">
        <v>74</v>
      </c>
      <c r="H225" t="s">
        <v>74</v>
      </c>
      <c r="I225" t="s">
        <v>4720</v>
      </c>
      <c r="J225" t="s">
        <v>4721</v>
      </c>
      <c r="K225" t="s">
        <v>74</v>
      </c>
      <c r="L225" t="s">
        <v>74</v>
      </c>
      <c r="M225" t="s">
        <v>78</v>
      </c>
      <c r="N225" t="s">
        <v>4722</v>
      </c>
      <c r="O225" t="s">
        <v>4723</v>
      </c>
      <c r="P225" t="s">
        <v>4724</v>
      </c>
      <c r="Q225" t="s">
        <v>4725</v>
      </c>
      <c r="R225" t="s">
        <v>74</v>
      </c>
      <c r="S225" t="s">
        <v>74</v>
      </c>
      <c r="T225" t="s">
        <v>4726</v>
      </c>
      <c r="U225" t="s">
        <v>4727</v>
      </c>
      <c r="V225" t="s">
        <v>4728</v>
      </c>
      <c r="W225" t="s">
        <v>4729</v>
      </c>
      <c r="X225" t="s">
        <v>4730</v>
      </c>
      <c r="Y225" t="s">
        <v>4731</v>
      </c>
      <c r="Z225" t="s">
        <v>4732</v>
      </c>
      <c r="AA225" t="s">
        <v>4733</v>
      </c>
      <c r="AB225" t="s">
        <v>4734</v>
      </c>
      <c r="AC225" t="s">
        <v>4735</v>
      </c>
      <c r="AD225" t="s">
        <v>4736</v>
      </c>
      <c r="AE225" t="s">
        <v>4737</v>
      </c>
      <c r="AF225" t="s">
        <v>74</v>
      </c>
      <c r="AG225">
        <v>66</v>
      </c>
      <c r="AH225">
        <v>23</v>
      </c>
      <c r="AI225">
        <v>24</v>
      </c>
      <c r="AJ225">
        <v>0</v>
      </c>
      <c r="AK225">
        <v>8</v>
      </c>
      <c r="AL225" t="s">
        <v>371</v>
      </c>
      <c r="AM225" t="s">
        <v>372</v>
      </c>
      <c r="AN225" t="s">
        <v>373</v>
      </c>
      <c r="AO225" t="s">
        <v>4738</v>
      </c>
      <c r="AP225" t="s">
        <v>4739</v>
      </c>
      <c r="AQ225" t="s">
        <v>74</v>
      </c>
      <c r="AR225" t="s">
        <v>4721</v>
      </c>
      <c r="AS225" t="s">
        <v>4740</v>
      </c>
      <c r="AT225" t="s">
        <v>4741</v>
      </c>
      <c r="AU225">
        <v>2017</v>
      </c>
      <c r="AV225">
        <v>293</v>
      </c>
      <c r="AW225" t="s">
        <v>74</v>
      </c>
      <c r="AX225" t="s">
        <v>3721</v>
      </c>
      <c r="AY225" t="s">
        <v>74</v>
      </c>
      <c r="AZ225" t="s">
        <v>74</v>
      </c>
      <c r="BA225" t="s">
        <v>74</v>
      </c>
      <c r="BB225">
        <v>368</v>
      </c>
      <c r="BC225">
        <v>379</v>
      </c>
      <c r="BD225" t="s">
        <v>74</v>
      </c>
      <c r="BE225" t="s">
        <v>4742</v>
      </c>
      <c r="BF225" t="str">
        <f>HYPERLINK("http://dx.doi.org/10.1016/j.geomorph.2016.01.020","http://dx.doi.org/10.1016/j.geomorph.2016.01.020")</f>
        <v>http://dx.doi.org/10.1016/j.geomorph.2016.01.020</v>
      </c>
      <c r="BG225" t="s">
        <v>74</v>
      </c>
      <c r="BH225" t="s">
        <v>74</v>
      </c>
      <c r="BI225">
        <v>12</v>
      </c>
      <c r="BJ225" t="s">
        <v>319</v>
      </c>
      <c r="BK225" t="s">
        <v>1347</v>
      </c>
      <c r="BL225" t="s">
        <v>320</v>
      </c>
      <c r="BM225" t="s">
        <v>4743</v>
      </c>
      <c r="BN225" t="s">
        <v>74</v>
      </c>
      <c r="BO225" t="s">
        <v>164</v>
      </c>
      <c r="BP225" t="s">
        <v>74</v>
      </c>
      <c r="BQ225" t="s">
        <v>74</v>
      </c>
      <c r="BR225" t="s">
        <v>105</v>
      </c>
      <c r="BS225" t="s">
        <v>4744</v>
      </c>
      <c r="BT225" t="str">
        <f>HYPERLINK("https%3A%2F%2Fwww.webofscience.com%2Fwos%2Fwoscc%2Ffull-record%2FWOS:000430527000006","View Full Record in Web of Science")</f>
        <v>View Full Record in Web of Science</v>
      </c>
    </row>
    <row r="226" spans="1:72" x14ac:dyDescent="0.15">
      <c r="A226" t="s">
        <v>72</v>
      </c>
      <c r="B226" t="s">
        <v>4745</v>
      </c>
      <c r="C226" t="s">
        <v>74</v>
      </c>
      <c r="D226" t="s">
        <v>74</v>
      </c>
      <c r="E226" t="s">
        <v>74</v>
      </c>
      <c r="F226" t="s">
        <v>4746</v>
      </c>
      <c r="G226" t="s">
        <v>74</v>
      </c>
      <c r="H226" t="s">
        <v>74</v>
      </c>
      <c r="I226" t="s">
        <v>4747</v>
      </c>
      <c r="J226" t="s">
        <v>4748</v>
      </c>
      <c r="K226" t="s">
        <v>74</v>
      </c>
      <c r="L226" t="s">
        <v>74</v>
      </c>
      <c r="M226" t="s">
        <v>78</v>
      </c>
      <c r="N226" t="s">
        <v>79</v>
      </c>
      <c r="O226" t="s">
        <v>74</v>
      </c>
      <c r="P226" t="s">
        <v>74</v>
      </c>
      <c r="Q226" t="s">
        <v>74</v>
      </c>
      <c r="R226" t="s">
        <v>74</v>
      </c>
      <c r="S226" t="s">
        <v>74</v>
      </c>
      <c r="T226" t="s">
        <v>4749</v>
      </c>
      <c r="U226" t="s">
        <v>4750</v>
      </c>
      <c r="V226" t="s">
        <v>4751</v>
      </c>
      <c r="W226" t="s">
        <v>4752</v>
      </c>
      <c r="X226" t="s">
        <v>4753</v>
      </c>
      <c r="Y226" t="s">
        <v>4754</v>
      </c>
      <c r="Z226" t="s">
        <v>4755</v>
      </c>
      <c r="AA226" t="s">
        <v>74</v>
      </c>
      <c r="AB226" t="s">
        <v>74</v>
      </c>
      <c r="AC226" t="s">
        <v>4756</v>
      </c>
      <c r="AD226" t="s">
        <v>4757</v>
      </c>
      <c r="AE226" t="s">
        <v>4758</v>
      </c>
      <c r="AF226" t="s">
        <v>74</v>
      </c>
      <c r="AG226">
        <v>66</v>
      </c>
      <c r="AH226">
        <v>11</v>
      </c>
      <c r="AI226">
        <v>14</v>
      </c>
      <c r="AJ226">
        <v>2</v>
      </c>
      <c r="AK226">
        <v>30</v>
      </c>
      <c r="AL226" t="s">
        <v>1981</v>
      </c>
      <c r="AM226" t="s">
        <v>729</v>
      </c>
      <c r="AN226" t="s">
        <v>1982</v>
      </c>
      <c r="AO226" t="s">
        <v>4759</v>
      </c>
      <c r="AP226" t="s">
        <v>4760</v>
      </c>
      <c r="AQ226" t="s">
        <v>74</v>
      </c>
      <c r="AR226" t="s">
        <v>4761</v>
      </c>
      <c r="AS226" t="s">
        <v>4762</v>
      </c>
      <c r="AT226" t="s">
        <v>4741</v>
      </c>
      <c r="AU226">
        <v>2017</v>
      </c>
      <c r="AV226">
        <v>148</v>
      </c>
      <c r="AW226" t="s">
        <v>74</v>
      </c>
      <c r="AX226" t="s">
        <v>74</v>
      </c>
      <c r="AY226" t="s">
        <v>74</v>
      </c>
      <c r="AZ226" t="s">
        <v>74</v>
      </c>
      <c r="BA226" t="s">
        <v>74</v>
      </c>
      <c r="BB226">
        <v>150</v>
      </c>
      <c r="BC226">
        <v>158</v>
      </c>
      <c r="BD226" t="s">
        <v>74</v>
      </c>
      <c r="BE226" t="s">
        <v>4763</v>
      </c>
      <c r="BF226" t="str">
        <f>HYPERLINK("http://dx.doi.org/10.1016/j.csr.2017.08.019","http://dx.doi.org/10.1016/j.csr.2017.08.019")</f>
        <v>http://dx.doi.org/10.1016/j.csr.2017.08.019</v>
      </c>
      <c r="BG226" t="s">
        <v>74</v>
      </c>
      <c r="BH226" t="s">
        <v>74</v>
      </c>
      <c r="BI226">
        <v>9</v>
      </c>
      <c r="BJ226" t="s">
        <v>1459</v>
      </c>
      <c r="BK226" t="s">
        <v>101</v>
      </c>
      <c r="BL226" t="s">
        <v>1459</v>
      </c>
      <c r="BM226" t="s">
        <v>4764</v>
      </c>
      <c r="BN226" t="s">
        <v>74</v>
      </c>
      <c r="BO226" t="s">
        <v>74</v>
      </c>
      <c r="BP226" t="s">
        <v>74</v>
      </c>
      <c r="BQ226" t="s">
        <v>74</v>
      </c>
      <c r="BR226" t="s">
        <v>105</v>
      </c>
      <c r="BS226" t="s">
        <v>4765</v>
      </c>
      <c r="BT226" t="str">
        <f>HYPERLINK("https%3A%2F%2Fwww.webofscience.com%2Fwos%2Fwoscc%2Ffull-record%2FWOS:000413877700013","View Full Record in Web of Science")</f>
        <v>View Full Record in Web of Science</v>
      </c>
    </row>
    <row r="227" spans="1:72" x14ac:dyDescent="0.15">
      <c r="A227" t="s">
        <v>72</v>
      </c>
      <c r="B227" t="s">
        <v>4766</v>
      </c>
      <c r="C227" t="s">
        <v>74</v>
      </c>
      <c r="D227" t="s">
        <v>74</v>
      </c>
      <c r="E227" t="s">
        <v>74</v>
      </c>
      <c r="F227" t="s">
        <v>4767</v>
      </c>
      <c r="G227" t="s">
        <v>74</v>
      </c>
      <c r="H227" t="s">
        <v>74</v>
      </c>
      <c r="I227" t="s">
        <v>4768</v>
      </c>
      <c r="J227" t="s">
        <v>2256</v>
      </c>
      <c r="K227" t="s">
        <v>74</v>
      </c>
      <c r="L227" t="s">
        <v>74</v>
      </c>
      <c r="M227" t="s">
        <v>78</v>
      </c>
      <c r="N227" t="s">
        <v>4769</v>
      </c>
      <c r="O227" t="s">
        <v>74</v>
      </c>
      <c r="P227" t="s">
        <v>74</v>
      </c>
      <c r="Q227" t="s">
        <v>74</v>
      </c>
      <c r="R227" t="s">
        <v>74</v>
      </c>
      <c r="S227" t="s">
        <v>74</v>
      </c>
      <c r="T227" t="s">
        <v>74</v>
      </c>
      <c r="U227" t="s">
        <v>74</v>
      </c>
      <c r="V227" t="s">
        <v>74</v>
      </c>
      <c r="W227" t="s">
        <v>4770</v>
      </c>
      <c r="X227" t="s">
        <v>4771</v>
      </c>
      <c r="Y227" t="s">
        <v>4772</v>
      </c>
      <c r="Z227" t="s">
        <v>4773</v>
      </c>
      <c r="AA227" t="s">
        <v>4774</v>
      </c>
      <c r="AB227" t="s">
        <v>4775</v>
      </c>
      <c r="AC227" t="s">
        <v>74</v>
      </c>
      <c r="AD227" t="s">
        <v>74</v>
      </c>
      <c r="AE227" t="s">
        <v>74</v>
      </c>
      <c r="AF227" t="s">
        <v>74</v>
      </c>
      <c r="AG227">
        <v>1</v>
      </c>
      <c r="AH227">
        <v>0</v>
      </c>
      <c r="AI227">
        <v>0</v>
      </c>
      <c r="AJ227">
        <v>0</v>
      </c>
      <c r="AK227">
        <v>3</v>
      </c>
      <c r="AL227" t="s">
        <v>1981</v>
      </c>
      <c r="AM227" t="s">
        <v>729</v>
      </c>
      <c r="AN227" t="s">
        <v>1982</v>
      </c>
      <c r="AO227" t="s">
        <v>2269</v>
      </c>
      <c r="AP227" t="s">
        <v>74</v>
      </c>
      <c r="AQ227" t="s">
        <v>74</v>
      </c>
      <c r="AR227" t="s">
        <v>2270</v>
      </c>
      <c r="AS227" t="s">
        <v>2271</v>
      </c>
      <c r="AT227" t="s">
        <v>4741</v>
      </c>
      <c r="AU227">
        <v>2017</v>
      </c>
      <c r="AV227">
        <v>172</v>
      </c>
      <c r="AW227" t="s">
        <v>74</v>
      </c>
      <c r="AX227" t="s">
        <v>74</v>
      </c>
      <c r="AY227" t="s">
        <v>74</v>
      </c>
      <c r="AZ227" t="s">
        <v>74</v>
      </c>
      <c r="BA227" t="s">
        <v>74</v>
      </c>
      <c r="BB227">
        <v>142</v>
      </c>
      <c r="BC227">
        <v>143</v>
      </c>
      <c r="BD227" t="s">
        <v>74</v>
      </c>
      <c r="BE227" t="s">
        <v>4776</v>
      </c>
      <c r="BF227" t="str">
        <f>HYPERLINK("http://dx.doi.org/10.1016/j.quascirev.2017.07.021","http://dx.doi.org/10.1016/j.quascirev.2017.07.021")</f>
        <v>http://dx.doi.org/10.1016/j.quascirev.2017.07.021</v>
      </c>
      <c r="BG227" t="s">
        <v>74</v>
      </c>
      <c r="BH227" t="s">
        <v>74</v>
      </c>
      <c r="BI227">
        <v>2</v>
      </c>
      <c r="BJ227" t="s">
        <v>319</v>
      </c>
      <c r="BK227" t="s">
        <v>101</v>
      </c>
      <c r="BL227" t="s">
        <v>320</v>
      </c>
      <c r="BM227" t="s">
        <v>4777</v>
      </c>
      <c r="BN227" t="s">
        <v>74</v>
      </c>
      <c r="BO227" t="s">
        <v>74</v>
      </c>
      <c r="BP227" t="s">
        <v>74</v>
      </c>
      <c r="BQ227" t="s">
        <v>74</v>
      </c>
      <c r="BR227" t="s">
        <v>105</v>
      </c>
      <c r="BS227" t="s">
        <v>4778</v>
      </c>
      <c r="BT227" t="str">
        <f>HYPERLINK("https%3A%2F%2Fwww.webofscience.com%2Fwos%2Fwoscc%2Ffull-record%2FWOS:000411774700012","View Full Record in Web of Science")</f>
        <v>View Full Record in Web of Science</v>
      </c>
    </row>
    <row r="228" spans="1:72" x14ac:dyDescent="0.15">
      <c r="A228" t="s">
        <v>72</v>
      </c>
      <c r="B228" t="s">
        <v>4779</v>
      </c>
      <c r="C228" t="s">
        <v>74</v>
      </c>
      <c r="D228" t="s">
        <v>74</v>
      </c>
      <c r="E228" t="s">
        <v>74</v>
      </c>
      <c r="F228" t="s">
        <v>4780</v>
      </c>
      <c r="G228" t="s">
        <v>74</v>
      </c>
      <c r="H228" t="s">
        <v>74</v>
      </c>
      <c r="I228" t="s">
        <v>4781</v>
      </c>
      <c r="J228" t="s">
        <v>638</v>
      </c>
      <c r="K228" t="s">
        <v>74</v>
      </c>
      <c r="L228" t="s">
        <v>74</v>
      </c>
      <c r="M228" t="s">
        <v>78</v>
      </c>
      <c r="N228" t="s">
        <v>79</v>
      </c>
      <c r="O228" t="s">
        <v>74</v>
      </c>
      <c r="P228" t="s">
        <v>74</v>
      </c>
      <c r="Q228" t="s">
        <v>74</v>
      </c>
      <c r="R228" t="s">
        <v>74</v>
      </c>
      <c r="S228" t="s">
        <v>74</v>
      </c>
      <c r="T228" t="s">
        <v>74</v>
      </c>
      <c r="U228" t="s">
        <v>4782</v>
      </c>
      <c r="V228" t="s">
        <v>4783</v>
      </c>
      <c r="W228" t="s">
        <v>4784</v>
      </c>
      <c r="X228" t="s">
        <v>4785</v>
      </c>
      <c r="Y228" t="s">
        <v>4786</v>
      </c>
      <c r="Z228" t="s">
        <v>4787</v>
      </c>
      <c r="AA228" t="s">
        <v>4788</v>
      </c>
      <c r="AB228" t="s">
        <v>4789</v>
      </c>
      <c r="AC228" t="s">
        <v>4790</v>
      </c>
      <c r="AD228" t="s">
        <v>4791</v>
      </c>
      <c r="AE228" t="s">
        <v>4792</v>
      </c>
      <c r="AF228" t="s">
        <v>74</v>
      </c>
      <c r="AG228">
        <v>83</v>
      </c>
      <c r="AH228">
        <v>39</v>
      </c>
      <c r="AI228">
        <v>42</v>
      </c>
      <c r="AJ228">
        <v>1</v>
      </c>
      <c r="AK228">
        <v>24</v>
      </c>
      <c r="AL228" t="s">
        <v>650</v>
      </c>
      <c r="AM228" t="s">
        <v>651</v>
      </c>
      <c r="AN228" t="s">
        <v>652</v>
      </c>
      <c r="AO228" t="s">
        <v>653</v>
      </c>
      <c r="AP228" t="s">
        <v>74</v>
      </c>
      <c r="AQ228" t="s">
        <v>74</v>
      </c>
      <c r="AR228" t="s">
        <v>654</v>
      </c>
      <c r="AS228" t="s">
        <v>655</v>
      </c>
      <c r="AT228" t="s">
        <v>4741</v>
      </c>
      <c r="AU228">
        <v>2017</v>
      </c>
      <c r="AV228">
        <v>7</v>
      </c>
      <c r="AW228" t="s">
        <v>74</v>
      </c>
      <c r="AX228" t="s">
        <v>74</v>
      </c>
      <c r="AY228" t="s">
        <v>74</v>
      </c>
      <c r="AZ228" t="s">
        <v>74</v>
      </c>
      <c r="BA228" t="s">
        <v>74</v>
      </c>
      <c r="BB228" t="s">
        <v>74</v>
      </c>
      <c r="BC228" t="s">
        <v>74</v>
      </c>
      <c r="BD228">
        <v>11688</v>
      </c>
      <c r="BE228" t="s">
        <v>4793</v>
      </c>
      <c r="BF228" t="str">
        <f>HYPERLINK("http://dx.doi.org/10.1038/s41598-017-11866-x","http://dx.doi.org/10.1038/s41598-017-11866-x")</f>
        <v>http://dx.doi.org/10.1038/s41598-017-11866-x</v>
      </c>
      <c r="BG228" t="s">
        <v>74</v>
      </c>
      <c r="BH228" t="s">
        <v>74</v>
      </c>
      <c r="BI228">
        <v>13</v>
      </c>
      <c r="BJ228" t="s">
        <v>190</v>
      </c>
      <c r="BK228" t="s">
        <v>101</v>
      </c>
      <c r="BL228" t="s">
        <v>191</v>
      </c>
      <c r="BM228" t="s">
        <v>4794</v>
      </c>
      <c r="BN228">
        <v>28916813</v>
      </c>
      <c r="BO228" t="s">
        <v>3771</v>
      </c>
      <c r="BP228" t="s">
        <v>74</v>
      </c>
      <c r="BQ228" t="s">
        <v>74</v>
      </c>
      <c r="BR228" t="s">
        <v>105</v>
      </c>
      <c r="BS228" t="s">
        <v>4795</v>
      </c>
      <c r="BT228" t="str">
        <f>HYPERLINK("https%3A%2F%2Fwww.webofscience.com%2Fwos%2Fwoscc%2Ffull-record%2FWOS:000410859400020","View Full Record in Web of Science")</f>
        <v>View Full Record in Web of Science</v>
      </c>
    </row>
    <row r="229" spans="1:72" x14ac:dyDescent="0.15">
      <c r="A229" t="s">
        <v>72</v>
      </c>
      <c r="B229" t="s">
        <v>4796</v>
      </c>
      <c r="C229" t="s">
        <v>74</v>
      </c>
      <c r="D229" t="s">
        <v>74</v>
      </c>
      <c r="E229" t="s">
        <v>74</v>
      </c>
      <c r="F229" t="s">
        <v>4797</v>
      </c>
      <c r="G229" t="s">
        <v>74</v>
      </c>
      <c r="H229" t="s">
        <v>74</v>
      </c>
      <c r="I229" t="s">
        <v>4798</v>
      </c>
      <c r="J229" t="s">
        <v>4799</v>
      </c>
      <c r="K229" t="s">
        <v>74</v>
      </c>
      <c r="L229" t="s">
        <v>74</v>
      </c>
      <c r="M229" t="s">
        <v>78</v>
      </c>
      <c r="N229" t="s">
        <v>273</v>
      </c>
      <c r="O229" t="s">
        <v>74</v>
      </c>
      <c r="P229" t="s">
        <v>74</v>
      </c>
      <c r="Q229" t="s">
        <v>74</v>
      </c>
      <c r="R229" t="s">
        <v>74</v>
      </c>
      <c r="S229" t="s">
        <v>74</v>
      </c>
      <c r="T229" t="s">
        <v>4800</v>
      </c>
      <c r="U229" t="s">
        <v>4801</v>
      </c>
      <c r="V229" t="s">
        <v>4802</v>
      </c>
      <c r="W229" t="s">
        <v>4803</v>
      </c>
      <c r="X229" t="s">
        <v>4804</v>
      </c>
      <c r="Y229" t="s">
        <v>4805</v>
      </c>
      <c r="Z229" t="s">
        <v>4806</v>
      </c>
      <c r="AA229" t="s">
        <v>4807</v>
      </c>
      <c r="AB229" t="s">
        <v>4808</v>
      </c>
      <c r="AC229" t="s">
        <v>4809</v>
      </c>
      <c r="AD229" t="s">
        <v>4809</v>
      </c>
      <c r="AE229" t="s">
        <v>4810</v>
      </c>
      <c r="AF229" t="s">
        <v>74</v>
      </c>
      <c r="AG229">
        <v>61</v>
      </c>
      <c r="AH229">
        <v>13</v>
      </c>
      <c r="AI229">
        <v>13</v>
      </c>
      <c r="AJ229">
        <v>5</v>
      </c>
      <c r="AK229">
        <v>19</v>
      </c>
      <c r="AL229" t="s">
        <v>4811</v>
      </c>
      <c r="AM229" t="s">
        <v>209</v>
      </c>
      <c r="AN229" t="s">
        <v>4812</v>
      </c>
      <c r="AO229" t="s">
        <v>4813</v>
      </c>
      <c r="AP229" t="s">
        <v>4814</v>
      </c>
      <c r="AQ229" t="s">
        <v>74</v>
      </c>
      <c r="AR229" t="s">
        <v>4815</v>
      </c>
      <c r="AS229" t="s">
        <v>4816</v>
      </c>
      <c r="AT229" t="s">
        <v>4741</v>
      </c>
      <c r="AU229">
        <v>2017</v>
      </c>
      <c r="AV229">
        <v>199</v>
      </c>
      <c r="AW229" t="s">
        <v>74</v>
      </c>
      <c r="AX229" t="s">
        <v>74</v>
      </c>
      <c r="AY229" t="s">
        <v>74</v>
      </c>
      <c r="AZ229" t="s">
        <v>74</v>
      </c>
      <c r="BA229" t="s">
        <v>74</v>
      </c>
      <c r="BB229">
        <v>427</v>
      </c>
      <c r="BC229">
        <v>436</v>
      </c>
      <c r="BD229" t="s">
        <v>74</v>
      </c>
      <c r="BE229" t="s">
        <v>4817</v>
      </c>
      <c r="BF229" t="str">
        <f>HYPERLINK("http://dx.doi.org/10.1016/j.rse.2017.07.035","http://dx.doi.org/10.1016/j.rse.2017.07.035")</f>
        <v>http://dx.doi.org/10.1016/j.rse.2017.07.035</v>
      </c>
      <c r="BG229" t="s">
        <v>74</v>
      </c>
      <c r="BH229" t="s">
        <v>74</v>
      </c>
      <c r="BI229">
        <v>10</v>
      </c>
      <c r="BJ229" t="s">
        <v>4818</v>
      </c>
      <c r="BK229" t="s">
        <v>101</v>
      </c>
      <c r="BL229" t="s">
        <v>4819</v>
      </c>
      <c r="BM229" t="s">
        <v>4820</v>
      </c>
      <c r="BN229" t="s">
        <v>74</v>
      </c>
      <c r="BO229" t="s">
        <v>164</v>
      </c>
      <c r="BP229" t="s">
        <v>74</v>
      </c>
      <c r="BQ229" t="s">
        <v>74</v>
      </c>
      <c r="BR229" t="s">
        <v>105</v>
      </c>
      <c r="BS229" t="s">
        <v>4821</v>
      </c>
      <c r="BT229" t="str">
        <f>HYPERLINK("https%3A%2F%2Fwww.webofscience.com%2Fwos%2Fwoscc%2Ffull-record%2FWOS:000410469100032","View Full Record in Web of Science")</f>
        <v>View Full Record in Web of Science</v>
      </c>
    </row>
    <row r="230" spans="1:72" x14ac:dyDescent="0.15">
      <c r="A230" t="s">
        <v>72</v>
      </c>
      <c r="B230" t="s">
        <v>4822</v>
      </c>
      <c r="C230" t="s">
        <v>74</v>
      </c>
      <c r="D230" t="s">
        <v>74</v>
      </c>
      <c r="E230" t="s">
        <v>74</v>
      </c>
      <c r="F230" t="s">
        <v>4823</v>
      </c>
      <c r="G230" t="s">
        <v>74</v>
      </c>
      <c r="H230" t="s">
        <v>74</v>
      </c>
      <c r="I230" t="s">
        <v>4824</v>
      </c>
      <c r="J230" t="s">
        <v>663</v>
      </c>
      <c r="K230" t="s">
        <v>74</v>
      </c>
      <c r="L230" t="s">
        <v>74</v>
      </c>
      <c r="M230" t="s">
        <v>78</v>
      </c>
      <c r="N230" t="s">
        <v>79</v>
      </c>
      <c r="O230" t="s">
        <v>74</v>
      </c>
      <c r="P230" t="s">
        <v>74</v>
      </c>
      <c r="Q230" t="s">
        <v>74</v>
      </c>
      <c r="R230" t="s">
        <v>74</v>
      </c>
      <c r="S230" t="s">
        <v>74</v>
      </c>
      <c r="T230" t="s">
        <v>4825</v>
      </c>
      <c r="U230" t="s">
        <v>4826</v>
      </c>
      <c r="V230" t="s">
        <v>4827</v>
      </c>
      <c r="W230" t="s">
        <v>4828</v>
      </c>
      <c r="X230" t="s">
        <v>4829</v>
      </c>
      <c r="Y230" t="s">
        <v>4830</v>
      </c>
      <c r="Z230" t="s">
        <v>4831</v>
      </c>
      <c r="AA230" t="s">
        <v>4832</v>
      </c>
      <c r="AB230" t="s">
        <v>4833</v>
      </c>
      <c r="AC230" t="s">
        <v>4834</v>
      </c>
      <c r="AD230" t="s">
        <v>4835</v>
      </c>
      <c r="AE230" t="s">
        <v>4836</v>
      </c>
      <c r="AF230" t="s">
        <v>74</v>
      </c>
      <c r="AG230">
        <v>50</v>
      </c>
      <c r="AH230">
        <v>23</v>
      </c>
      <c r="AI230">
        <v>26</v>
      </c>
      <c r="AJ230">
        <v>3</v>
      </c>
      <c r="AK230">
        <v>29</v>
      </c>
      <c r="AL230" t="s">
        <v>371</v>
      </c>
      <c r="AM230" t="s">
        <v>372</v>
      </c>
      <c r="AN230" t="s">
        <v>373</v>
      </c>
      <c r="AO230" t="s">
        <v>676</v>
      </c>
      <c r="AP230" t="s">
        <v>677</v>
      </c>
      <c r="AQ230" t="s">
        <v>74</v>
      </c>
      <c r="AR230" t="s">
        <v>678</v>
      </c>
      <c r="AS230" t="s">
        <v>679</v>
      </c>
      <c r="AT230" t="s">
        <v>4741</v>
      </c>
      <c r="AU230">
        <v>2017</v>
      </c>
      <c r="AV230">
        <v>474</v>
      </c>
      <c r="AW230" t="s">
        <v>74</v>
      </c>
      <c r="AX230" t="s">
        <v>74</v>
      </c>
      <c r="AY230" t="s">
        <v>74</v>
      </c>
      <c r="AZ230" t="s">
        <v>74</v>
      </c>
      <c r="BA230" t="s">
        <v>74</v>
      </c>
      <c r="BB230">
        <v>190</v>
      </c>
      <c r="BC230">
        <v>197</v>
      </c>
      <c r="BD230" t="s">
        <v>74</v>
      </c>
      <c r="BE230" t="s">
        <v>4837</v>
      </c>
      <c r="BF230" t="str">
        <f>HYPERLINK("http://dx.doi.org/10.1016/j.epsl.2017.06.039","http://dx.doi.org/10.1016/j.epsl.2017.06.039")</f>
        <v>http://dx.doi.org/10.1016/j.epsl.2017.06.039</v>
      </c>
      <c r="BG230" t="s">
        <v>74</v>
      </c>
      <c r="BH230" t="s">
        <v>74</v>
      </c>
      <c r="BI230">
        <v>8</v>
      </c>
      <c r="BJ230" t="s">
        <v>509</v>
      </c>
      <c r="BK230" t="s">
        <v>101</v>
      </c>
      <c r="BL230" t="s">
        <v>509</v>
      </c>
      <c r="BM230" t="s">
        <v>4838</v>
      </c>
      <c r="BN230" t="s">
        <v>74</v>
      </c>
      <c r="BO230" t="s">
        <v>74</v>
      </c>
      <c r="BP230" t="s">
        <v>74</v>
      </c>
      <c r="BQ230" t="s">
        <v>74</v>
      </c>
      <c r="BR230" t="s">
        <v>105</v>
      </c>
      <c r="BS230" t="s">
        <v>4839</v>
      </c>
      <c r="BT230" t="str">
        <f>HYPERLINK("https%3A%2F%2Fwww.webofscience.com%2Fwos%2Fwoscc%2Ffull-record%2FWOS:000409150600021","View Full Record in Web of Science")</f>
        <v>View Full Record in Web of Science</v>
      </c>
    </row>
    <row r="231" spans="1:72" x14ac:dyDescent="0.15">
      <c r="A231" t="s">
        <v>72</v>
      </c>
      <c r="B231" t="s">
        <v>4840</v>
      </c>
      <c r="C231" t="s">
        <v>74</v>
      </c>
      <c r="D231" t="s">
        <v>74</v>
      </c>
      <c r="E231" t="s">
        <v>74</v>
      </c>
      <c r="F231" t="s">
        <v>4841</v>
      </c>
      <c r="G231" t="s">
        <v>74</v>
      </c>
      <c r="H231" t="s">
        <v>74</v>
      </c>
      <c r="I231" t="s">
        <v>4842</v>
      </c>
      <c r="J231" t="s">
        <v>663</v>
      </c>
      <c r="K231" t="s">
        <v>74</v>
      </c>
      <c r="L231" t="s">
        <v>74</v>
      </c>
      <c r="M231" t="s">
        <v>78</v>
      </c>
      <c r="N231" t="s">
        <v>79</v>
      </c>
      <c r="O231" t="s">
        <v>74</v>
      </c>
      <c r="P231" t="s">
        <v>74</v>
      </c>
      <c r="Q231" t="s">
        <v>74</v>
      </c>
      <c r="R231" t="s">
        <v>74</v>
      </c>
      <c r="S231" t="s">
        <v>74</v>
      </c>
      <c r="T231" t="s">
        <v>4843</v>
      </c>
      <c r="U231" t="s">
        <v>4844</v>
      </c>
      <c r="V231" t="s">
        <v>4845</v>
      </c>
      <c r="W231" t="s">
        <v>4846</v>
      </c>
      <c r="X231" t="s">
        <v>4847</v>
      </c>
      <c r="Y231" t="s">
        <v>4848</v>
      </c>
      <c r="Z231" t="s">
        <v>4849</v>
      </c>
      <c r="AA231" t="s">
        <v>4850</v>
      </c>
      <c r="AB231" t="s">
        <v>4851</v>
      </c>
      <c r="AC231" t="s">
        <v>4852</v>
      </c>
      <c r="AD231" t="s">
        <v>4853</v>
      </c>
      <c r="AE231" t="s">
        <v>4854</v>
      </c>
      <c r="AF231" t="s">
        <v>74</v>
      </c>
      <c r="AG231">
        <v>57</v>
      </c>
      <c r="AH231">
        <v>15</v>
      </c>
      <c r="AI231">
        <v>16</v>
      </c>
      <c r="AJ231">
        <v>5</v>
      </c>
      <c r="AK231">
        <v>59</v>
      </c>
      <c r="AL231" t="s">
        <v>502</v>
      </c>
      <c r="AM231" t="s">
        <v>372</v>
      </c>
      <c r="AN231" t="s">
        <v>503</v>
      </c>
      <c r="AO231" t="s">
        <v>676</v>
      </c>
      <c r="AP231" t="s">
        <v>677</v>
      </c>
      <c r="AQ231" t="s">
        <v>74</v>
      </c>
      <c r="AR231" t="s">
        <v>678</v>
      </c>
      <c r="AS231" t="s">
        <v>679</v>
      </c>
      <c r="AT231" t="s">
        <v>4741</v>
      </c>
      <c r="AU231">
        <v>2017</v>
      </c>
      <c r="AV231">
        <v>474</v>
      </c>
      <c r="AW231" t="s">
        <v>74</v>
      </c>
      <c r="AX231" t="s">
        <v>74</v>
      </c>
      <c r="AY231" t="s">
        <v>74</v>
      </c>
      <c r="AZ231" t="s">
        <v>74</v>
      </c>
      <c r="BA231" t="s">
        <v>74</v>
      </c>
      <c r="BB231">
        <v>272</v>
      </c>
      <c r="BC231">
        <v>282</v>
      </c>
      <c r="BD231" t="s">
        <v>74</v>
      </c>
      <c r="BE231" t="s">
        <v>4855</v>
      </c>
      <c r="BF231" t="str">
        <f>HYPERLINK("http://dx.doi.org/10.1016/j.epsl.2017.06.006","http://dx.doi.org/10.1016/j.epsl.2017.06.006")</f>
        <v>http://dx.doi.org/10.1016/j.epsl.2017.06.006</v>
      </c>
      <c r="BG231" t="s">
        <v>74</v>
      </c>
      <c r="BH231" t="s">
        <v>74</v>
      </c>
      <c r="BI231">
        <v>11</v>
      </c>
      <c r="BJ231" t="s">
        <v>509</v>
      </c>
      <c r="BK231" t="s">
        <v>101</v>
      </c>
      <c r="BL231" t="s">
        <v>509</v>
      </c>
      <c r="BM231" t="s">
        <v>4838</v>
      </c>
      <c r="BN231" t="s">
        <v>74</v>
      </c>
      <c r="BO231" t="s">
        <v>511</v>
      </c>
      <c r="BP231" t="s">
        <v>74</v>
      </c>
      <c r="BQ231" t="s">
        <v>74</v>
      </c>
      <c r="BR231" t="s">
        <v>105</v>
      </c>
      <c r="BS231" t="s">
        <v>4856</v>
      </c>
      <c r="BT231" t="str">
        <f>HYPERLINK("https%3A%2F%2Fwww.webofscience.com%2Fwos%2Fwoscc%2Ffull-record%2FWOS:000409150600029","View Full Record in Web of Science")</f>
        <v>View Full Record in Web of Science</v>
      </c>
    </row>
    <row r="232" spans="1:72" x14ac:dyDescent="0.15">
      <c r="A232" t="s">
        <v>72</v>
      </c>
      <c r="B232" t="s">
        <v>4857</v>
      </c>
      <c r="C232" t="s">
        <v>74</v>
      </c>
      <c r="D232" t="s">
        <v>74</v>
      </c>
      <c r="E232" t="s">
        <v>74</v>
      </c>
      <c r="F232" t="s">
        <v>4858</v>
      </c>
      <c r="G232" t="s">
        <v>74</v>
      </c>
      <c r="H232" t="s">
        <v>74</v>
      </c>
      <c r="I232" t="s">
        <v>4859</v>
      </c>
      <c r="J232" t="s">
        <v>663</v>
      </c>
      <c r="K232" t="s">
        <v>74</v>
      </c>
      <c r="L232" t="s">
        <v>74</v>
      </c>
      <c r="M232" t="s">
        <v>78</v>
      </c>
      <c r="N232" t="s">
        <v>79</v>
      </c>
      <c r="O232" t="s">
        <v>74</v>
      </c>
      <c r="P232" t="s">
        <v>74</v>
      </c>
      <c r="Q232" t="s">
        <v>74</v>
      </c>
      <c r="R232" t="s">
        <v>74</v>
      </c>
      <c r="S232" t="s">
        <v>74</v>
      </c>
      <c r="T232" t="s">
        <v>4860</v>
      </c>
      <c r="U232" t="s">
        <v>4861</v>
      </c>
      <c r="V232" t="s">
        <v>4862</v>
      </c>
      <c r="W232" t="s">
        <v>4863</v>
      </c>
      <c r="X232" t="s">
        <v>4864</v>
      </c>
      <c r="Y232" t="s">
        <v>4865</v>
      </c>
      <c r="Z232" t="s">
        <v>4866</v>
      </c>
      <c r="AA232" t="s">
        <v>4867</v>
      </c>
      <c r="AB232" t="s">
        <v>4868</v>
      </c>
      <c r="AC232" t="s">
        <v>4869</v>
      </c>
      <c r="AD232" t="s">
        <v>4870</v>
      </c>
      <c r="AE232" t="s">
        <v>4871</v>
      </c>
      <c r="AF232" t="s">
        <v>74</v>
      </c>
      <c r="AG232">
        <v>45</v>
      </c>
      <c r="AH232">
        <v>61</v>
      </c>
      <c r="AI232">
        <v>67</v>
      </c>
      <c r="AJ232">
        <v>1</v>
      </c>
      <c r="AK232">
        <v>22</v>
      </c>
      <c r="AL232" t="s">
        <v>502</v>
      </c>
      <c r="AM232" t="s">
        <v>372</v>
      </c>
      <c r="AN232" t="s">
        <v>503</v>
      </c>
      <c r="AO232" t="s">
        <v>676</v>
      </c>
      <c r="AP232" t="s">
        <v>677</v>
      </c>
      <c r="AQ232" t="s">
        <v>74</v>
      </c>
      <c r="AR232" t="s">
        <v>678</v>
      </c>
      <c r="AS232" t="s">
        <v>679</v>
      </c>
      <c r="AT232" t="s">
        <v>4741</v>
      </c>
      <c r="AU232">
        <v>2017</v>
      </c>
      <c r="AV232">
        <v>474</v>
      </c>
      <c r="AW232" t="s">
        <v>74</v>
      </c>
      <c r="AX232" t="s">
        <v>74</v>
      </c>
      <c r="AY232" t="s">
        <v>74</v>
      </c>
      <c r="AZ232" t="s">
        <v>74</v>
      </c>
      <c r="BA232" t="s">
        <v>74</v>
      </c>
      <c r="BB232">
        <v>345</v>
      </c>
      <c r="BC232">
        <v>354</v>
      </c>
      <c r="BD232" t="s">
        <v>74</v>
      </c>
      <c r="BE232" t="s">
        <v>4872</v>
      </c>
      <c r="BF232" t="str">
        <f>HYPERLINK("http://dx.doi.org/10.1016/j.epsl.2017.06.047","http://dx.doi.org/10.1016/j.epsl.2017.06.047")</f>
        <v>http://dx.doi.org/10.1016/j.epsl.2017.06.047</v>
      </c>
      <c r="BG232" t="s">
        <v>74</v>
      </c>
      <c r="BH232" t="s">
        <v>74</v>
      </c>
      <c r="BI232">
        <v>10</v>
      </c>
      <c r="BJ232" t="s">
        <v>509</v>
      </c>
      <c r="BK232" t="s">
        <v>101</v>
      </c>
      <c r="BL232" t="s">
        <v>509</v>
      </c>
      <c r="BM232" t="s">
        <v>4838</v>
      </c>
      <c r="BN232" t="s">
        <v>74</v>
      </c>
      <c r="BO232" t="s">
        <v>4873</v>
      </c>
      <c r="BP232" t="s">
        <v>74</v>
      </c>
      <c r="BQ232" t="s">
        <v>74</v>
      </c>
      <c r="BR232" t="s">
        <v>105</v>
      </c>
      <c r="BS232" t="s">
        <v>4874</v>
      </c>
      <c r="BT232" t="str">
        <f>HYPERLINK("https%3A%2F%2Fwww.webofscience.com%2Fwos%2Fwoscc%2Ffull-record%2FWOS:000409150600035","View Full Record in Web of Science")</f>
        <v>View Full Record in Web of Science</v>
      </c>
    </row>
    <row r="233" spans="1:72" x14ac:dyDescent="0.15">
      <c r="A233" t="s">
        <v>72</v>
      </c>
      <c r="B233" t="s">
        <v>4875</v>
      </c>
      <c r="C233" t="s">
        <v>74</v>
      </c>
      <c r="D233" t="s">
        <v>74</v>
      </c>
      <c r="E233" t="s">
        <v>74</v>
      </c>
      <c r="F233" t="s">
        <v>4876</v>
      </c>
      <c r="G233" t="s">
        <v>74</v>
      </c>
      <c r="H233" t="s">
        <v>74</v>
      </c>
      <c r="I233" t="s">
        <v>4877</v>
      </c>
      <c r="J233" t="s">
        <v>663</v>
      </c>
      <c r="K233" t="s">
        <v>74</v>
      </c>
      <c r="L233" t="s">
        <v>74</v>
      </c>
      <c r="M233" t="s">
        <v>78</v>
      </c>
      <c r="N233" t="s">
        <v>79</v>
      </c>
      <c r="O233" t="s">
        <v>74</v>
      </c>
      <c r="P233" t="s">
        <v>74</v>
      </c>
      <c r="Q233" t="s">
        <v>74</v>
      </c>
      <c r="R233" t="s">
        <v>74</v>
      </c>
      <c r="S233" t="s">
        <v>74</v>
      </c>
      <c r="T233" t="s">
        <v>4878</v>
      </c>
      <c r="U233" t="s">
        <v>4879</v>
      </c>
      <c r="V233" t="s">
        <v>4880</v>
      </c>
      <c r="W233" t="s">
        <v>4881</v>
      </c>
      <c r="X233" t="s">
        <v>4882</v>
      </c>
      <c r="Y233" t="s">
        <v>4883</v>
      </c>
      <c r="Z233" t="s">
        <v>4884</v>
      </c>
      <c r="AA233" t="s">
        <v>4885</v>
      </c>
      <c r="AB233" t="s">
        <v>4886</v>
      </c>
      <c r="AC233" t="s">
        <v>4887</v>
      </c>
      <c r="AD233" t="s">
        <v>4888</v>
      </c>
      <c r="AE233" t="s">
        <v>4889</v>
      </c>
      <c r="AF233" t="s">
        <v>74</v>
      </c>
      <c r="AG233">
        <v>54</v>
      </c>
      <c r="AH233">
        <v>23</v>
      </c>
      <c r="AI233">
        <v>23</v>
      </c>
      <c r="AJ233">
        <v>1</v>
      </c>
      <c r="AK233">
        <v>28</v>
      </c>
      <c r="AL233" t="s">
        <v>502</v>
      </c>
      <c r="AM233" t="s">
        <v>372</v>
      </c>
      <c r="AN233" t="s">
        <v>503</v>
      </c>
      <c r="AO233" t="s">
        <v>676</v>
      </c>
      <c r="AP233" t="s">
        <v>677</v>
      </c>
      <c r="AQ233" t="s">
        <v>74</v>
      </c>
      <c r="AR233" t="s">
        <v>678</v>
      </c>
      <c r="AS233" t="s">
        <v>679</v>
      </c>
      <c r="AT233" t="s">
        <v>4741</v>
      </c>
      <c r="AU233">
        <v>2017</v>
      </c>
      <c r="AV233">
        <v>474</v>
      </c>
      <c r="AW233" t="s">
        <v>74</v>
      </c>
      <c r="AX233" t="s">
        <v>74</v>
      </c>
      <c r="AY233" t="s">
        <v>74</v>
      </c>
      <c r="AZ233" t="s">
        <v>74</v>
      </c>
      <c r="BA233" t="s">
        <v>74</v>
      </c>
      <c r="BB233">
        <v>397</v>
      </c>
      <c r="BC233">
        <v>408</v>
      </c>
      <c r="BD233" t="s">
        <v>74</v>
      </c>
      <c r="BE233" t="s">
        <v>4890</v>
      </c>
      <c r="BF233" t="str">
        <f>HYPERLINK("http://dx.doi.org/10.1016/j.epsl.2017.07.004","http://dx.doi.org/10.1016/j.epsl.2017.07.004")</f>
        <v>http://dx.doi.org/10.1016/j.epsl.2017.07.004</v>
      </c>
      <c r="BG233" t="s">
        <v>74</v>
      </c>
      <c r="BH233" t="s">
        <v>74</v>
      </c>
      <c r="BI233">
        <v>12</v>
      </c>
      <c r="BJ233" t="s">
        <v>509</v>
      </c>
      <c r="BK233" t="s">
        <v>101</v>
      </c>
      <c r="BL233" t="s">
        <v>509</v>
      </c>
      <c r="BM233" t="s">
        <v>4838</v>
      </c>
      <c r="BN233" t="s">
        <v>74</v>
      </c>
      <c r="BO233" t="s">
        <v>1240</v>
      </c>
      <c r="BP233" t="s">
        <v>74</v>
      </c>
      <c r="BQ233" t="s">
        <v>74</v>
      </c>
      <c r="BR233" t="s">
        <v>105</v>
      </c>
      <c r="BS233" t="s">
        <v>4891</v>
      </c>
      <c r="BT233" t="str">
        <f>HYPERLINK("https%3A%2F%2Fwww.webofscience.com%2Fwos%2Fwoscc%2Ffull-record%2FWOS:000409150600040","View Full Record in Web of Science")</f>
        <v>View Full Record in Web of Science</v>
      </c>
    </row>
    <row r="234" spans="1:72" x14ac:dyDescent="0.15">
      <c r="A234" t="s">
        <v>72</v>
      </c>
      <c r="B234" t="s">
        <v>4892</v>
      </c>
      <c r="C234" t="s">
        <v>74</v>
      </c>
      <c r="D234" t="s">
        <v>74</v>
      </c>
      <c r="E234" t="s">
        <v>74</v>
      </c>
      <c r="F234" t="s">
        <v>4893</v>
      </c>
      <c r="G234" t="s">
        <v>74</v>
      </c>
      <c r="H234" t="s">
        <v>74</v>
      </c>
      <c r="I234" t="s">
        <v>4894</v>
      </c>
      <c r="J234" t="s">
        <v>4895</v>
      </c>
      <c r="K234" t="s">
        <v>74</v>
      </c>
      <c r="L234" t="s">
        <v>74</v>
      </c>
      <c r="M234" t="s">
        <v>78</v>
      </c>
      <c r="N234" t="s">
        <v>79</v>
      </c>
      <c r="O234" t="s">
        <v>74</v>
      </c>
      <c r="P234" t="s">
        <v>74</v>
      </c>
      <c r="Q234" t="s">
        <v>74</v>
      </c>
      <c r="R234" t="s">
        <v>74</v>
      </c>
      <c r="S234" t="s">
        <v>74</v>
      </c>
      <c r="T234" t="s">
        <v>4896</v>
      </c>
      <c r="U234" t="s">
        <v>4897</v>
      </c>
      <c r="V234" t="s">
        <v>4898</v>
      </c>
      <c r="W234" t="s">
        <v>4899</v>
      </c>
      <c r="X234" t="s">
        <v>4900</v>
      </c>
      <c r="Y234" t="s">
        <v>4901</v>
      </c>
      <c r="Z234" t="s">
        <v>4902</v>
      </c>
      <c r="AA234" t="s">
        <v>4903</v>
      </c>
      <c r="AB234" t="s">
        <v>4904</v>
      </c>
      <c r="AC234" t="s">
        <v>4905</v>
      </c>
      <c r="AD234" t="s">
        <v>4906</v>
      </c>
      <c r="AE234" t="s">
        <v>4907</v>
      </c>
      <c r="AF234" t="s">
        <v>74</v>
      </c>
      <c r="AG234">
        <v>69</v>
      </c>
      <c r="AH234">
        <v>10</v>
      </c>
      <c r="AI234">
        <v>11</v>
      </c>
      <c r="AJ234">
        <v>1</v>
      </c>
      <c r="AK234">
        <v>36</v>
      </c>
      <c r="AL234" t="s">
        <v>1981</v>
      </c>
      <c r="AM234" t="s">
        <v>729</v>
      </c>
      <c r="AN234" t="s">
        <v>1982</v>
      </c>
      <c r="AO234" t="s">
        <v>4908</v>
      </c>
      <c r="AP234" t="s">
        <v>4909</v>
      </c>
      <c r="AQ234" t="s">
        <v>74</v>
      </c>
      <c r="AR234" t="s">
        <v>4910</v>
      </c>
      <c r="AS234" t="s">
        <v>4911</v>
      </c>
      <c r="AT234" t="s">
        <v>4741</v>
      </c>
      <c r="AU234">
        <v>2017</v>
      </c>
      <c r="AV234">
        <v>452</v>
      </c>
      <c r="AW234" t="s">
        <v>74</v>
      </c>
      <c r="AX234" t="s">
        <v>74</v>
      </c>
      <c r="AY234" t="s">
        <v>74</v>
      </c>
      <c r="AZ234" t="s">
        <v>74</v>
      </c>
      <c r="BA234" t="s">
        <v>74</v>
      </c>
      <c r="BB234">
        <v>1</v>
      </c>
      <c r="BC234">
        <v>11</v>
      </c>
      <c r="BD234" t="s">
        <v>74</v>
      </c>
      <c r="BE234" t="s">
        <v>4912</v>
      </c>
      <c r="BF234" t="str">
        <f>HYPERLINK("http://dx.doi.org/10.1016/j.quaint.2017.06.021","http://dx.doi.org/10.1016/j.quaint.2017.06.021")</f>
        <v>http://dx.doi.org/10.1016/j.quaint.2017.06.021</v>
      </c>
      <c r="BG234" t="s">
        <v>74</v>
      </c>
      <c r="BH234" t="s">
        <v>74</v>
      </c>
      <c r="BI234">
        <v>11</v>
      </c>
      <c r="BJ234" t="s">
        <v>319</v>
      </c>
      <c r="BK234" t="s">
        <v>101</v>
      </c>
      <c r="BL234" t="s">
        <v>320</v>
      </c>
      <c r="BM234" t="s">
        <v>4913</v>
      </c>
      <c r="BN234" t="s">
        <v>74</v>
      </c>
      <c r="BO234" t="s">
        <v>74</v>
      </c>
      <c r="BP234" t="s">
        <v>74</v>
      </c>
      <c r="BQ234" t="s">
        <v>74</v>
      </c>
      <c r="BR234" t="s">
        <v>105</v>
      </c>
      <c r="BS234" t="s">
        <v>4914</v>
      </c>
      <c r="BT234" t="str">
        <f>HYPERLINK("https%3A%2F%2Fwww.webofscience.com%2Fwos%2Fwoscc%2Ffull-record%2FWOS:000409352600001","View Full Record in Web of Science")</f>
        <v>View Full Record in Web of Science</v>
      </c>
    </row>
    <row r="235" spans="1:72" x14ac:dyDescent="0.15">
      <c r="A235" t="s">
        <v>72</v>
      </c>
      <c r="B235" t="s">
        <v>4915</v>
      </c>
      <c r="C235" t="s">
        <v>74</v>
      </c>
      <c r="D235" t="s">
        <v>74</v>
      </c>
      <c r="E235" t="s">
        <v>74</v>
      </c>
      <c r="F235" t="s">
        <v>4916</v>
      </c>
      <c r="G235" t="s">
        <v>74</v>
      </c>
      <c r="H235" t="s">
        <v>74</v>
      </c>
      <c r="I235" t="s">
        <v>4917</v>
      </c>
      <c r="J235" t="s">
        <v>4918</v>
      </c>
      <c r="K235" t="s">
        <v>74</v>
      </c>
      <c r="L235" t="s">
        <v>74</v>
      </c>
      <c r="M235" t="s">
        <v>78</v>
      </c>
      <c r="N235" t="s">
        <v>79</v>
      </c>
      <c r="O235" t="s">
        <v>74</v>
      </c>
      <c r="P235" t="s">
        <v>74</v>
      </c>
      <c r="Q235" t="s">
        <v>74</v>
      </c>
      <c r="R235" t="s">
        <v>74</v>
      </c>
      <c r="S235" t="s">
        <v>74</v>
      </c>
      <c r="T235" t="s">
        <v>4919</v>
      </c>
      <c r="U235" t="s">
        <v>4920</v>
      </c>
      <c r="V235" t="s">
        <v>4921</v>
      </c>
      <c r="W235" t="s">
        <v>4922</v>
      </c>
      <c r="X235" t="s">
        <v>4923</v>
      </c>
      <c r="Y235" t="s">
        <v>4924</v>
      </c>
      <c r="Z235" t="s">
        <v>4925</v>
      </c>
      <c r="AA235" t="s">
        <v>4926</v>
      </c>
      <c r="AB235" t="s">
        <v>4927</v>
      </c>
      <c r="AC235" t="s">
        <v>4928</v>
      </c>
      <c r="AD235" t="s">
        <v>4929</v>
      </c>
      <c r="AE235" t="s">
        <v>4930</v>
      </c>
      <c r="AF235" t="s">
        <v>74</v>
      </c>
      <c r="AG235">
        <v>73</v>
      </c>
      <c r="AH235">
        <v>6</v>
      </c>
      <c r="AI235">
        <v>7</v>
      </c>
      <c r="AJ235">
        <v>1</v>
      </c>
      <c r="AK235">
        <v>38</v>
      </c>
      <c r="AL235" t="s">
        <v>371</v>
      </c>
      <c r="AM235" t="s">
        <v>372</v>
      </c>
      <c r="AN235" t="s">
        <v>373</v>
      </c>
      <c r="AO235" t="s">
        <v>4931</v>
      </c>
      <c r="AP235" t="s">
        <v>4932</v>
      </c>
      <c r="AQ235" t="s">
        <v>74</v>
      </c>
      <c r="AR235" t="s">
        <v>4933</v>
      </c>
      <c r="AS235" t="s">
        <v>4934</v>
      </c>
      <c r="AT235" t="s">
        <v>4741</v>
      </c>
      <c r="AU235">
        <v>2017</v>
      </c>
      <c r="AV235">
        <v>146</v>
      </c>
      <c r="AW235" t="s">
        <v>74</v>
      </c>
      <c r="AX235" t="s">
        <v>74</v>
      </c>
      <c r="AY235" t="s">
        <v>74</v>
      </c>
      <c r="AZ235" t="s">
        <v>74</v>
      </c>
      <c r="BA235" t="s">
        <v>74</v>
      </c>
      <c r="BB235">
        <v>371</v>
      </c>
      <c r="BC235">
        <v>379</v>
      </c>
      <c r="BD235" t="s">
        <v>74</v>
      </c>
      <c r="BE235" t="s">
        <v>4935</v>
      </c>
      <c r="BF235" t="str">
        <f>HYPERLINK("http://dx.doi.org/10.1016/j.clay.2017.06.020","http://dx.doi.org/10.1016/j.clay.2017.06.020")</f>
        <v>http://dx.doi.org/10.1016/j.clay.2017.06.020</v>
      </c>
      <c r="BG235" t="s">
        <v>74</v>
      </c>
      <c r="BH235" t="s">
        <v>74</v>
      </c>
      <c r="BI235">
        <v>9</v>
      </c>
      <c r="BJ235" t="s">
        <v>4936</v>
      </c>
      <c r="BK235" t="s">
        <v>101</v>
      </c>
      <c r="BL235" t="s">
        <v>4937</v>
      </c>
      <c r="BM235" t="s">
        <v>4938</v>
      </c>
      <c r="BN235" t="s">
        <v>74</v>
      </c>
      <c r="BO235" t="s">
        <v>74</v>
      </c>
      <c r="BP235" t="s">
        <v>74</v>
      </c>
      <c r="BQ235" t="s">
        <v>74</v>
      </c>
      <c r="BR235" t="s">
        <v>105</v>
      </c>
      <c r="BS235" t="s">
        <v>4939</v>
      </c>
      <c r="BT235" t="str">
        <f>HYPERLINK("https%3A%2F%2Fwww.webofscience.com%2Fwos%2Fwoscc%2Ffull-record%2FWOS:000407655000047","View Full Record in Web of Science")</f>
        <v>View Full Record in Web of Science</v>
      </c>
    </row>
    <row r="236" spans="1:72" x14ac:dyDescent="0.15">
      <c r="A236" t="s">
        <v>72</v>
      </c>
      <c r="B236" t="s">
        <v>4940</v>
      </c>
      <c r="C236" t="s">
        <v>74</v>
      </c>
      <c r="D236" t="s">
        <v>74</v>
      </c>
      <c r="E236" t="s">
        <v>74</v>
      </c>
      <c r="F236" t="s">
        <v>4941</v>
      </c>
      <c r="G236" t="s">
        <v>74</v>
      </c>
      <c r="H236" t="s">
        <v>74</v>
      </c>
      <c r="I236" t="s">
        <v>4942</v>
      </c>
      <c r="J236" t="s">
        <v>4721</v>
      </c>
      <c r="K236" t="s">
        <v>74</v>
      </c>
      <c r="L236" t="s">
        <v>74</v>
      </c>
      <c r="M236" t="s">
        <v>78</v>
      </c>
      <c r="N236" t="s">
        <v>4722</v>
      </c>
      <c r="O236" t="s">
        <v>4723</v>
      </c>
      <c r="P236" t="s">
        <v>4724</v>
      </c>
      <c r="Q236" t="s">
        <v>4725</v>
      </c>
      <c r="R236" t="s">
        <v>74</v>
      </c>
      <c r="S236" t="s">
        <v>74</v>
      </c>
      <c r="T236" t="s">
        <v>4943</v>
      </c>
      <c r="U236" t="s">
        <v>4944</v>
      </c>
      <c r="V236" t="s">
        <v>4945</v>
      </c>
      <c r="W236" t="s">
        <v>4946</v>
      </c>
      <c r="X236" t="s">
        <v>4947</v>
      </c>
      <c r="Y236" t="s">
        <v>4948</v>
      </c>
      <c r="Z236" t="s">
        <v>4949</v>
      </c>
      <c r="AA236" t="s">
        <v>4950</v>
      </c>
      <c r="AB236" t="s">
        <v>4951</v>
      </c>
      <c r="AC236" t="s">
        <v>4952</v>
      </c>
      <c r="AD236" t="s">
        <v>4953</v>
      </c>
      <c r="AE236" t="s">
        <v>4954</v>
      </c>
      <c r="AF236" t="s">
        <v>74</v>
      </c>
      <c r="AG236">
        <v>88</v>
      </c>
      <c r="AH236">
        <v>13</v>
      </c>
      <c r="AI236">
        <v>14</v>
      </c>
      <c r="AJ236">
        <v>1</v>
      </c>
      <c r="AK236">
        <v>18</v>
      </c>
      <c r="AL236" t="s">
        <v>371</v>
      </c>
      <c r="AM236" t="s">
        <v>372</v>
      </c>
      <c r="AN236" t="s">
        <v>373</v>
      </c>
      <c r="AO236" t="s">
        <v>4738</v>
      </c>
      <c r="AP236" t="s">
        <v>4739</v>
      </c>
      <c r="AQ236" t="s">
        <v>74</v>
      </c>
      <c r="AR236" t="s">
        <v>4721</v>
      </c>
      <c r="AS236" t="s">
        <v>4740</v>
      </c>
      <c r="AT236" t="s">
        <v>4741</v>
      </c>
      <c r="AU236">
        <v>2017</v>
      </c>
      <c r="AV236">
        <v>293</v>
      </c>
      <c r="AW236" t="s">
        <v>74</v>
      </c>
      <c r="AX236" t="s">
        <v>3721</v>
      </c>
      <c r="AY236" t="s">
        <v>74</v>
      </c>
      <c r="AZ236" t="s">
        <v>74</v>
      </c>
      <c r="BA236" t="s">
        <v>74</v>
      </c>
      <c r="BB236">
        <v>448</v>
      </c>
      <c r="BC236">
        <v>459</v>
      </c>
      <c r="BD236" t="s">
        <v>74</v>
      </c>
      <c r="BE236" t="s">
        <v>4955</v>
      </c>
      <c r="BF236" t="str">
        <f>HYPERLINK("http://dx.doi.org/10.1016/j.geomorph.2016.09.031","http://dx.doi.org/10.1016/j.geomorph.2016.09.031")</f>
        <v>http://dx.doi.org/10.1016/j.geomorph.2016.09.031</v>
      </c>
      <c r="BG236" t="s">
        <v>74</v>
      </c>
      <c r="BH236" t="s">
        <v>74</v>
      </c>
      <c r="BI236">
        <v>12</v>
      </c>
      <c r="BJ236" t="s">
        <v>319</v>
      </c>
      <c r="BK236" t="s">
        <v>1347</v>
      </c>
      <c r="BL236" t="s">
        <v>320</v>
      </c>
      <c r="BM236" t="s">
        <v>4743</v>
      </c>
      <c r="BN236" t="s">
        <v>74</v>
      </c>
      <c r="BO236" t="s">
        <v>786</v>
      </c>
      <c r="BP236" t="s">
        <v>74</v>
      </c>
      <c r="BQ236" t="s">
        <v>74</v>
      </c>
      <c r="BR236" t="s">
        <v>105</v>
      </c>
      <c r="BS236" t="s">
        <v>4956</v>
      </c>
      <c r="BT236" t="str">
        <f>HYPERLINK("https%3A%2F%2Fwww.webofscience.com%2Fwos%2Fwoscc%2Ffull-record%2FWOS:000430527000012","View Full Record in Web of Science")</f>
        <v>View Full Record in Web of Science</v>
      </c>
    </row>
    <row r="237" spans="1:72" x14ac:dyDescent="0.15">
      <c r="A237" t="s">
        <v>72</v>
      </c>
      <c r="B237" t="s">
        <v>4957</v>
      </c>
      <c r="C237" t="s">
        <v>74</v>
      </c>
      <c r="D237" t="s">
        <v>74</v>
      </c>
      <c r="E237" t="s">
        <v>74</v>
      </c>
      <c r="F237" t="s">
        <v>4958</v>
      </c>
      <c r="G237" t="s">
        <v>74</v>
      </c>
      <c r="H237" t="s">
        <v>74</v>
      </c>
      <c r="I237" t="s">
        <v>4959</v>
      </c>
      <c r="J237" t="s">
        <v>4960</v>
      </c>
      <c r="K237" t="s">
        <v>74</v>
      </c>
      <c r="L237" t="s">
        <v>74</v>
      </c>
      <c r="M237" t="s">
        <v>78</v>
      </c>
      <c r="N237" t="s">
        <v>79</v>
      </c>
      <c r="O237" t="s">
        <v>74</v>
      </c>
      <c r="P237" t="s">
        <v>74</v>
      </c>
      <c r="Q237" t="s">
        <v>74</v>
      </c>
      <c r="R237" t="s">
        <v>74</v>
      </c>
      <c r="S237" t="s">
        <v>74</v>
      </c>
      <c r="T237" t="s">
        <v>4961</v>
      </c>
      <c r="U237" t="s">
        <v>4962</v>
      </c>
      <c r="V237" t="s">
        <v>4963</v>
      </c>
      <c r="W237" t="s">
        <v>4964</v>
      </c>
      <c r="X237" t="s">
        <v>4965</v>
      </c>
      <c r="Y237" t="s">
        <v>4966</v>
      </c>
      <c r="Z237" t="s">
        <v>4967</v>
      </c>
      <c r="AA237" t="s">
        <v>4968</v>
      </c>
      <c r="AB237" t="s">
        <v>74</v>
      </c>
      <c r="AC237" t="s">
        <v>4969</v>
      </c>
      <c r="AD237" t="s">
        <v>4970</v>
      </c>
      <c r="AE237" t="s">
        <v>4971</v>
      </c>
      <c r="AF237" t="s">
        <v>74</v>
      </c>
      <c r="AG237">
        <v>11</v>
      </c>
      <c r="AH237">
        <v>194</v>
      </c>
      <c r="AI237">
        <v>213</v>
      </c>
      <c r="AJ237">
        <v>5</v>
      </c>
      <c r="AK237">
        <v>169</v>
      </c>
      <c r="AL237" t="s">
        <v>1981</v>
      </c>
      <c r="AM237" t="s">
        <v>729</v>
      </c>
      <c r="AN237" t="s">
        <v>1982</v>
      </c>
      <c r="AO237" t="s">
        <v>4972</v>
      </c>
      <c r="AP237" t="s">
        <v>4973</v>
      </c>
      <c r="AQ237" t="s">
        <v>74</v>
      </c>
      <c r="AR237" t="s">
        <v>4974</v>
      </c>
      <c r="AS237" t="s">
        <v>4975</v>
      </c>
      <c r="AT237" t="s">
        <v>4741</v>
      </c>
      <c r="AU237">
        <v>2017</v>
      </c>
      <c r="AV237">
        <v>122</v>
      </c>
      <c r="AW237" t="s">
        <v>4976</v>
      </c>
      <c r="AX237" t="s">
        <v>74</v>
      </c>
      <c r="AY237" t="s">
        <v>74</v>
      </c>
      <c r="AZ237" t="s">
        <v>74</v>
      </c>
      <c r="BA237" t="s">
        <v>74</v>
      </c>
      <c r="BB237">
        <v>161</v>
      </c>
      <c r="BC237">
        <v>165</v>
      </c>
      <c r="BD237" t="s">
        <v>74</v>
      </c>
      <c r="BE237" t="s">
        <v>4977</v>
      </c>
      <c r="BF237" t="str">
        <f>HYPERLINK("http://dx.doi.org/10.1016/j.marpolbul.2017.06.039","http://dx.doi.org/10.1016/j.marpolbul.2017.06.039")</f>
        <v>http://dx.doi.org/10.1016/j.marpolbul.2017.06.039</v>
      </c>
      <c r="BG237" t="s">
        <v>74</v>
      </c>
      <c r="BH237" t="s">
        <v>74</v>
      </c>
      <c r="BI237">
        <v>5</v>
      </c>
      <c r="BJ237" t="s">
        <v>4978</v>
      </c>
      <c r="BK237" t="s">
        <v>101</v>
      </c>
      <c r="BL237" t="s">
        <v>4979</v>
      </c>
      <c r="BM237" t="s">
        <v>4980</v>
      </c>
      <c r="BN237">
        <v>28645759</v>
      </c>
      <c r="BO237" t="s">
        <v>2091</v>
      </c>
      <c r="BP237" t="s">
        <v>74</v>
      </c>
      <c r="BQ237" t="s">
        <v>74</v>
      </c>
      <c r="BR237" t="s">
        <v>105</v>
      </c>
      <c r="BS237" t="s">
        <v>4981</v>
      </c>
      <c r="BT237" t="str">
        <f>HYPERLINK("https%3A%2F%2Fwww.webofscience.com%2Fwos%2Fwoscc%2Ffull-record%2FWOS:000408076900029","View Full Record in Web of Science")</f>
        <v>View Full Record in Web of Science</v>
      </c>
    </row>
    <row r="238" spans="1:72" x14ac:dyDescent="0.15">
      <c r="A238" t="s">
        <v>72</v>
      </c>
      <c r="B238" t="s">
        <v>4982</v>
      </c>
      <c r="C238" t="s">
        <v>74</v>
      </c>
      <c r="D238" t="s">
        <v>74</v>
      </c>
      <c r="E238" t="s">
        <v>74</v>
      </c>
      <c r="F238" t="s">
        <v>4983</v>
      </c>
      <c r="G238" t="s">
        <v>74</v>
      </c>
      <c r="H238" t="s">
        <v>74</v>
      </c>
      <c r="I238" t="s">
        <v>4984</v>
      </c>
      <c r="J238" t="s">
        <v>4985</v>
      </c>
      <c r="K238" t="s">
        <v>74</v>
      </c>
      <c r="L238" t="s">
        <v>74</v>
      </c>
      <c r="M238" t="s">
        <v>78</v>
      </c>
      <c r="N238" t="s">
        <v>79</v>
      </c>
      <c r="O238" t="s">
        <v>74</v>
      </c>
      <c r="P238" t="s">
        <v>74</v>
      </c>
      <c r="Q238" t="s">
        <v>74</v>
      </c>
      <c r="R238" t="s">
        <v>74</v>
      </c>
      <c r="S238" t="s">
        <v>74</v>
      </c>
      <c r="T238" t="s">
        <v>4986</v>
      </c>
      <c r="U238" t="s">
        <v>4987</v>
      </c>
      <c r="V238" t="s">
        <v>4988</v>
      </c>
      <c r="W238" t="s">
        <v>4989</v>
      </c>
      <c r="X238" t="s">
        <v>4990</v>
      </c>
      <c r="Y238" t="s">
        <v>4991</v>
      </c>
      <c r="Z238" t="s">
        <v>4992</v>
      </c>
      <c r="AA238" t="s">
        <v>4993</v>
      </c>
      <c r="AB238" t="s">
        <v>4994</v>
      </c>
      <c r="AC238" t="s">
        <v>74</v>
      </c>
      <c r="AD238" t="s">
        <v>74</v>
      </c>
      <c r="AE238" t="s">
        <v>74</v>
      </c>
      <c r="AF238" t="s">
        <v>74</v>
      </c>
      <c r="AG238">
        <v>62</v>
      </c>
      <c r="AH238">
        <v>15</v>
      </c>
      <c r="AI238">
        <v>16</v>
      </c>
      <c r="AJ238">
        <v>2</v>
      </c>
      <c r="AK238">
        <v>45</v>
      </c>
      <c r="AL238" t="s">
        <v>371</v>
      </c>
      <c r="AM238" t="s">
        <v>372</v>
      </c>
      <c r="AN238" t="s">
        <v>373</v>
      </c>
      <c r="AO238" t="s">
        <v>4995</v>
      </c>
      <c r="AP238" t="s">
        <v>4996</v>
      </c>
      <c r="AQ238" t="s">
        <v>74</v>
      </c>
      <c r="AR238" t="s">
        <v>4997</v>
      </c>
      <c r="AS238" t="s">
        <v>4998</v>
      </c>
      <c r="AT238" t="s">
        <v>4741</v>
      </c>
      <c r="AU238">
        <v>2017</v>
      </c>
      <c r="AV238">
        <v>400</v>
      </c>
      <c r="AW238" t="s">
        <v>74</v>
      </c>
      <c r="AX238" t="s">
        <v>74</v>
      </c>
      <c r="AY238" t="s">
        <v>74</v>
      </c>
      <c r="AZ238" t="s">
        <v>74</v>
      </c>
      <c r="BA238" t="s">
        <v>74</v>
      </c>
      <c r="BB238">
        <v>173</v>
      </c>
      <c r="BC238">
        <v>180</v>
      </c>
      <c r="BD238" t="s">
        <v>74</v>
      </c>
      <c r="BE238" t="s">
        <v>4999</v>
      </c>
      <c r="BF238" t="str">
        <f>HYPERLINK("http://dx.doi.org/10.1016/j.foreco.2017.06.014","http://dx.doi.org/10.1016/j.foreco.2017.06.014")</f>
        <v>http://dx.doi.org/10.1016/j.foreco.2017.06.014</v>
      </c>
      <c r="BG238" t="s">
        <v>74</v>
      </c>
      <c r="BH238" t="s">
        <v>74</v>
      </c>
      <c r="BI238">
        <v>8</v>
      </c>
      <c r="BJ238" t="s">
        <v>5000</v>
      </c>
      <c r="BK238" t="s">
        <v>101</v>
      </c>
      <c r="BL238" t="s">
        <v>5000</v>
      </c>
      <c r="BM238" t="s">
        <v>5001</v>
      </c>
      <c r="BN238" t="s">
        <v>74</v>
      </c>
      <c r="BO238" t="s">
        <v>74</v>
      </c>
      <c r="BP238" t="s">
        <v>74</v>
      </c>
      <c r="BQ238" t="s">
        <v>74</v>
      </c>
      <c r="BR238" t="s">
        <v>105</v>
      </c>
      <c r="BS238" t="s">
        <v>5002</v>
      </c>
      <c r="BT238" t="str">
        <f>HYPERLINK("https%3A%2F%2Fwww.webofscience.com%2Fwos%2Fwoscc%2Ffull-record%2FWOS:000406732100019","View Full Record in Web of Science")</f>
        <v>View Full Record in Web of Science</v>
      </c>
    </row>
    <row r="239" spans="1:72" x14ac:dyDescent="0.15">
      <c r="A239" t="s">
        <v>72</v>
      </c>
      <c r="B239" t="s">
        <v>5003</v>
      </c>
      <c r="C239" t="s">
        <v>74</v>
      </c>
      <c r="D239" t="s">
        <v>74</v>
      </c>
      <c r="E239" t="s">
        <v>74</v>
      </c>
      <c r="F239" t="s">
        <v>5004</v>
      </c>
      <c r="G239" t="s">
        <v>74</v>
      </c>
      <c r="H239" t="s">
        <v>74</v>
      </c>
      <c r="I239" t="s">
        <v>5005</v>
      </c>
      <c r="J239" t="s">
        <v>743</v>
      </c>
      <c r="K239" t="s">
        <v>74</v>
      </c>
      <c r="L239" t="s">
        <v>74</v>
      </c>
      <c r="M239" t="s">
        <v>78</v>
      </c>
      <c r="N239" t="s">
        <v>79</v>
      </c>
      <c r="O239" t="s">
        <v>74</v>
      </c>
      <c r="P239" t="s">
        <v>74</v>
      </c>
      <c r="Q239" t="s">
        <v>74</v>
      </c>
      <c r="R239" t="s">
        <v>74</v>
      </c>
      <c r="S239" t="s">
        <v>74</v>
      </c>
      <c r="T239" t="s">
        <v>5006</v>
      </c>
      <c r="U239" t="s">
        <v>5007</v>
      </c>
      <c r="V239" t="s">
        <v>5008</v>
      </c>
      <c r="W239" t="s">
        <v>5009</v>
      </c>
      <c r="X239" t="s">
        <v>5010</v>
      </c>
      <c r="Y239" t="s">
        <v>5011</v>
      </c>
      <c r="Z239" t="s">
        <v>5012</v>
      </c>
      <c r="AA239" t="s">
        <v>5013</v>
      </c>
      <c r="AB239" t="s">
        <v>5014</v>
      </c>
      <c r="AC239" t="s">
        <v>5015</v>
      </c>
      <c r="AD239" t="s">
        <v>5016</v>
      </c>
      <c r="AE239" t="s">
        <v>5017</v>
      </c>
      <c r="AF239" t="s">
        <v>74</v>
      </c>
      <c r="AG239">
        <v>100</v>
      </c>
      <c r="AH239">
        <v>26</v>
      </c>
      <c r="AI239">
        <v>27</v>
      </c>
      <c r="AJ239">
        <v>2</v>
      </c>
      <c r="AK239">
        <v>23</v>
      </c>
      <c r="AL239" t="s">
        <v>755</v>
      </c>
      <c r="AM239" t="s">
        <v>756</v>
      </c>
      <c r="AN239" t="s">
        <v>757</v>
      </c>
      <c r="AO239" t="s">
        <v>758</v>
      </c>
      <c r="AP239" t="s">
        <v>759</v>
      </c>
      <c r="AQ239" t="s">
        <v>74</v>
      </c>
      <c r="AR239" t="s">
        <v>760</v>
      </c>
      <c r="AS239" t="s">
        <v>761</v>
      </c>
      <c r="AT239" t="s">
        <v>5018</v>
      </c>
      <c r="AU239">
        <v>2017</v>
      </c>
      <c r="AV239">
        <v>579</v>
      </c>
      <c r="AW239" t="s">
        <v>74</v>
      </c>
      <c r="AX239" t="s">
        <v>74</v>
      </c>
      <c r="AY239" t="s">
        <v>74</v>
      </c>
      <c r="AZ239" t="s">
        <v>74</v>
      </c>
      <c r="BA239" t="s">
        <v>74</v>
      </c>
      <c r="BB239">
        <v>139</v>
      </c>
      <c r="BC239">
        <v>155</v>
      </c>
      <c r="BD239" t="s">
        <v>74</v>
      </c>
      <c r="BE239" t="s">
        <v>5019</v>
      </c>
      <c r="BF239" t="str">
        <f>HYPERLINK("http://dx.doi.org/10.3354/meps12244","http://dx.doi.org/10.3354/meps12244")</f>
        <v>http://dx.doi.org/10.3354/meps12244</v>
      </c>
      <c r="BG239" t="s">
        <v>74</v>
      </c>
      <c r="BH239" t="s">
        <v>74</v>
      </c>
      <c r="BI239">
        <v>17</v>
      </c>
      <c r="BJ239" t="s">
        <v>764</v>
      </c>
      <c r="BK239" t="s">
        <v>101</v>
      </c>
      <c r="BL239" t="s">
        <v>766</v>
      </c>
      <c r="BM239" t="s">
        <v>5020</v>
      </c>
      <c r="BN239" t="s">
        <v>74</v>
      </c>
      <c r="BO239" t="s">
        <v>5021</v>
      </c>
      <c r="BP239" t="s">
        <v>74</v>
      </c>
      <c r="BQ239" t="s">
        <v>74</v>
      </c>
      <c r="BR239" t="s">
        <v>105</v>
      </c>
      <c r="BS239" t="s">
        <v>5022</v>
      </c>
      <c r="BT239" t="str">
        <f>HYPERLINK("https%3A%2F%2Fwww.webofscience.com%2Fwos%2Fwoscc%2Ffull-record%2FWOS:000419090800010","View Full Record in Web of Science")</f>
        <v>View Full Record in Web of Science</v>
      </c>
    </row>
    <row r="240" spans="1:72" x14ac:dyDescent="0.15">
      <c r="A240" t="s">
        <v>72</v>
      </c>
      <c r="B240" t="s">
        <v>5023</v>
      </c>
      <c r="C240" t="s">
        <v>74</v>
      </c>
      <c r="D240" t="s">
        <v>74</v>
      </c>
      <c r="E240" t="s">
        <v>74</v>
      </c>
      <c r="F240" t="s">
        <v>5024</v>
      </c>
      <c r="G240" t="s">
        <v>74</v>
      </c>
      <c r="H240" t="s">
        <v>74</v>
      </c>
      <c r="I240" t="s">
        <v>5025</v>
      </c>
      <c r="J240" t="s">
        <v>743</v>
      </c>
      <c r="K240" t="s">
        <v>74</v>
      </c>
      <c r="L240" t="s">
        <v>74</v>
      </c>
      <c r="M240" t="s">
        <v>78</v>
      </c>
      <c r="N240" t="s">
        <v>79</v>
      </c>
      <c r="O240" t="s">
        <v>74</v>
      </c>
      <c r="P240" t="s">
        <v>74</v>
      </c>
      <c r="Q240" t="s">
        <v>74</v>
      </c>
      <c r="R240" t="s">
        <v>74</v>
      </c>
      <c r="S240" t="s">
        <v>74</v>
      </c>
      <c r="T240" t="s">
        <v>5026</v>
      </c>
      <c r="U240" t="s">
        <v>5027</v>
      </c>
      <c r="V240" t="s">
        <v>5028</v>
      </c>
      <c r="W240" t="s">
        <v>5029</v>
      </c>
      <c r="X240" t="s">
        <v>5030</v>
      </c>
      <c r="Y240" t="s">
        <v>5031</v>
      </c>
      <c r="Z240" t="s">
        <v>5032</v>
      </c>
      <c r="AA240" t="s">
        <v>5033</v>
      </c>
      <c r="AB240" t="s">
        <v>5034</v>
      </c>
      <c r="AC240" t="s">
        <v>5035</v>
      </c>
      <c r="AD240" t="s">
        <v>5036</v>
      </c>
      <c r="AE240" t="s">
        <v>5037</v>
      </c>
      <c r="AF240" t="s">
        <v>74</v>
      </c>
      <c r="AG240">
        <v>80</v>
      </c>
      <c r="AH240">
        <v>11</v>
      </c>
      <c r="AI240">
        <v>11</v>
      </c>
      <c r="AJ240">
        <v>2</v>
      </c>
      <c r="AK240">
        <v>29</v>
      </c>
      <c r="AL240" t="s">
        <v>755</v>
      </c>
      <c r="AM240" t="s">
        <v>756</v>
      </c>
      <c r="AN240" t="s">
        <v>757</v>
      </c>
      <c r="AO240" t="s">
        <v>758</v>
      </c>
      <c r="AP240" t="s">
        <v>759</v>
      </c>
      <c r="AQ240" t="s">
        <v>74</v>
      </c>
      <c r="AR240" t="s">
        <v>760</v>
      </c>
      <c r="AS240" t="s">
        <v>761</v>
      </c>
      <c r="AT240" t="s">
        <v>5018</v>
      </c>
      <c r="AU240">
        <v>2017</v>
      </c>
      <c r="AV240">
        <v>579</v>
      </c>
      <c r="AW240" t="s">
        <v>74</v>
      </c>
      <c r="AX240" t="s">
        <v>74</v>
      </c>
      <c r="AY240" t="s">
        <v>74</v>
      </c>
      <c r="AZ240" t="s">
        <v>74</v>
      </c>
      <c r="BA240" t="s">
        <v>74</v>
      </c>
      <c r="BB240">
        <v>185</v>
      </c>
      <c r="BC240">
        <v>199</v>
      </c>
      <c r="BD240" t="s">
        <v>74</v>
      </c>
      <c r="BE240" t="s">
        <v>5038</v>
      </c>
      <c r="BF240" t="str">
        <f>HYPERLINK("http://dx.doi.org/10.3354/meps12248","http://dx.doi.org/10.3354/meps12248")</f>
        <v>http://dx.doi.org/10.3354/meps12248</v>
      </c>
      <c r="BG240" t="s">
        <v>74</v>
      </c>
      <c r="BH240" t="s">
        <v>74</v>
      </c>
      <c r="BI240">
        <v>15</v>
      </c>
      <c r="BJ240" t="s">
        <v>764</v>
      </c>
      <c r="BK240" t="s">
        <v>101</v>
      </c>
      <c r="BL240" t="s">
        <v>766</v>
      </c>
      <c r="BM240" t="s">
        <v>5020</v>
      </c>
      <c r="BN240" t="s">
        <v>74</v>
      </c>
      <c r="BO240" t="s">
        <v>786</v>
      </c>
      <c r="BP240" t="s">
        <v>74</v>
      </c>
      <c r="BQ240" t="s">
        <v>74</v>
      </c>
      <c r="BR240" t="s">
        <v>105</v>
      </c>
      <c r="BS240" t="s">
        <v>5039</v>
      </c>
      <c r="BT240" t="str">
        <f>HYPERLINK("https%3A%2F%2Fwww.webofscience.com%2Fwos%2Fwoscc%2Ffull-record%2FWOS:000419090800013","View Full Record in Web of Science")</f>
        <v>View Full Record in Web of Science</v>
      </c>
    </row>
    <row r="241" spans="1:72" x14ac:dyDescent="0.15">
      <c r="A241" t="s">
        <v>72</v>
      </c>
      <c r="B241" t="s">
        <v>5040</v>
      </c>
      <c r="C241" t="s">
        <v>74</v>
      </c>
      <c r="D241" t="s">
        <v>74</v>
      </c>
      <c r="E241" t="s">
        <v>74</v>
      </c>
      <c r="F241" t="s">
        <v>5041</v>
      </c>
      <c r="G241" t="s">
        <v>74</v>
      </c>
      <c r="H241" t="s">
        <v>74</v>
      </c>
      <c r="I241" t="s">
        <v>5042</v>
      </c>
      <c r="J241" t="s">
        <v>860</v>
      </c>
      <c r="K241" t="s">
        <v>74</v>
      </c>
      <c r="L241" t="s">
        <v>74</v>
      </c>
      <c r="M241" t="s">
        <v>78</v>
      </c>
      <c r="N241" t="s">
        <v>79</v>
      </c>
      <c r="O241" t="s">
        <v>74</v>
      </c>
      <c r="P241" t="s">
        <v>74</v>
      </c>
      <c r="Q241" t="s">
        <v>74</v>
      </c>
      <c r="R241" t="s">
        <v>74</v>
      </c>
      <c r="S241" t="s">
        <v>74</v>
      </c>
      <c r="T241" t="s">
        <v>74</v>
      </c>
      <c r="U241" t="s">
        <v>5043</v>
      </c>
      <c r="V241" t="s">
        <v>5044</v>
      </c>
      <c r="W241" t="s">
        <v>5045</v>
      </c>
      <c r="X241" t="s">
        <v>5046</v>
      </c>
      <c r="Y241" t="s">
        <v>5047</v>
      </c>
      <c r="Z241" t="s">
        <v>3278</v>
      </c>
      <c r="AA241" t="s">
        <v>74</v>
      </c>
      <c r="AB241" t="s">
        <v>5048</v>
      </c>
      <c r="AC241" t="s">
        <v>5049</v>
      </c>
      <c r="AD241" t="s">
        <v>5050</v>
      </c>
      <c r="AE241" t="s">
        <v>5051</v>
      </c>
      <c r="AF241" t="s">
        <v>74</v>
      </c>
      <c r="AG241">
        <v>52</v>
      </c>
      <c r="AH241">
        <v>20</v>
      </c>
      <c r="AI241">
        <v>20</v>
      </c>
      <c r="AJ241">
        <v>1</v>
      </c>
      <c r="AK241">
        <v>34</v>
      </c>
      <c r="AL241" t="s">
        <v>872</v>
      </c>
      <c r="AM241" t="s">
        <v>873</v>
      </c>
      <c r="AN241" t="s">
        <v>874</v>
      </c>
      <c r="AO241" t="s">
        <v>875</v>
      </c>
      <c r="AP241" t="s">
        <v>74</v>
      </c>
      <c r="AQ241" t="s">
        <v>74</v>
      </c>
      <c r="AR241" t="s">
        <v>860</v>
      </c>
      <c r="AS241" t="s">
        <v>876</v>
      </c>
      <c r="AT241" t="s">
        <v>5018</v>
      </c>
      <c r="AU241">
        <v>2017</v>
      </c>
      <c r="AV241">
        <v>12</v>
      </c>
      <c r="AW241">
        <v>9</v>
      </c>
      <c r="AX241" t="s">
        <v>74</v>
      </c>
      <c r="AY241" t="s">
        <v>74</v>
      </c>
      <c r="AZ241" t="s">
        <v>74</v>
      </c>
      <c r="BA241" t="s">
        <v>74</v>
      </c>
      <c r="BB241" t="s">
        <v>74</v>
      </c>
      <c r="BC241" t="s">
        <v>74</v>
      </c>
      <c r="BD241" t="s">
        <v>5052</v>
      </c>
      <c r="BE241" t="s">
        <v>5053</v>
      </c>
      <c r="BF241" t="str">
        <f>HYPERLINK("http://dx.doi.org/10.1371/journal.pone.0184114","http://dx.doi.org/10.1371/journal.pone.0184114")</f>
        <v>http://dx.doi.org/10.1371/journal.pone.0184114</v>
      </c>
      <c r="BG241" t="s">
        <v>74</v>
      </c>
      <c r="BH241" t="s">
        <v>74</v>
      </c>
      <c r="BI241">
        <v>12</v>
      </c>
      <c r="BJ241" t="s">
        <v>190</v>
      </c>
      <c r="BK241" t="s">
        <v>101</v>
      </c>
      <c r="BL241" t="s">
        <v>191</v>
      </c>
      <c r="BM241" t="s">
        <v>5054</v>
      </c>
      <c r="BN241">
        <v>28910405</v>
      </c>
      <c r="BO241" t="s">
        <v>4420</v>
      </c>
      <c r="BP241" t="s">
        <v>74</v>
      </c>
      <c r="BQ241" t="s">
        <v>74</v>
      </c>
      <c r="BR241" t="s">
        <v>105</v>
      </c>
      <c r="BS241" t="s">
        <v>5055</v>
      </c>
      <c r="BT241" t="str">
        <f>HYPERLINK("https%3A%2F%2Fwww.webofscience.com%2Fwos%2Fwoscc%2Ffull-record%2FWOS:000410859200032","View Full Record in Web of Science")</f>
        <v>View Full Record in Web of Science</v>
      </c>
    </row>
    <row r="242" spans="1:72" x14ac:dyDescent="0.15">
      <c r="A242" t="s">
        <v>72</v>
      </c>
      <c r="B242" t="s">
        <v>5056</v>
      </c>
      <c r="C242" t="s">
        <v>74</v>
      </c>
      <c r="D242" t="s">
        <v>74</v>
      </c>
      <c r="E242" t="s">
        <v>74</v>
      </c>
      <c r="F242" t="s">
        <v>5057</v>
      </c>
      <c r="G242" t="s">
        <v>74</v>
      </c>
      <c r="H242" t="s">
        <v>74</v>
      </c>
      <c r="I242" t="s">
        <v>5058</v>
      </c>
      <c r="J242" t="s">
        <v>638</v>
      </c>
      <c r="K242" t="s">
        <v>74</v>
      </c>
      <c r="L242" t="s">
        <v>74</v>
      </c>
      <c r="M242" t="s">
        <v>78</v>
      </c>
      <c r="N242" t="s">
        <v>79</v>
      </c>
      <c r="O242" t="s">
        <v>74</v>
      </c>
      <c r="P242" t="s">
        <v>74</v>
      </c>
      <c r="Q242" t="s">
        <v>74</v>
      </c>
      <c r="R242" t="s">
        <v>74</v>
      </c>
      <c r="S242" t="s">
        <v>74</v>
      </c>
      <c r="T242" t="s">
        <v>74</v>
      </c>
      <c r="U242" t="s">
        <v>5059</v>
      </c>
      <c r="V242" t="s">
        <v>5060</v>
      </c>
      <c r="W242" t="s">
        <v>5061</v>
      </c>
      <c r="X242" t="s">
        <v>5062</v>
      </c>
      <c r="Y242" t="s">
        <v>5063</v>
      </c>
      <c r="Z242" t="s">
        <v>5064</v>
      </c>
      <c r="AA242" t="s">
        <v>5065</v>
      </c>
      <c r="AB242" t="s">
        <v>5066</v>
      </c>
      <c r="AC242" t="s">
        <v>5067</v>
      </c>
      <c r="AD242" t="s">
        <v>5068</v>
      </c>
      <c r="AE242" t="s">
        <v>5069</v>
      </c>
      <c r="AF242" t="s">
        <v>74</v>
      </c>
      <c r="AG242">
        <v>70</v>
      </c>
      <c r="AH242">
        <v>56</v>
      </c>
      <c r="AI242">
        <v>66</v>
      </c>
      <c r="AJ242">
        <v>0</v>
      </c>
      <c r="AK242">
        <v>41</v>
      </c>
      <c r="AL242" t="s">
        <v>650</v>
      </c>
      <c r="AM242" t="s">
        <v>651</v>
      </c>
      <c r="AN242" t="s">
        <v>652</v>
      </c>
      <c r="AO242" t="s">
        <v>653</v>
      </c>
      <c r="AP242" t="s">
        <v>74</v>
      </c>
      <c r="AQ242" t="s">
        <v>74</v>
      </c>
      <c r="AR242" t="s">
        <v>654</v>
      </c>
      <c r="AS242" t="s">
        <v>655</v>
      </c>
      <c r="AT242" t="s">
        <v>5018</v>
      </c>
      <c r="AU242">
        <v>2017</v>
      </c>
      <c r="AV242">
        <v>7</v>
      </c>
      <c r="AW242" t="s">
        <v>74</v>
      </c>
      <c r="AX242" t="s">
        <v>74</v>
      </c>
      <c r="AY242" t="s">
        <v>74</v>
      </c>
      <c r="AZ242" t="s">
        <v>74</v>
      </c>
      <c r="BA242" t="s">
        <v>74</v>
      </c>
      <c r="BB242" t="s">
        <v>74</v>
      </c>
      <c r="BC242" t="s">
        <v>74</v>
      </c>
      <c r="BD242">
        <v>11543</v>
      </c>
      <c r="BE242" t="s">
        <v>5070</v>
      </c>
      <c r="BF242" t="str">
        <f>HYPERLINK("http://dx.doi.org/10.1038/s41598-017-10956-0","http://dx.doi.org/10.1038/s41598-017-10956-0")</f>
        <v>http://dx.doi.org/10.1038/s41598-017-10956-0</v>
      </c>
      <c r="BG242" t="s">
        <v>74</v>
      </c>
      <c r="BH242" t="s">
        <v>74</v>
      </c>
      <c r="BI242">
        <v>11</v>
      </c>
      <c r="BJ242" t="s">
        <v>190</v>
      </c>
      <c r="BK242" t="s">
        <v>101</v>
      </c>
      <c r="BL242" t="s">
        <v>191</v>
      </c>
      <c r="BM242" t="s">
        <v>5071</v>
      </c>
      <c r="BN242">
        <v>28912552</v>
      </c>
      <c r="BO242" t="s">
        <v>658</v>
      </c>
      <c r="BP242" t="s">
        <v>74</v>
      </c>
      <c r="BQ242" t="s">
        <v>74</v>
      </c>
      <c r="BR242" t="s">
        <v>105</v>
      </c>
      <c r="BS242" t="s">
        <v>5072</v>
      </c>
      <c r="BT242" t="str">
        <f>HYPERLINK("https%3A%2F%2Fwww.webofscience.com%2Fwos%2Fwoscc%2Ffull-record%2FWOS:000410739000041","View Full Record in Web of Science")</f>
        <v>View Full Record in Web of Science</v>
      </c>
    </row>
    <row r="243" spans="1:72" x14ac:dyDescent="0.15">
      <c r="A243" t="s">
        <v>72</v>
      </c>
      <c r="B243" t="s">
        <v>5073</v>
      </c>
      <c r="C243" t="s">
        <v>74</v>
      </c>
      <c r="D243" t="s">
        <v>74</v>
      </c>
      <c r="E243" t="s">
        <v>74</v>
      </c>
      <c r="F243" t="s">
        <v>5074</v>
      </c>
      <c r="G243" t="s">
        <v>74</v>
      </c>
      <c r="H243" t="s">
        <v>74</v>
      </c>
      <c r="I243" t="s">
        <v>5075</v>
      </c>
      <c r="J243" t="s">
        <v>5076</v>
      </c>
      <c r="K243" t="s">
        <v>74</v>
      </c>
      <c r="L243" t="s">
        <v>74</v>
      </c>
      <c r="M243" t="s">
        <v>78</v>
      </c>
      <c r="N243" t="s">
        <v>79</v>
      </c>
      <c r="O243" t="s">
        <v>74</v>
      </c>
      <c r="P243" t="s">
        <v>74</v>
      </c>
      <c r="Q243" t="s">
        <v>74</v>
      </c>
      <c r="R243" t="s">
        <v>74</v>
      </c>
      <c r="S243" t="s">
        <v>74</v>
      </c>
      <c r="T243" t="s">
        <v>5077</v>
      </c>
      <c r="U243" t="s">
        <v>5078</v>
      </c>
      <c r="V243" t="s">
        <v>5079</v>
      </c>
      <c r="W243" t="s">
        <v>5080</v>
      </c>
      <c r="X243" t="s">
        <v>5081</v>
      </c>
      <c r="Y243" t="s">
        <v>5082</v>
      </c>
      <c r="Z243" t="s">
        <v>5083</v>
      </c>
      <c r="AA243" t="s">
        <v>5084</v>
      </c>
      <c r="AB243" t="s">
        <v>5085</v>
      </c>
      <c r="AC243" t="s">
        <v>5086</v>
      </c>
      <c r="AD243" t="s">
        <v>5087</v>
      </c>
      <c r="AE243" t="s">
        <v>5088</v>
      </c>
      <c r="AF243" t="s">
        <v>74</v>
      </c>
      <c r="AG243">
        <v>45</v>
      </c>
      <c r="AH243">
        <v>19</v>
      </c>
      <c r="AI243">
        <v>20</v>
      </c>
      <c r="AJ243">
        <v>1</v>
      </c>
      <c r="AK243">
        <v>24</v>
      </c>
      <c r="AL243" t="s">
        <v>1809</v>
      </c>
      <c r="AM243" t="s">
        <v>182</v>
      </c>
      <c r="AN243" t="s">
        <v>1810</v>
      </c>
      <c r="AO243" t="s">
        <v>5089</v>
      </c>
      <c r="AP243" t="s">
        <v>5090</v>
      </c>
      <c r="AQ243" t="s">
        <v>74</v>
      </c>
      <c r="AR243" t="s">
        <v>5091</v>
      </c>
      <c r="AS243" t="s">
        <v>5092</v>
      </c>
      <c r="AT243" t="s">
        <v>5093</v>
      </c>
      <c r="AU243">
        <v>2017</v>
      </c>
      <c r="AV243">
        <v>375</v>
      </c>
      <c r="AW243">
        <v>2102</v>
      </c>
      <c r="AX243" t="s">
        <v>74</v>
      </c>
      <c r="AY243" t="s">
        <v>74</v>
      </c>
      <c r="AZ243" t="s">
        <v>74</v>
      </c>
      <c r="BA243" t="s">
        <v>74</v>
      </c>
      <c r="BB243" t="s">
        <v>74</v>
      </c>
      <c r="BC243" t="s">
        <v>74</v>
      </c>
      <c r="BD243">
        <v>20160324</v>
      </c>
      <c r="BE243" t="s">
        <v>5094</v>
      </c>
      <c r="BF243" t="str">
        <f>HYPERLINK("http://dx.doi.org/10.1098/rsta.2016.0324","http://dx.doi.org/10.1098/rsta.2016.0324")</f>
        <v>http://dx.doi.org/10.1098/rsta.2016.0324</v>
      </c>
      <c r="BG243" t="s">
        <v>74</v>
      </c>
      <c r="BH243" t="s">
        <v>74</v>
      </c>
      <c r="BI243">
        <v>15</v>
      </c>
      <c r="BJ243" t="s">
        <v>190</v>
      </c>
      <c r="BK243" t="s">
        <v>101</v>
      </c>
      <c r="BL243" t="s">
        <v>191</v>
      </c>
      <c r="BM243" t="s">
        <v>5095</v>
      </c>
      <c r="BN243">
        <v>28784714</v>
      </c>
      <c r="BO243" t="s">
        <v>1639</v>
      </c>
      <c r="BP243" t="s">
        <v>74</v>
      </c>
      <c r="BQ243" t="s">
        <v>74</v>
      </c>
      <c r="BR243" t="s">
        <v>105</v>
      </c>
      <c r="BS243" t="s">
        <v>5096</v>
      </c>
      <c r="BT243" t="str">
        <f>HYPERLINK("https%3A%2F%2Fwww.webofscience.com%2Fwos%2Fwoscc%2Ffull-record%2FWOS:000412174600006","View Full Record in Web of Science")</f>
        <v>View Full Record in Web of Science</v>
      </c>
    </row>
    <row r="244" spans="1:72" x14ac:dyDescent="0.15">
      <c r="A244" t="s">
        <v>72</v>
      </c>
      <c r="B244" t="s">
        <v>5097</v>
      </c>
      <c r="C244" t="s">
        <v>74</v>
      </c>
      <c r="D244" t="s">
        <v>74</v>
      </c>
      <c r="E244" t="s">
        <v>74</v>
      </c>
      <c r="F244" t="s">
        <v>5098</v>
      </c>
      <c r="G244" t="s">
        <v>74</v>
      </c>
      <c r="H244" t="s">
        <v>74</v>
      </c>
      <c r="I244" t="s">
        <v>5099</v>
      </c>
      <c r="J244" t="s">
        <v>860</v>
      </c>
      <c r="K244" t="s">
        <v>74</v>
      </c>
      <c r="L244" t="s">
        <v>74</v>
      </c>
      <c r="M244" t="s">
        <v>78</v>
      </c>
      <c r="N244" t="s">
        <v>79</v>
      </c>
      <c r="O244" t="s">
        <v>74</v>
      </c>
      <c r="P244" t="s">
        <v>74</v>
      </c>
      <c r="Q244" t="s">
        <v>74</v>
      </c>
      <c r="R244" t="s">
        <v>74</v>
      </c>
      <c r="S244" t="s">
        <v>74</v>
      </c>
      <c r="T244" t="s">
        <v>74</v>
      </c>
      <c r="U244" t="s">
        <v>5100</v>
      </c>
      <c r="V244" t="s">
        <v>5101</v>
      </c>
      <c r="W244" t="s">
        <v>5102</v>
      </c>
      <c r="X244" t="s">
        <v>5103</v>
      </c>
      <c r="Y244" t="s">
        <v>5104</v>
      </c>
      <c r="Z244" t="s">
        <v>5105</v>
      </c>
      <c r="AA244" t="s">
        <v>5106</v>
      </c>
      <c r="AB244" t="s">
        <v>5107</v>
      </c>
      <c r="AC244" t="s">
        <v>5108</v>
      </c>
      <c r="AD244" t="s">
        <v>5109</v>
      </c>
      <c r="AE244" t="s">
        <v>5110</v>
      </c>
      <c r="AF244" t="s">
        <v>74</v>
      </c>
      <c r="AG244">
        <v>75</v>
      </c>
      <c r="AH244">
        <v>16</v>
      </c>
      <c r="AI244">
        <v>16</v>
      </c>
      <c r="AJ244">
        <v>0</v>
      </c>
      <c r="AK244">
        <v>14</v>
      </c>
      <c r="AL244" t="s">
        <v>872</v>
      </c>
      <c r="AM244" t="s">
        <v>873</v>
      </c>
      <c r="AN244" t="s">
        <v>874</v>
      </c>
      <c r="AO244" t="s">
        <v>875</v>
      </c>
      <c r="AP244" t="s">
        <v>74</v>
      </c>
      <c r="AQ244" t="s">
        <v>74</v>
      </c>
      <c r="AR244" t="s">
        <v>860</v>
      </c>
      <c r="AS244" t="s">
        <v>876</v>
      </c>
      <c r="AT244" t="s">
        <v>5093</v>
      </c>
      <c r="AU244">
        <v>2017</v>
      </c>
      <c r="AV244">
        <v>12</v>
      </c>
      <c r="AW244">
        <v>9</v>
      </c>
      <c r="AX244" t="s">
        <v>74</v>
      </c>
      <c r="AY244" t="s">
        <v>74</v>
      </c>
      <c r="AZ244" t="s">
        <v>74</v>
      </c>
      <c r="BA244" t="s">
        <v>74</v>
      </c>
      <c r="BB244" t="s">
        <v>74</v>
      </c>
      <c r="BC244" t="s">
        <v>74</v>
      </c>
      <c r="BD244" t="s">
        <v>5111</v>
      </c>
      <c r="BE244" t="s">
        <v>5112</v>
      </c>
      <c r="BF244" t="str">
        <f>HYPERLINK("http://dx.doi.org/10.1371/journal.pone.0184536","http://dx.doi.org/10.1371/journal.pone.0184536")</f>
        <v>http://dx.doi.org/10.1371/journal.pone.0184536</v>
      </c>
      <c r="BG244" t="s">
        <v>74</v>
      </c>
      <c r="BH244" t="s">
        <v>74</v>
      </c>
      <c r="BI244">
        <v>24</v>
      </c>
      <c r="BJ244" t="s">
        <v>190</v>
      </c>
      <c r="BK244" t="s">
        <v>101</v>
      </c>
      <c r="BL244" t="s">
        <v>191</v>
      </c>
      <c r="BM244" t="s">
        <v>5113</v>
      </c>
      <c r="BN244">
        <v>28902905</v>
      </c>
      <c r="BO244" t="s">
        <v>5114</v>
      </c>
      <c r="BP244" t="s">
        <v>74</v>
      </c>
      <c r="BQ244" t="s">
        <v>74</v>
      </c>
      <c r="BR244" t="s">
        <v>105</v>
      </c>
      <c r="BS244" t="s">
        <v>5115</v>
      </c>
      <c r="BT244" t="str">
        <f>HYPERLINK("https%3A%2F%2Fwww.webofscience.com%2Fwos%2Fwoscc%2Ffull-record%2FWOS:000410669200046","View Full Record in Web of Science")</f>
        <v>View Full Record in Web of Science</v>
      </c>
    </row>
    <row r="245" spans="1:72" x14ac:dyDescent="0.15">
      <c r="A245" t="s">
        <v>72</v>
      </c>
      <c r="B245" t="s">
        <v>5116</v>
      </c>
      <c r="C245" t="s">
        <v>74</v>
      </c>
      <c r="D245" t="s">
        <v>74</v>
      </c>
      <c r="E245" t="s">
        <v>74</v>
      </c>
      <c r="F245" t="s">
        <v>5117</v>
      </c>
      <c r="G245" t="s">
        <v>74</v>
      </c>
      <c r="H245" t="s">
        <v>74</v>
      </c>
      <c r="I245" t="s">
        <v>5118</v>
      </c>
      <c r="J245" t="s">
        <v>638</v>
      </c>
      <c r="K245" t="s">
        <v>74</v>
      </c>
      <c r="L245" t="s">
        <v>74</v>
      </c>
      <c r="M245" t="s">
        <v>78</v>
      </c>
      <c r="N245" t="s">
        <v>79</v>
      </c>
      <c r="O245" t="s">
        <v>74</v>
      </c>
      <c r="P245" t="s">
        <v>74</v>
      </c>
      <c r="Q245" t="s">
        <v>74</v>
      </c>
      <c r="R245" t="s">
        <v>74</v>
      </c>
      <c r="S245" t="s">
        <v>74</v>
      </c>
      <c r="T245" t="s">
        <v>74</v>
      </c>
      <c r="U245" t="s">
        <v>5119</v>
      </c>
      <c r="V245" t="s">
        <v>5120</v>
      </c>
      <c r="W245" t="s">
        <v>5121</v>
      </c>
      <c r="X245" t="s">
        <v>5122</v>
      </c>
      <c r="Y245" t="s">
        <v>5123</v>
      </c>
      <c r="Z245" t="s">
        <v>5124</v>
      </c>
      <c r="AA245" t="s">
        <v>5125</v>
      </c>
      <c r="AB245" t="s">
        <v>5126</v>
      </c>
      <c r="AC245" t="s">
        <v>5127</v>
      </c>
      <c r="AD245" t="s">
        <v>5128</v>
      </c>
      <c r="AE245" t="s">
        <v>5129</v>
      </c>
      <c r="AF245" t="s">
        <v>74</v>
      </c>
      <c r="AG245">
        <v>45</v>
      </c>
      <c r="AH245">
        <v>19</v>
      </c>
      <c r="AI245">
        <v>20</v>
      </c>
      <c r="AJ245">
        <v>0</v>
      </c>
      <c r="AK245">
        <v>20</v>
      </c>
      <c r="AL245" t="s">
        <v>650</v>
      </c>
      <c r="AM245" t="s">
        <v>651</v>
      </c>
      <c r="AN245" t="s">
        <v>652</v>
      </c>
      <c r="AO245" t="s">
        <v>653</v>
      </c>
      <c r="AP245" t="s">
        <v>74</v>
      </c>
      <c r="AQ245" t="s">
        <v>74</v>
      </c>
      <c r="AR245" t="s">
        <v>654</v>
      </c>
      <c r="AS245" t="s">
        <v>655</v>
      </c>
      <c r="AT245" t="s">
        <v>5093</v>
      </c>
      <c r="AU245">
        <v>2017</v>
      </c>
      <c r="AV245">
        <v>7</v>
      </c>
      <c r="AW245" t="s">
        <v>74</v>
      </c>
      <c r="AX245" t="s">
        <v>74</v>
      </c>
      <c r="AY245" t="s">
        <v>74</v>
      </c>
      <c r="AZ245" t="s">
        <v>74</v>
      </c>
      <c r="BA245" t="s">
        <v>74</v>
      </c>
      <c r="BB245" t="s">
        <v>74</v>
      </c>
      <c r="BC245" t="s">
        <v>74</v>
      </c>
      <c r="BD245">
        <v>11457</v>
      </c>
      <c r="BE245" t="s">
        <v>5130</v>
      </c>
      <c r="BF245" t="str">
        <f>HYPERLINK("http://dx.doi.org/10.1038/s41598-017-11515-3","http://dx.doi.org/10.1038/s41598-017-11515-3")</f>
        <v>http://dx.doi.org/10.1038/s41598-017-11515-3</v>
      </c>
      <c r="BG245" t="s">
        <v>74</v>
      </c>
      <c r="BH245" t="s">
        <v>74</v>
      </c>
      <c r="BI245">
        <v>8</v>
      </c>
      <c r="BJ245" t="s">
        <v>190</v>
      </c>
      <c r="BK245" t="s">
        <v>101</v>
      </c>
      <c r="BL245" t="s">
        <v>191</v>
      </c>
      <c r="BM245" t="s">
        <v>5131</v>
      </c>
      <c r="BN245">
        <v>28904334</v>
      </c>
      <c r="BO245" t="s">
        <v>267</v>
      </c>
      <c r="BP245" t="s">
        <v>74</v>
      </c>
      <c r="BQ245" t="s">
        <v>74</v>
      </c>
      <c r="BR245" t="s">
        <v>105</v>
      </c>
      <c r="BS245" t="s">
        <v>5132</v>
      </c>
      <c r="BT245" t="str">
        <f>HYPERLINK("https%3A%2F%2Fwww.webofscience.com%2Fwos%2Fwoscc%2Ffull-record%2FWOS:000410666900015","View Full Record in Web of Science")</f>
        <v>View Full Record in Web of Science</v>
      </c>
    </row>
    <row r="246" spans="1:72" x14ac:dyDescent="0.15">
      <c r="A246" t="s">
        <v>72</v>
      </c>
      <c r="B246" t="s">
        <v>5133</v>
      </c>
      <c r="C246" t="s">
        <v>74</v>
      </c>
      <c r="D246" t="s">
        <v>74</v>
      </c>
      <c r="E246" t="s">
        <v>74</v>
      </c>
      <c r="F246" t="s">
        <v>5134</v>
      </c>
      <c r="G246" t="s">
        <v>74</v>
      </c>
      <c r="H246" t="s">
        <v>74</v>
      </c>
      <c r="I246" t="s">
        <v>5135</v>
      </c>
      <c r="J246" t="s">
        <v>953</v>
      </c>
      <c r="K246" t="s">
        <v>74</v>
      </c>
      <c r="L246" t="s">
        <v>74</v>
      </c>
      <c r="M246" t="s">
        <v>78</v>
      </c>
      <c r="N246" t="s">
        <v>79</v>
      </c>
      <c r="O246" t="s">
        <v>74</v>
      </c>
      <c r="P246" t="s">
        <v>74</v>
      </c>
      <c r="Q246" t="s">
        <v>74</v>
      </c>
      <c r="R246" t="s">
        <v>74</v>
      </c>
      <c r="S246" t="s">
        <v>74</v>
      </c>
      <c r="T246" t="s">
        <v>74</v>
      </c>
      <c r="U246" t="s">
        <v>5136</v>
      </c>
      <c r="V246" t="s">
        <v>5137</v>
      </c>
      <c r="W246" t="s">
        <v>5138</v>
      </c>
      <c r="X246" t="s">
        <v>5139</v>
      </c>
      <c r="Y246" t="s">
        <v>5140</v>
      </c>
      <c r="Z246" t="s">
        <v>5141</v>
      </c>
      <c r="AA246" t="s">
        <v>5142</v>
      </c>
      <c r="AB246" t="s">
        <v>5143</v>
      </c>
      <c r="AC246" t="s">
        <v>5144</v>
      </c>
      <c r="AD246" t="s">
        <v>5145</v>
      </c>
      <c r="AE246" t="s">
        <v>5146</v>
      </c>
      <c r="AF246" t="s">
        <v>74</v>
      </c>
      <c r="AG246">
        <v>70</v>
      </c>
      <c r="AH246">
        <v>16</v>
      </c>
      <c r="AI246">
        <v>16</v>
      </c>
      <c r="AJ246">
        <v>1</v>
      </c>
      <c r="AK246">
        <v>35</v>
      </c>
      <c r="AL246" t="s">
        <v>181</v>
      </c>
      <c r="AM246" t="s">
        <v>182</v>
      </c>
      <c r="AN246" t="s">
        <v>183</v>
      </c>
      <c r="AO246" t="s">
        <v>965</v>
      </c>
      <c r="AP246" t="s">
        <v>74</v>
      </c>
      <c r="AQ246" t="s">
        <v>74</v>
      </c>
      <c r="AR246" t="s">
        <v>966</v>
      </c>
      <c r="AS246" t="s">
        <v>967</v>
      </c>
      <c r="AT246" t="s">
        <v>5147</v>
      </c>
      <c r="AU246">
        <v>2017</v>
      </c>
      <c r="AV246">
        <v>8</v>
      </c>
      <c r="AW246" t="s">
        <v>74</v>
      </c>
      <c r="AX246" t="s">
        <v>74</v>
      </c>
      <c r="AY246" t="s">
        <v>74</v>
      </c>
      <c r="AZ246" t="s">
        <v>74</v>
      </c>
      <c r="BA246" t="s">
        <v>74</v>
      </c>
      <c r="BB246" t="s">
        <v>74</v>
      </c>
      <c r="BC246" t="s">
        <v>74</v>
      </c>
      <c r="BD246">
        <v>520</v>
      </c>
      <c r="BE246" t="s">
        <v>5148</v>
      </c>
      <c r="BF246" t="str">
        <f>HYPERLINK("http://dx.doi.org/10.1038/s41467-017-00577-6","http://dx.doi.org/10.1038/s41467-017-00577-6")</f>
        <v>http://dx.doi.org/10.1038/s41467-017-00577-6</v>
      </c>
      <c r="BG246" t="s">
        <v>74</v>
      </c>
      <c r="BH246" t="s">
        <v>74</v>
      </c>
      <c r="BI246">
        <v>9</v>
      </c>
      <c r="BJ246" t="s">
        <v>190</v>
      </c>
      <c r="BK246" t="s">
        <v>101</v>
      </c>
      <c r="BL246" t="s">
        <v>191</v>
      </c>
      <c r="BM246" t="s">
        <v>5149</v>
      </c>
      <c r="BN246">
        <v>28900099</v>
      </c>
      <c r="BO246" t="s">
        <v>3746</v>
      </c>
      <c r="BP246" t="s">
        <v>74</v>
      </c>
      <c r="BQ246" t="s">
        <v>74</v>
      </c>
      <c r="BR246" t="s">
        <v>105</v>
      </c>
      <c r="BS246" t="s">
        <v>5150</v>
      </c>
      <c r="BT246" t="str">
        <f>HYPERLINK("https%3A%2F%2Fwww.webofscience.com%2Fwos%2Fwoscc%2Ffull-record%2FWOS:000410452800002","View Full Record in Web of Science")</f>
        <v>View Full Record in Web of Science</v>
      </c>
    </row>
    <row r="247" spans="1:72" x14ac:dyDescent="0.15">
      <c r="A247" t="s">
        <v>72</v>
      </c>
      <c r="B247" t="s">
        <v>5151</v>
      </c>
      <c r="C247" t="s">
        <v>74</v>
      </c>
      <c r="D247" t="s">
        <v>74</v>
      </c>
      <c r="E247" t="s">
        <v>74</v>
      </c>
      <c r="F247" t="s">
        <v>5152</v>
      </c>
      <c r="G247" t="s">
        <v>74</v>
      </c>
      <c r="H247" t="s">
        <v>74</v>
      </c>
      <c r="I247" t="s">
        <v>5153</v>
      </c>
      <c r="J247" t="s">
        <v>5154</v>
      </c>
      <c r="K247" t="s">
        <v>74</v>
      </c>
      <c r="L247" t="s">
        <v>74</v>
      </c>
      <c r="M247" t="s">
        <v>78</v>
      </c>
      <c r="N247" t="s">
        <v>5155</v>
      </c>
      <c r="O247" t="s">
        <v>74</v>
      </c>
      <c r="P247" t="s">
        <v>74</v>
      </c>
      <c r="Q247" t="s">
        <v>74</v>
      </c>
      <c r="R247" t="s">
        <v>74</v>
      </c>
      <c r="S247" t="s">
        <v>74</v>
      </c>
      <c r="T247" t="s">
        <v>74</v>
      </c>
      <c r="U247" t="s">
        <v>5156</v>
      </c>
      <c r="V247" t="s">
        <v>5157</v>
      </c>
      <c r="W247" t="s">
        <v>5158</v>
      </c>
      <c r="X247" t="s">
        <v>5159</v>
      </c>
      <c r="Y247" t="s">
        <v>5160</v>
      </c>
      <c r="Z247" t="s">
        <v>5161</v>
      </c>
      <c r="AA247" t="s">
        <v>5162</v>
      </c>
      <c r="AB247" t="s">
        <v>5163</v>
      </c>
      <c r="AC247" t="s">
        <v>5164</v>
      </c>
      <c r="AD247" t="s">
        <v>5165</v>
      </c>
      <c r="AE247" t="s">
        <v>5166</v>
      </c>
      <c r="AF247" t="s">
        <v>74</v>
      </c>
      <c r="AG247">
        <v>41</v>
      </c>
      <c r="AH247">
        <v>7</v>
      </c>
      <c r="AI247">
        <v>7</v>
      </c>
      <c r="AJ247">
        <v>1</v>
      </c>
      <c r="AK247">
        <v>17</v>
      </c>
      <c r="AL247" t="s">
        <v>181</v>
      </c>
      <c r="AM247" t="s">
        <v>182</v>
      </c>
      <c r="AN247" t="s">
        <v>183</v>
      </c>
      <c r="AO247" t="s">
        <v>74</v>
      </c>
      <c r="AP247" t="s">
        <v>5167</v>
      </c>
      <c r="AQ247" t="s">
        <v>74</v>
      </c>
      <c r="AR247" t="s">
        <v>5168</v>
      </c>
      <c r="AS247" t="s">
        <v>5169</v>
      </c>
      <c r="AT247" t="s">
        <v>5147</v>
      </c>
      <c r="AU247">
        <v>2017</v>
      </c>
      <c r="AV247">
        <v>4</v>
      </c>
      <c r="AW247" t="s">
        <v>74</v>
      </c>
      <c r="AX247" t="s">
        <v>74</v>
      </c>
      <c r="AY247" t="s">
        <v>74</v>
      </c>
      <c r="AZ247" t="s">
        <v>74</v>
      </c>
      <c r="BA247" t="s">
        <v>74</v>
      </c>
      <c r="BB247" t="s">
        <v>74</v>
      </c>
      <c r="BC247" t="s">
        <v>74</v>
      </c>
      <c r="BD247">
        <v>170128</v>
      </c>
      <c r="BE247" t="s">
        <v>5170</v>
      </c>
      <c r="BF247" t="str">
        <f>HYPERLINK("http://dx.doi.org/10.1038/sdata.2017.128","http://dx.doi.org/10.1038/sdata.2017.128")</f>
        <v>http://dx.doi.org/10.1038/sdata.2017.128</v>
      </c>
      <c r="BG247" t="s">
        <v>74</v>
      </c>
      <c r="BH247" t="s">
        <v>74</v>
      </c>
      <c r="BI247">
        <v>18</v>
      </c>
      <c r="BJ247" t="s">
        <v>190</v>
      </c>
      <c r="BK247" t="s">
        <v>101</v>
      </c>
      <c r="BL247" t="s">
        <v>191</v>
      </c>
      <c r="BM247" t="s">
        <v>5171</v>
      </c>
      <c r="BN247">
        <v>28895947</v>
      </c>
      <c r="BO247" t="s">
        <v>658</v>
      </c>
      <c r="BP247" t="s">
        <v>74</v>
      </c>
      <c r="BQ247" t="s">
        <v>74</v>
      </c>
      <c r="BR247" t="s">
        <v>105</v>
      </c>
      <c r="BS247" t="s">
        <v>5172</v>
      </c>
      <c r="BT247" t="str">
        <f>HYPERLINK("https%3A%2F%2Fwww.webofscience.com%2Fwos%2Fwoscc%2Ffull-record%2FWOS:000410425100003","View Full Record in Web of Science")</f>
        <v>View Full Record in Web of Science</v>
      </c>
    </row>
    <row r="248" spans="1:72" x14ac:dyDescent="0.15">
      <c r="A248" t="s">
        <v>72</v>
      </c>
      <c r="B248" t="s">
        <v>5173</v>
      </c>
      <c r="C248" t="s">
        <v>74</v>
      </c>
      <c r="D248" t="s">
        <v>74</v>
      </c>
      <c r="E248" t="s">
        <v>74</v>
      </c>
      <c r="F248" t="s">
        <v>5174</v>
      </c>
      <c r="G248" t="s">
        <v>74</v>
      </c>
      <c r="H248" t="s">
        <v>74</v>
      </c>
      <c r="I248" t="s">
        <v>5175</v>
      </c>
      <c r="J248" t="s">
        <v>299</v>
      </c>
      <c r="K248" t="s">
        <v>74</v>
      </c>
      <c r="L248" t="s">
        <v>74</v>
      </c>
      <c r="M248" t="s">
        <v>78</v>
      </c>
      <c r="N248" t="s">
        <v>79</v>
      </c>
      <c r="O248" t="s">
        <v>74</v>
      </c>
      <c r="P248" t="s">
        <v>74</v>
      </c>
      <c r="Q248" t="s">
        <v>74</v>
      </c>
      <c r="R248" t="s">
        <v>74</v>
      </c>
      <c r="S248" t="s">
        <v>74</v>
      </c>
      <c r="T248" t="s">
        <v>74</v>
      </c>
      <c r="U248" t="s">
        <v>5176</v>
      </c>
      <c r="V248" t="s">
        <v>5177</v>
      </c>
      <c r="W248" t="s">
        <v>5178</v>
      </c>
      <c r="X248" t="s">
        <v>5179</v>
      </c>
      <c r="Y248" t="s">
        <v>5180</v>
      </c>
      <c r="Z248" t="s">
        <v>5181</v>
      </c>
      <c r="AA248" t="s">
        <v>5182</v>
      </c>
      <c r="AB248" t="s">
        <v>5183</v>
      </c>
      <c r="AC248" t="s">
        <v>5184</v>
      </c>
      <c r="AD248" t="s">
        <v>5185</v>
      </c>
      <c r="AE248" t="s">
        <v>5186</v>
      </c>
      <c r="AF248" t="s">
        <v>74</v>
      </c>
      <c r="AG248">
        <v>54</v>
      </c>
      <c r="AH248">
        <v>27</v>
      </c>
      <c r="AI248">
        <v>28</v>
      </c>
      <c r="AJ248">
        <v>0</v>
      </c>
      <c r="AK248">
        <v>7</v>
      </c>
      <c r="AL248" t="s">
        <v>311</v>
      </c>
      <c r="AM248" t="s">
        <v>312</v>
      </c>
      <c r="AN248" t="s">
        <v>313</v>
      </c>
      <c r="AO248" t="s">
        <v>314</v>
      </c>
      <c r="AP248" t="s">
        <v>315</v>
      </c>
      <c r="AQ248" t="s">
        <v>74</v>
      </c>
      <c r="AR248" t="s">
        <v>299</v>
      </c>
      <c r="AS248" t="s">
        <v>316</v>
      </c>
      <c r="AT248" t="s">
        <v>5147</v>
      </c>
      <c r="AU248">
        <v>2017</v>
      </c>
      <c r="AV248">
        <v>11</v>
      </c>
      <c r="AW248">
        <v>5</v>
      </c>
      <c r="AX248" t="s">
        <v>74</v>
      </c>
      <c r="AY248" t="s">
        <v>74</v>
      </c>
      <c r="AZ248" t="s">
        <v>74</v>
      </c>
      <c r="BA248" t="s">
        <v>74</v>
      </c>
      <c r="BB248">
        <v>2175</v>
      </c>
      <c r="BC248">
        <v>2188</v>
      </c>
      <c r="BD248" t="s">
        <v>74</v>
      </c>
      <c r="BE248" t="s">
        <v>5187</v>
      </c>
      <c r="BF248" t="str">
        <f>HYPERLINK("http://dx.doi.org/10.5194/tc-11-2175-2017","http://dx.doi.org/10.5194/tc-11-2175-2017")</f>
        <v>http://dx.doi.org/10.5194/tc-11-2175-2017</v>
      </c>
      <c r="BG248" t="s">
        <v>74</v>
      </c>
      <c r="BH248" t="s">
        <v>74</v>
      </c>
      <c r="BI248">
        <v>14</v>
      </c>
      <c r="BJ248" t="s">
        <v>319</v>
      </c>
      <c r="BK248" t="s">
        <v>101</v>
      </c>
      <c r="BL248" t="s">
        <v>320</v>
      </c>
      <c r="BM248" t="s">
        <v>5188</v>
      </c>
      <c r="BN248" t="s">
        <v>74</v>
      </c>
      <c r="BO248" t="s">
        <v>1131</v>
      </c>
      <c r="BP248" t="s">
        <v>74</v>
      </c>
      <c r="BQ248" t="s">
        <v>74</v>
      </c>
      <c r="BR248" t="s">
        <v>105</v>
      </c>
      <c r="BS248" t="s">
        <v>5189</v>
      </c>
      <c r="BT248" t="str">
        <f>HYPERLINK("https%3A%2F%2Fwww.webofscience.com%2Fwos%2Fwoscc%2Ffull-record%2FWOS:000410512200001","View Full Record in Web of Science")</f>
        <v>View Full Record in Web of Science</v>
      </c>
    </row>
    <row r="249" spans="1:72" x14ac:dyDescent="0.15">
      <c r="A249" t="s">
        <v>72</v>
      </c>
      <c r="B249" t="s">
        <v>5190</v>
      </c>
      <c r="C249" t="s">
        <v>74</v>
      </c>
      <c r="D249" t="s">
        <v>74</v>
      </c>
      <c r="E249" t="s">
        <v>74</v>
      </c>
      <c r="F249" t="s">
        <v>5191</v>
      </c>
      <c r="G249" t="s">
        <v>74</v>
      </c>
      <c r="H249" t="s">
        <v>74</v>
      </c>
      <c r="I249" t="s">
        <v>5192</v>
      </c>
      <c r="J249" t="s">
        <v>5193</v>
      </c>
      <c r="K249" t="s">
        <v>74</v>
      </c>
      <c r="L249" t="s">
        <v>74</v>
      </c>
      <c r="M249" t="s">
        <v>78</v>
      </c>
      <c r="N249" t="s">
        <v>79</v>
      </c>
      <c r="O249" t="s">
        <v>74</v>
      </c>
      <c r="P249" t="s">
        <v>74</v>
      </c>
      <c r="Q249" t="s">
        <v>74</v>
      </c>
      <c r="R249" t="s">
        <v>74</v>
      </c>
      <c r="S249" t="s">
        <v>74</v>
      </c>
      <c r="T249" t="s">
        <v>74</v>
      </c>
      <c r="U249" t="s">
        <v>5194</v>
      </c>
      <c r="V249" t="s">
        <v>5195</v>
      </c>
      <c r="W249" t="s">
        <v>5196</v>
      </c>
      <c r="X249" t="s">
        <v>5197</v>
      </c>
      <c r="Y249" t="s">
        <v>5198</v>
      </c>
      <c r="Z249" t="s">
        <v>5199</v>
      </c>
      <c r="AA249" t="s">
        <v>5200</v>
      </c>
      <c r="AB249" t="s">
        <v>5201</v>
      </c>
      <c r="AC249" t="s">
        <v>5202</v>
      </c>
      <c r="AD249" t="s">
        <v>3623</v>
      </c>
      <c r="AE249" t="s">
        <v>5203</v>
      </c>
      <c r="AF249" t="s">
        <v>74</v>
      </c>
      <c r="AG249">
        <v>60</v>
      </c>
      <c r="AH249">
        <v>61</v>
      </c>
      <c r="AI249">
        <v>68</v>
      </c>
      <c r="AJ249">
        <v>0</v>
      </c>
      <c r="AK249">
        <v>38</v>
      </c>
      <c r="AL249" t="s">
        <v>5204</v>
      </c>
      <c r="AM249" t="s">
        <v>286</v>
      </c>
      <c r="AN249" t="s">
        <v>5205</v>
      </c>
      <c r="AO249" t="s">
        <v>5206</v>
      </c>
      <c r="AP249" t="s">
        <v>5207</v>
      </c>
      <c r="AQ249" t="s">
        <v>74</v>
      </c>
      <c r="AR249" t="s">
        <v>5208</v>
      </c>
      <c r="AS249" t="s">
        <v>5209</v>
      </c>
      <c r="AT249" t="s">
        <v>5210</v>
      </c>
      <c r="AU249">
        <v>2017</v>
      </c>
      <c r="AV249">
        <v>27</v>
      </c>
      <c r="AW249">
        <v>17</v>
      </c>
      <c r="AX249" t="s">
        <v>74</v>
      </c>
      <c r="AY249" t="s">
        <v>74</v>
      </c>
      <c r="AZ249" t="s">
        <v>74</v>
      </c>
      <c r="BA249" t="s">
        <v>74</v>
      </c>
      <c r="BB249">
        <v>2698</v>
      </c>
      <c r="BC249" t="s">
        <v>188</v>
      </c>
      <c r="BD249" t="s">
        <v>74</v>
      </c>
      <c r="BE249" t="s">
        <v>5211</v>
      </c>
      <c r="BF249" t="str">
        <f>HYPERLINK("http://dx.doi.org/10.1016/j.cub.2017.07.048","http://dx.doi.org/10.1016/j.cub.2017.07.048")</f>
        <v>http://dx.doi.org/10.1016/j.cub.2017.07.048</v>
      </c>
      <c r="BG249" t="s">
        <v>74</v>
      </c>
      <c r="BH249" t="s">
        <v>74</v>
      </c>
      <c r="BI249">
        <v>11</v>
      </c>
      <c r="BJ249" t="s">
        <v>5212</v>
      </c>
      <c r="BK249" t="s">
        <v>101</v>
      </c>
      <c r="BL249" t="s">
        <v>5213</v>
      </c>
      <c r="BM249" t="s">
        <v>5214</v>
      </c>
      <c r="BN249">
        <v>28867203</v>
      </c>
      <c r="BO249" t="s">
        <v>5215</v>
      </c>
      <c r="BP249" t="s">
        <v>74</v>
      </c>
      <c r="BQ249" t="s">
        <v>74</v>
      </c>
      <c r="BR249" t="s">
        <v>105</v>
      </c>
      <c r="BS249" t="s">
        <v>5216</v>
      </c>
      <c r="BT249" t="str">
        <f>HYPERLINK("https%3A%2F%2Fwww.webofscience.com%2Fwos%2Fwoscc%2Ffull-record%2FWOS:000410175200049","View Full Record in Web of Science")</f>
        <v>View Full Record in Web of Science</v>
      </c>
    </row>
    <row r="250" spans="1:72" x14ac:dyDescent="0.15">
      <c r="A250" t="s">
        <v>72</v>
      </c>
      <c r="B250" t="s">
        <v>5217</v>
      </c>
      <c r="C250" t="s">
        <v>74</v>
      </c>
      <c r="D250" t="s">
        <v>74</v>
      </c>
      <c r="E250" t="s">
        <v>74</v>
      </c>
      <c r="F250" t="s">
        <v>5218</v>
      </c>
      <c r="G250" t="s">
        <v>74</v>
      </c>
      <c r="H250" t="s">
        <v>74</v>
      </c>
      <c r="I250" t="s">
        <v>5219</v>
      </c>
      <c r="J250" t="s">
        <v>5220</v>
      </c>
      <c r="K250" t="s">
        <v>74</v>
      </c>
      <c r="L250" t="s">
        <v>74</v>
      </c>
      <c r="M250" t="s">
        <v>2891</v>
      </c>
      <c r="N250" t="s">
        <v>79</v>
      </c>
      <c r="O250" t="s">
        <v>74</v>
      </c>
      <c r="P250" t="s">
        <v>74</v>
      </c>
      <c r="Q250" t="s">
        <v>74</v>
      </c>
      <c r="R250" t="s">
        <v>74</v>
      </c>
      <c r="S250" t="s">
        <v>74</v>
      </c>
      <c r="T250" t="s">
        <v>5221</v>
      </c>
      <c r="U250" t="s">
        <v>5222</v>
      </c>
      <c r="V250" t="s">
        <v>5223</v>
      </c>
      <c r="W250" t="s">
        <v>5224</v>
      </c>
      <c r="X250" t="s">
        <v>5225</v>
      </c>
      <c r="Y250" t="s">
        <v>5226</v>
      </c>
      <c r="Z250" t="s">
        <v>5227</v>
      </c>
      <c r="AA250" t="s">
        <v>5228</v>
      </c>
      <c r="AB250" t="s">
        <v>5229</v>
      </c>
      <c r="AC250" t="s">
        <v>5230</v>
      </c>
      <c r="AD250" t="s">
        <v>5231</v>
      </c>
      <c r="AE250" t="s">
        <v>5232</v>
      </c>
      <c r="AF250" t="s">
        <v>74</v>
      </c>
      <c r="AG250">
        <v>19</v>
      </c>
      <c r="AH250">
        <v>2</v>
      </c>
      <c r="AI250">
        <v>4</v>
      </c>
      <c r="AJ250">
        <v>2</v>
      </c>
      <c r="AK250">
        <v>18</v>
      </c>
      <c r="AL250" t="s">
        <v>5233</v>
      </c>
      <c r="AM250" t="s">
        <v>2902</v>
      </c>
      <c r="AN250" t="s">
        <v>5234</v>
      </c>
      <c r="AO250" t="s">
        <v>5235</v>
      </c>
      <c r="AP250" t="s">
        <v>74</v>
      </c>
      <c r="AQ250" t="s">
        <v>74</v>
      </c>
      <c r="AR250" t="s">
        <v>5236</v>
      </c>
      <c r="AS250" t="s">
        <v>5237</v>
      </c>
      <c r="AT250" t="s">
        <v>5238</v>
      </c>
      <c r="AU250">
        <v>2017</v>
      </c>
      <c r="AV250">
        <v>38</v>
      </c>
      <c r="AW250">
        <v>9</v>
      </c>
      <c r="AX250" t="s">
        <v>74</v>
      </c>
      <c r="AY250" t="s">
        <v>74</v>
      </c>
      <c r="AZ250" t="s">
        <v>74</v>
      </c>
      <c r="BA250" t="s">
        <v>74</v>
      </c>
      <c r="BB250">
        <v>1701</v>
      </c>
      <c r="BC250">
        <v>1708</v>
      </c>
      <c r="BD250" t="s">
        <v>74</v>
      </c>
      <c r="BE250" t="s">
        <v>5239</v>
      </c>
      <c r="BF250" t="str">
        <f>HYPERLINK("http://dx.doi.org/10.7503/cjcu20170015","http://dx.doi.org/10.7503/cjcu20170015")</f>
        <v>http://dx.doi.org/10.7503/cjcu20170015</v>
      </c>
      <c r="BG250" t="s">
        <v>74</v>
      </c>
      <c r="BH250" t="s">
        <v>74</v>
      </c>
      <c r="BI250">
        <v>8</v>
      </c>
      <c r="BJ250" t="s">
        <v>5240</v>
      </c>
      <c r="BK250" t="s">
        <v>101</v>
      </c>
      <c r="BL250" t="s">
        <v>218</v>
      </c>
      <c r="BM250" t="s">
        <v>5241</v>
      </c>
      <c r="BN250" t="s">
        <v>74</v>
      </c>
      <c r="BO250" t="s">
        <v>74</v>
      </c>
      <c r="BP250" t="s">
        <v>74</v>
      </c>
      <c r="BQ250" t="s">
        <v>74</v>
      </c>
      <c r="BR250" t="s">
        <v>105</v>
      </c>
      <c r="BS250" t="s">
        <v>5242</v>
      </c>
      <c r="BT250" t="str">
        <f>HYPERLINK("https%3A%2F%2Fwww.webofscience.com%2Fwos%2Fwoscc%2Ffull-record%2FWOS:000410680800029","View Full Record in Web of Science")</f>
        <v>View Full Record in Web of Science</v>
      </c>
    </row>
    <row r="251" spans="1:72" x14ac:dyDescent="0.15">
      <c r="A251" t="s">
        <v>72</v>
      </c>
      <c r="B251" t="s">
        <v>5243</v>
      </c>
      <c r="C251" t="s">
        <v>74</v>
      </c>
      <c r="D251" t="s">
        <v>74</v>
      </c>
      <c r="E251" t="s">
        <v>74</v>
      </c>
      <c r="F251" t="s">
        <v>5244</v>
      </c>
      <c r="G251" t="s">
        <v>74</v>
      </c>
      <c r="H251" t="s">
        <v>74</v>
      </c>
      <c r="I251" t="s">
        <v>5245</v>
      </c>
      <c r="J251" t="s">
        <v>5246</v>
      </c>
      <c r="K251" t="s">
        <v>74</v>
      </c>
      <c r="L251" t="s">
        <v>74</v>
      </c>
      <c r="M251" t="s">
        <v>78</v>
      </c>
      <c r="N251" t="s">
        <v>79</v>
      </c>
      <c r="O251" t="s">
        <v>74</v>
      </c>
      <c r="P251" t="s">
        <v>74</v>
      </c>
      <c r="Q251" t="s">
        <v>74</v>
      </c>
      <c r="R251" t="s">
        <v>74</v>
      </c>
      <c r="S251" t="s">
        <v>74</v>
      </c>
      <c r="T251" t="s">
        <v>5247</v>
      </c>
      <c r="U251" t="s">
        <v>5248</v>
      </c>
      <c r="V251" t="s">
        <v>5249</v>
      </c>
      <c r="W251" t="s">
        <v>5250</v>
      </c>
      <c r="X251" t="s">
        <v>5251</v>
      </c>
      <c r="Y251" t="s">
        <v>5252</v>
      </c>
      <c r="Z251" t="s">
        <v>5253</v>
      </c>
      <c r="AA251" t="s">
        <v>5254</v>
      </c>
      <c r="AB251" t="s">
        <v>5255</v>
      </c>
      <c r="AC251" t="s">
        <v>5256</v>
      </c>
      <c r="AD251" t="s">
        <v>5257</v>
      </c>
      <c r="AE251" t="s">
        <v>5258</v>
      </c>
      <c r="AF251" t="s">
        <v>74</v>
      </c>
      <c r="AG251">
        <v>53</v>
      </c>
      <c r="AH251">
        <v>5</v>
      </c>
      <c r="AI251">
        <v>6</v>
      </c>
      <c r="AJ251">
        <v>2</v>
      </c>
      <c r="AK251">
        <v>35</v>
      </c>
      <c r="AL251" t="s">
        <v>502</v>
      </c>
      <c r="AM251" t="s">
        <v>372</v>
      </c>
      <c r="AN251" t="s">
        <v>503</v>
      </c>
      <c r="AO251" t="s">
        <v>5259</v>
      </c>
      <c r="AP251" t="s">
        <v>5260</v>
      </c>
      <c r="AQ251" t="s">
        <v>74</v>
      </c>
      <c r="AR251" t="s">
        <v>5261</v>
      </c>
      <c r="AS251" t="s">
        <v>5262</v>
      </c>
      <c r="AT251" t="s">
        <v>5238</v>
      </c>
      <c r="AU251">
        <v>2017</v>
      </c>
      <c r="AV251">
        <v>359</v>
      </c>
      <c r="AW251" t="s">
        <v>74</v>
      </c>
      <c r="AX251" t="s">
        <v>74</v>
      </c>
      <c r="AY251" t="s">
        <v>74</v>
      </c>
      <c r="AZ251" t="s">
        <v>74</v>
      </c>
      <c r="BA251" t="s">
        <v>74</v>
      </c>
      <c r="BB251">
        <v>372</v>
      </c>
      <c r="BC251">
        <v>382</v>
      </c>
      <c r="BD251" t="s">
        <v>74</v>
      </c>
      <c r="BE251" t="s">
        <v>5263</v>
      </c>
      <c r="BF251" t="str">
        <f>HYPERLINK("http://dx.doi.org/10.1016/j.ecolmodel.2017.05.030","http://dx.doi.org/10.1016/j.ecolmodel.2017.05.030")</f>
        <v>http://dx.doi.org/10.1016/j.ecolmodel.2017.05.030</v>
      </c>
      <c r="BG251" t="s">
        <v>74</v>
      </c>
      <c r="BH251" t="s">
        <v>74</v>
      </c>
      <c r="BI251">
        <v>11</v>
      </c>
      <c r="BJ251" t="s">
        <v>1047</v>
      </c>
      <c r="BK251" t="s">
        <v>101</v>
      </c>
      <c r="BL251" t="s">
        <v>1048</v>
      </c>
      <c r="BM251" t="s">
        <v>5264</v>
      </c>
      <c r="BN251" t="s">
        <v>74</v>
      </c>
      <c r="BO251" t="s">
        <v>511</v>
      </c>
      <c r="BP251" t="s">
        <v>74</v>
      </c>
      <c r="BQ251" t="s">
        <v>74</v>
      </c>
      <c r="BR251" t="s">
        <v>105</v>
      </c>
      <c r="BS251" t="s">
        <v>5265</v>
      </c>
      <c r="BT251" t="str">
        <f>HYPERLINK("https%3A%2F%2Fwww.webofscience.com%2Fwos%2Fwoscc%2Ffull-record%2FWOS:000409287500032","View Full Record in Web of Science")</f>
        <v>View Full Record in Web of Science</v>
      </c>
    </row>
    <row r="252" spans="1:72" x14ac:dyDescent="0.15">
      <c r="A252" t="s">
        <v>72</v>
      </c>
      <c r="B252" t="s">
        <v>5266</v>
      </c>
      <c r="C252" t="s">
        <v>74</v>
      </c>
      <c r="D252" t="s">
        <v>74</v>
      </c>
      <c r="E252" t="s">
        <v>74</v>
      </c>
      <c r="F252" t="s">
        <v>5267</v>
      </c>
      <c r="G252" t="s">
        <v>74</v>
      </c>
      <c r="H252" t="s">
        <v>74</v>
      </c>
      <c r="I252" t="s">
        <v>5268</v>
      </c>
      <c r="J252" t="s">
        <v>5246</v>
      </c>
      <c r="K252" t="s">
        <v>74</v>
      </c>
      <c r="L252" t="s">
        <v>74</v>
      </c>
      <c r="M252" t="s">
        <v>78</v>
      </c>
      <c r="N252" t="s">
        <v>79</v>
      </c>
      <c r="O252" t="s">
        <v>74</v>
      </c>
      <c r="P252" t="s">
        <v>74</v>
      </c>
      <c r="Q252" t="s">
        <v>74</v>
      </c>
      <c r="R252" t="s">
        <v>74</v>
      </c>
      <c r="S252" t="s">
        <v>74</v>
      </c>
      <c r="T252" t="s">
        <v>5269</v>
      </c>
      <c r="U252" t="s">
        <v>5270</v>
      </c>
      <c r="V252" t="s">
        <v>5271</v>
      </c>
      <c r="W252" t="s">
        <v>5272</v>
      </c>
      <c r="X252" t="s">
        <v>5273</v>
      </c>
      <c r="Y252" t="s">
        <v>5274</v>
      </c>
      <c r="Z252" t="s">
        <v>5275</v>
      </c>
      <c r="AA252" t="s">
        <v>5276</v>
      </c>
      <c r="AB252" t="s">
        <v>5277</v>
      </c>
      <c r="AC252" t="s">
        <v>5278</v>
      </c>
      <c r="AD252" t="s">
        <v>5279</v>
      </c>
      <c r="AE252" t="s">
        <v>5280</v>
      </c>
      <c r="AF252" t="s">
        <v>74</v>
      </c>
      <c r="AG252">
        <v>102</v>
      </c>
      <c r="AH252">
        <v>20</v>
      </c>
      <c r="AI252">
        <v>21</v>
      </c>
      <c r="AJ252">
        <v>2</v>
      </c>
      <c r="AK252">
        <v>37</v>
      </c>
      <c r="AL252" t="s">
        <v>371</v>
      </c>
      <c r="AM252" t="s">
        <v>372</v>
      </c>
      <c r="AN252" t="s">
        <v>373</v>
      </c>
      <c r="AO252" t="s">
        <v>5259</v>
      </c>
      <c r="AP252" t="s">
        <v>5260</v>
      </c>
      <c r="AQ252" t="s">
        <v>74</v>
      </c>
      <c r="AR252" t="s">
        <v>5261</v>
      </c>
      <c r="AS252" t="s">
        <v>5262</v>
      </c>
      <c r="AT252" t="s">
        <v>5238</v>
      </c>
      <c r="AU252">
        <v>2017</v>
      </c>
      <c r="AV252">
        <v>359</v>
      </c>
      <c r="AW252" t="s">
        <v>74</v>
      </c>
      <c r="AX252" t="s">
        <v>74</v>
      </c>
      <c r="AY252" t="s">
        <v>74</v>
      </c>
      <c r="AZ252" t="s">
        <v>74</v>
      </c>
      <c r="BA252" t="s">
        <v>74</v>
      </c>
      <c r="BB252">
        <v>182</v>
      </c>
      <c r="BC252">
        <v>192</v>
      </c>
      <c r="BD252" t="s">
        <v>74</v>
      </c>
      <c r="BE252" t="s">
        <v>5281</v>
      </c>
      <c r="BF252" t="str">
        <f>HYPERLINK("http://dx.doi.org/10.1016/j.ecolmodel.2017.04.004","http://dx.doi.org/10.1016/j.ecolmodel.2017.04.004")</f>
        <v>http://dx.doi.org/10.1016/j.ecolmodel.2017.04.004</v>
      </c>
      <c r="BG252" t="s">
        <v>74</v>
      </c>
      <c r="BH252" t="s">
        <v>74</v>
      </c>
      <c r="BI252">
        <v>11</v>
      </c>
      <c r="BJ252" t="s">
        <v>1047</v>
      </c>
      <c r="BK252" t="s">
        <v>101</v>
      </c>
      <c r="BL252" t="s">
        <v>1048</v>
      </c>
      <c r="BM252" t="s">
        <v>5264</v>
      </c>
      <c r="BN252" t="s">
        <v>74</v>
      </c>
      <c r="BO252" t="s">
        <v>74</v>
      </c>
      <c r="BP252" t="s">
        <v>74</v>
      </c>
      <c r="BQ252" t="s">
        <v>74</v>
      </c>
      <c r="BR252" t="s">
        <v>105</v>
      </c>
      <c r="BS252" t="s">
        <v>5282</v>
      </c>
      <c r="BT252" t="str">
        <f>HYPERLINK("https%3A%2F%2Fwww.webofscience.com%2Fwos%2Fwoscc%2Ffull-record%2FWOS:000409287500014","View Full Record in Web of Science")</f>
        <v>View Full Record in Web of Science</v>
      </c>
    </row>
    <row r="253" spans="1:72" x14ac:dyDescent="0.15">
      <c r="A253" t="s">
        <v>72</v>
      </c>
      <c r="B253" t="s">
        <v>5283</v>
      </c>
      <c r="C253" t="s">
        <v>74</v>
      </c>
      <c r="D253" t="s">
        <v>74</v>
      </c>
      <c r="E253" t="s">
        <v>74</v>
      </c>
      <c r="F253" t="s">
        <v>5284</v>
      </c>
      <c r="G253" t="s">
        <v>74</v>
      </c>
      <c r="H253" t="s">
        <v>74</v>
      </c>
      <c r="I253" t="s">
        <v>5285</v>
      </c>
      <c r="J253" t="s">
        <v>817</v>
      </c>
      <c r="K253" t="s">
        <v>74</v>
      </c>
      <c r="L253" t="s">
        <v>74</v>
      </c>
      <c r="M253" t="s">
        <v>78</v>
      </c>
      <c r="N253" t="s">
        <v>79</v>
      </c>
      <c r="O253" t="s">
        <v>74</v>
      </c>
      <c r="P253" t="s">
        <v>74</v>
      </c>
      <c r="Q253" t="s">
        <v>74</v>
      </c>
      <c r="R253" t="s">
        <v>74</v>
      </c>
      <c r="S253" t="s">
        <v>74</v>
      </c>
      <c r="T253" t="s">
        <v>74</v>
      </c>
      <c r="U253" t="s">
        <v>5286</v>
      </c>
      <c r="V253" t="s">
        <v>5287</v>
      </c>
      <c r="W253" t="s">
        <v>5288</v>
      </c>
      <c r="X253" t="s">
        <v>5289</v>
      </c>
      <c r="Y253" t="s">
        <v>5290</v>
      </c>
      <c r="Z253" t="s">
        <v>5291</v>
      </c>
      <c r="AA253" t="s">
        <v>5292</v>
      </c>
      <c r="AB253" t="s">
        <v>5293</v>
      </c>
      <c r="AC253" t="s">
        <v>5294</v>
      </c>
      <c r="AD253" t="s">
        <v>5295</v>
      </c>
      <c r="AE253" t="s">
        <v>5296</v>
      </c>
      <c r="AF253" t="s">
        <v>74</v>
      </c>
      <c r="AG253">
        <v>57</v>
      </c>
      <c r="AH253">
        <v>15</v>
      </c>
      <c r="AI253">
        <v>15</v>
      </c>
      <c r="AJ253">
        <v>0</v>
      </c>
      <c r="AK253">
        <v>18</v>
      </c>
      <c r="AL253" t="s">
        <v>311</v>
      </c>
      <c r="AM253" t="s">
        <v>312</v>
      </c>
      <c r="AN253" t="s">
        <v>313</v>
      </c>
      <c r="AO253" t="s">
        <v>829</v>
      </c>
      <c r="AP253" t="s">
        <v>830</v>
      </c>
      <c r="AQ253" t="s">
        <v>74</v>
      </c>
      <c r="AR253" t="s">
        <v>831</v>
      </c>
      <c r="AS253" t="s">
        <v>832</v>
      </c>
      <c r="AT253" t="s">
        <v>5297</v>
      </c>
      <c r="AU253">
        <v>2017</v>
      </c>
      <c r="AV253">
        <v>17</v>
      </c>
      <c r="AW253">
        <v>17</v>
      </c>
      <c r="AX253" t="s">
        <v>74</v>
      </c>
      <c r="AY253" t="s">
        <v>74</v>
      </c>
      <c r="AZ253" t="s">
        <v>74</v>
      </c>
      <c r="BA253" t="s">
        <v>74</v>
      </c>
      <c r="BB253">
        <v>10535</v>
      </c>
      <c r="BC253">
        <v>10563</v>
      </c>
      <c r="BD253" t="s">
        <v>74</v>
      </c>
      <c r="BE253" t="s">
        <v>5298</v>
      </c>
      <c r="BF253" t="str">
        <f>HYPERLINK("http://dx.doi.org/10.5194/acp-17-10535-2017","http://dx.doi.org/10.5194/acp-17-10535-2017")</f>
        <v>http://dx.doi.org/10.5194/acp-17-10535-2017</v>
      </c>
      <c r="BG253" t="s">
        <v>74</v>
      </c>
      <c r="BH253" t="s">
        <v>74</v>
      </c>
      <c r="BI253">
        <v>29</v>
      </c>
      <c r="BJ253" t="s">
        <v>834</v>
      </c>
      <c r="BK253" t="s">
        <v>101</v>
      </c>
      <c r="BL253" t="s">
        <v>835</v>
      </c>
      <c r="BM253" t="s">
        <v>5299</v>
      </c>
      <c r="BN253" t="s">
        <v>74</v>
      </c>
      <c r="BO253" t="s">
        <v>322</v>
      </c>
      <c r="BP253" t="s">
        <v>74</v>
      </c>
      <c r="BQ253" t="s">
        <v>74</v>
      </c>
      <c r="BR253" t="s">
        <v>105</v>
      </c>
      <c r="BS253" t="s">
        <v>5300</v>
      </c>
      <c r="BT253" t="str">
        <f>HYPERLINK("https%3A%2F%2Fwww.webofscience.com%2Fwos%2Fwoscc%2Ffull-record%2FWOS:000409983100002","View Full Record in Web of Science")</f>
        <v>View Full Record in Web of Science</v>
      </c>
    </row>
    <row r="254" spans="1:72" x14ac:dyDescent="0.15">
      <c r="A254" t="s">
        <v>72</v>
      </c>
      <c r="B254" t="s">
        <v>5301</v>
      </c>
      <c r="C254" t="s">
        <v>74</v>
      </c>
      <c r="D254" t="s">
        <v>74</v>
      </c>
      <c r="E254" t="s">
        <v>74</v>
      </c>
      <c r="F254" t="s">
        <v>5302</v>
      </c>
      <c r="G254" t="s">
        <v>74</v>
      </c>
      <c r="H254" t="s">
        <v>74</v>
      </c>
      <c r="I254" t="s">
        <v>5303</v>
      </c>
      <c r="J254" t="s">
        <v>5304</v>
      </c>
      <c r="K254" t="s">
        <v>74</v>
      </c>
      <c r="L254" t="s">
        <v>74</v>
      </c>
      <c r="M254" t="s">
        <v>78</v>
      </c>
      <c r="N254" t="s">
        <v>273</v>
      </c>
      <c r="O254" t="s">
        <v>74</v>
      </c>
      <c r="P254" t="s">
        <v>74</v>
      </c>
      <c r="Q254" t="s">
        <v>74</v>
      </c>
      <c r="R254" t="s">
        <v>74</v>
      </c>
      <c r="S254" t="s">
        <v>74</v>
      </c>
      <c r="T254" t="s">
        <v>74</v>
      </c>
      <c r="U254" t="s">
        <v>5305</v>
      </c>
      <c r="V254" t="s">
        <v>5306</v>
      </c>
      <c r="W254" t="s">
        <v>5307</v>
      </c>
      <c r="X254" t="s">
        <v>1308</v>
      </c>
      <c r="Y254" t="s">
        <v>5308</v>
      </c>
      <c r="Z254" t="s">
        <v>5309</v>
      </c>
      <c r="AA254" t="s">
        <v>5310</v>
      </c>
      <c r="AB254" t="s">
        <v>74</v>
      </c>
      <c r="AC254" t="s">
        <v>5311</v>
      </c>
      <c r="AD254" t="s">
        <v>5311</v>
      </c>
      <c r="AE254" t="s">
        <v>5312</v>
      </c>
      <c r="AF254" t="s">
        <v>74</v>
      </c>
      <c r="AG254">
        <v>79</v>
      </c>
      <c r="AH254">
        <v>14</v>
      </c>
      <c r="AI254">
        <v>14</v>
      </c>
      <c r="AJ254">
        <v>5</v>
      </c>
      <c r="AK254">
        <v>57</v>
      </c>
      <c r="AL254" t="s">
        <v>311</v>
      </c>
      <c r="AM254" t="s">
        <v>312</v>
      </c>
      <c r="AN254" t="s">
        <v>313</v>
      </c>
      <c r="AO254" t="s">
        <v>5313</v>
      </c>
      <c r="AP254" t="s">
        <v>5314</v>
      </c>
      <c r="AQ254" t="s">
        <v>74</v>
      </c>
      <c r="AR254" t="s">
        <v>5304</v>
      </c>
      <c r="AS254" t="s">
        <v>5315</v>
      </c>
      <c r="AT254" t="s">
        <v>5297</v>
      </c>
      <c r="AU254">
        <v>2017</v>
      </c>
      <c r="AV254">
        <v>14</v>
      </c>
      <c r="AW254">
        <v>17</v>
      </c>
      <c r="AX254" t="s">
        <v>74</v>
      </c>
      <c r="AY254" t="s">
        <v>74</v>
      </c>
      <c r="AZ254" t="s">
        <v>74</v>
      </c>
      <c r="BA254" t="s">
        <v>74</v>
      </c>
      <c r="BB254">
        <v>3927</v>
      </c>
      <c r="BC254">
        <v>3935</v>
      </c>
      <c r="BD254" t="s">
        <v>74</v>
      </c>
      <c r="BE254" t="s">
        <v>5316</v>
      </c>
      <c r="BF254" t="str">
        <f>HYPERLINK("http://dx.doi.org/10.5194/bg-14-3927-2017","http://dx.doi.org/10.5194/bg-14-3927-2017")</f>
        <v>http://dx.doi.org/10.5194/bg-14-3927-2017</v>
      </c>
      <c r="BG254" t="s">
        <v>74</v>
      </c>
      <c r="BH254" t="s">
        <v>74</v>
      </c>
      <c r="BI254">
        <v>9</v>
      </c>
      <c r="BJ254" t="s">
        <v>5317</v>
      </c>
      <c r="BK254" t="s">
        <v>101</v>
      </c>
      <c r="BL254" t="s">
        <v>5318</v>
      </c>
      <c r="BM254" t="s">
        <v>5319</v>
      </c>
      <c r="BN254" t="s">
        <v>74</v>
      </c>
      <c r="BO254" t="s">
        <v>322</v>
      </c>
      <c r="BP254" t="s">
        <v>74</v>
      </c>
      <c r="BQ254" t="s">
        <v>74</v>
      </c>
      <c r="BR254" t="s">
        <v>105</v>
      </c>
      <c r="BS254" t="s">
        <v>5320</v>
      </c>
      <c r="BT254" t="str">
        <f>HYPERLINK("https%3A%2F%2Fwww.webofscience.com%2Fwos%2Fwoscc%2Ffull-record%2FWOS:000409818800001","View Full Record in Web of Science")</f>
        <v>View Full Record in Web of Science</v>
      </c>
    </row>
    <row r="255" spans="1:72" x14ac:dyDescent="0.15">
      <c r="A255" t="s">
        <v>72</v>
      </c>
      <c r="B255" t="s">
        <v>5321</v>
      </c>
      <c r="C255" t="s">
        <v>74</v>
      </c>
      <c r="D255" t="s">
        <v>74</v>
      </c>
      <c r="E255" t="s">
        <v>74</v>
      </c>
      <c r="F255" t="s">
        <v>5322</v>
      </c>
      <c r="G255" t="s">
        <v>74</v>
      </c>
      <c r="H255" t="s">
        <v>74</v>
      </c>
      <c r="I255" t="s">
        <v>5323</v>
      </c>
      <c r="J255" t="s">
        <v>169</v>
      </c>
      <c r="K255" t="s">
        <v>74</v>
      </c>
      <c r="L255" t="s">
        <v>74</v>
      </c>
      <c r="M255" t="s">
        <v>78</v>
      </c>
      <c r="N255" t="s">
        <v>5324</v>
      </c>
      <c r="O255" t="s">
        <v>74</v>
      </c>
      <c r="P255" t="s">
        <v>74</v>
      </c>
      <c r="Q255" t="s">
        <v>74</v>
      </c>
      <c r="R255" t="s">
        <v>74</v>
      </c>
      <c r="S255" t="s">
        <v>74</v>
      </c>
      <c r="T255" t="s">
        <v>74</v>
      </c>
      <c r="U255" t="s">
        <v>74</v>
      </c>
      <c r="V255" t="s">
        <v>74</v>
      </c>
      <c r="W255" t="s">
        <v>74</v>
      </c>
      <c r="X255" t="s">
        <v>74</v>
      </c>
      <c r="Y255" t="s">
        <v>74</v>
      </c>
      <c r="Z255" t="s">
        <v>74</v>
      </c>
      <c r="AA255" t="s">
        <v>74</v>
      </c>
      <c r="AB255" t="s">
        <v>74</v>
      </c>
      <c r="AC255" t="s">
        <v>74</v>
      </c>
      <c r="AD255" t="s">
        <v>74</v>
      </c>
      <c r="AE255" t="s">
        <v>74</v>
      </c>
      <c r="AF255" t="s">
        <v>74</v>
      </c>
      <c r="AG255">
        <v>0</v>
      </c>
      <c r="AH255">
        <v>0</v>
      </c>
      <c r="AI255">
        <v>0</v>
      </c>
      <c r="AJ255">
        <v>0</v>
      </c>
      <c r="AK255">
        <v>9</v>
      </c>
      <c r="AL255" t="s">
        <v>5325</v>
      </c>
      <c r="AM255" t="s">
        <v>651</v>
      </c>
      <c r="AN255" t="s">
        <v>652</v>
      </c>
      <c r="AO255" t="s">
        <v>184</v>
      </c>
      <c r="AP255" t="s">
        <v>185</v>
      </c>
      <c r="AQ255" t="s">
        <v>74</v>
      </c>
      <c r="AR255" t="s">
        <v>169</v>
      </c>
      <c r="AS255" t="s">
        <v>186</v>
      </c>
      <c r="AT255" t="s">
        <v>5326</v>
      </c>
      <c r="AU255">
        <v>2017</v>
      </c>
      <c r="AV255">
        <v>549</v>
      </c>
      <c r="AW255">
        <v>7670</v>
      </c>
      <c r="AX255" t="s">
        <v>74</v>
      </c>
      <c r="AY255" t="s">
        <v>74</v>
      </c>
      <c r="AZ255" t="s">
        <v>74</v>
      </c>
      <c r="BA255" t="s">
        <v>74</v>
      </c>
      <c r="BB255">
        <v>16</v>
      </c>
      <c r="BC255">
        <v>16</v>
      </c>
      <c r="BD255" t="s">
        <v>74</v>
      </c>
      <c r="BE255" t="s">
        <v>5327</v>
      </c>
      <c r="BF255" t="str">
        <f>HYPERLINK("http://dx.doi.org/10.1038/nature.2017.22543","http://dx.doi.org/10.1038/nature.2017.22543")</f>
        <v>http://dx.doi.org/10.1038/nature.2017.22543</v>
      </c>
      <c r="BG255" t="s">
        <v>74</v>
      </c>
      <c r="BH255" t="s">
        <v>74</v>
      </c>
      <c r="BI255">
        <v>1</v>
      </c>
      <c r="BJ255" t="s">
        <v>190</v>
      </c>
      <c r="BK255" t="s">
        <v>101</v>
      </c>
      <c r="BL255" t="s">
        <v>191</v>
      </c>
      <c r="BM255" t="s">
        <v>5328</v>
      </c>
      <c r="BN255">
        <v>28880305</v>
      </c>
      <c r="BO255" t="s">
        <v>74</v>
      </c>
      <c r="BP255" t="s">
        <v>74</v>
      </c>
      <c r="BQ255" t="s">
        <v>74</v>
      </c>
      <c r="BR255" t="s">
        <v>105</v>
      </c>
      <c r="BS255" t="s">
        <v>5329</v>
      </c>
      <c r="BT255" t="str">
        <f>HYPERLINK("https%3A%2F%2Fwww.webofscience.com%2Fwos%2Fwoscc%2Ffull-record%2FWOS:000409388700009","View Full Record in Web of Science")</f>
        <v>View Full Record in Web of Science</v>
      </c>
    </row>
    <row r="256" spans="1:72" x14ac:dyDescent="0.15">
      <c r="A256" t="s">
        <v>72</v>
      </c>
      <c r="B256" t="s">
        <v>5330</v>
      </c>
      <c r="C256" t="s">
        <v>74</v>
      </c>
      <c r="D256" t="s">
        <v>74</v>
      </c>
      <c r="E256" t="s">
        <v>74</v>
      </c>
      <c r="F256" t="s">
        <v>5331</v>
      </c>
      <c r="G256" t="s">
        <v>74</v>
      </c>
      <c r="H256" t="s">
        <v>74</v>
      </c>
      <c r="I256" t="s">
        <v>5332</v>
      </c>
      <c r="J256" t="s">
        <v>299</v>
      </c>
      <c r="K256" t="s">
        <v>74</v>
      </c>
      <c r="L256" t="s">
        <v>74</v>
      </c>
      <c r="M256" t="s">
        <v>78</v>
      </c>
      <c r="N256" t="s">
        <v>79</v>
      </c>
      <c r="O256" t="s">
        <v>74</v>
      </c>
      <c r="P256" t="s">
        <v>74</v>
      </c>
      <c r="Q256" t="s">
        <v>74</v>
      </c>
      <c r="R256" t="s">
        <v>74</v>
      </c>
      <c r="S256" t="s">
        <v>74</v>
      </c>
      <c r="T256" t="s">
        <v>74</v>
      </c>
      <c r="U256" t="s">
        <v>5333</v>
      </c>
      <c r="V256" t="s">
        <v>5334</v>
      </c>
      <c r="W256" t="s">
        <v>5335</v>
      </c>
      <c r="X256" t="s">
        <v>5336</v>
      </c>
      <c r="Y256" t="s">
        <v>5337</v>
      </c>
      <c r="Z256" t="s">
        <v>5338</v>
      </c>
      <c r="AA256" t="s">
        <v>5339</v>
      </c>
      <c r="AB256" t="s">
        <v>5340</v>
      </c>
      <c r="AC256" t="s">
        <v>5341</v>
      </c>
      <c r="AD256" t="s">
        <v>5342</v>
      </c>
      <c r="AE256" t="s">
        <v>5343</v>
      </c>
      <c r="AF256" t="s">
        <v>74</v>
      </c>
      <c r="AG256">
        <v>22</v>
      </c>
      <c r="AH256">
        <v>3</v>
      </c>
      <c r="AI256">
        <v>3</v>
      </c>
      <c r="AJ256">
        <v>0</v>
      </c>
      <c r="AK256">
        <v>11</v>
      </c>
      <c r="AL256" t="s">
        <v>311</v>
      </c>
      <c r="AM256" t="s">
        <v>312</v>
      </c>
      <c r="AN256" t="s">
        <v>313</v>
      </c>
      <c r="AO256" t="s">
        <v>314</v>
      </c>
      <c r="AP256" t="s">
        <v>315</v>
      </c>
      <c r="AQ256" t="s">
        <v>74</v>
      </c>
      <c r="AR256" t="s">
        <v>299</v>
      </c>
      <c r="AS256" t="s">
        <v>316</v>
      </c>
      <c r="AT256" t="s">
        <v>5326</v>
      </c>
      <c r="AU256">
        <v>2017</v>
      </c>
      <c r="AV256">
        <v>11</v>
      </c>
      <c r="AW256">
        <v>5</v>
      </c>
      <c r="AX256" t="s">
        <v>74</v>
      </c>
      <c r="AY256" t="s">
        <v>74</v>
      </c>
      <c r="AZ256" t="s">
        <v>74</v>
      </c>
      <c r="BA256" t="s">
        <v>74</v>
      </c>
      <c r="BB256">
        <v>2111</v>
      </c>
      <c r="BC256">
        <v>2116</v>
      </c>
      <c r="BD256" t="s">
        <v>74</v>
      </c>
      <c r="BE256" t="s">
        <v>5344</v>
      </c>
      <c r="BF256" t="str">
        <f>HYPERLINK("http://dx.doi.org/10.5194/tc-11-2111-2017","http://dx.doi.org/10.5194/tc-11-2111-2017")</f>
        <v>http://dx.doi.org/10.5194/tc-11-2111-2017</v>
      </c>
      <c r="BG256" t="s">
        <v>74</v>
      </c>
      <c r="BH256" t="s">
        <v>74</v>
      </c>
      <c r="BI256">
        <v>6</v>
      </c>
      <c r="BJ256" t="s">
        <v>319</v>
      </c>
      <c r="BK256" t="s">
        <v>101</v>
      </c>
      <c r="BL256" t="s">
        <v>320</v>
      </c>
      <c r="BM256" t="s">
        <v>5345</v>
      </c>
      <c r="BN256" t="s">
        <v>74</v>
      </c>
      <c r="BO256" t="s">
        <v>322</v>
      </c>
      <c r="BP256" t="s">
        <v>74</v>
      </c>
      <c r="BQ256" t="s">
        <v>74</v>
      </c>
      <c r="BR256" t="s">
        <v>105</v>
      </c>
      <c r="BS256" t="s">
        <v>5346</v>
      </c>
      <c r="BT256" t="str">
        <f>HYPERLINK("https%3A%2F%2Fwww.webofscience.com%2Fwos%2Fwoscc%2Ffull-record%2FWOS:000409477900001","View Full Record in Web of Science")</f>
        <v>View Full Record in Web of Science</v>
      </c>
    </row>
    <row r="257" spans="1:72" x14ac:dyDescent="0.15">
      <c r="A257" t="s">
        <v>72</v>
      </c>
      <c r="B257" t="s">
        <v>5347</v>
      </c>
      <c r="C257" t="s">
        <v>74</v>
      </c>
      <c r="D257" t="s">
        <v>74</v>
      </c>
      <c r="E257" t="s">
        <v>74</v>
      </c>
      <c r="F257" t="s">
        <v>5348</v>
      </c>
      <c r="G257" t="s">
        <v>74</v>
      </c>
      <c r="H257" t="s">
        <v>74</v>
      </c>
      <c r="I257" t="s">
        <v>5349</v>
      </c>
      <c r="J257" t="s">
        <v>5350</v>
      </c>
      <c r="K257" t="s">
        <v>74</v>
      </c>
      <c r="L257" t="s">
        <v>74</v>
      </c>
      <c r="M257" t="s">
        <v>78</v>
      </c>
      <c r="N257" t="s">
        <v>79</v>
      </c>
      <c r="O257" t="s">
        <v>74</v>
      </c>
      <c r="P257" t="s">
        <v>74</v>
      </c>
      <c r="Q257" t="s">
        <v>74</v>
      </c>
      <c r="R257" t="s">
        <v>74</v>
      </c>
      <c r="S257" t="s">
        <v>74</v>
      </c>
      <c r="T257" t="s">
        <v>5351</v>
      </c>
      <c r="U257" t="s">
        <v>5352</v>
      </c>
      <c r="V257" t="s">
        <v>5353</v>
      </c>
      <c r="W257" t="s">
        <v>5354</v>
      </c>
      <c r="X257" t="s">
        <v>5355</v>
      </c>
      <c r="Y257" t="s">
        <v>5356</v>
      </c>
      <c r="Z257" t="s">
        <v>5357</v>
      </c>
      <c r="AA257" t="s">
        <v>5358</v>
      </c>
      <c r="AB257" t="s">
        <v>5359</v>
      </c>
      <c r="AC257" t="s">
        <v>5360</v>
      </c>
      <c r="AD257" t="s">
        <v>5361</v>
      </c>
      <c r="AE257" t="s">
        <v>5362</v>
      </c>
      <c r="AF257" t="s">
        <v>74</v>
      </c>
      <c r="AG257">
        <v>70</v>
      </c>
      <c r="AH257">
        <v>3</v>
      </c>
      <c r="AI257">
        <v>3</v>
      </c>
      <c r="AJ257">
        <v>0</v>
      </c>
      <c r="AK257">
        <v>3</v>
      </c>
      <c r="AL257" t="s">
        <v>5363</v>
      </c>
      <c r="AM257" t="s">
        <v>5364</v>
      </c>
      <c r="AN257" t="s">
        <v>5365</v>
      </c>
      <c r="AO257" t="s">
        <v>5366</v>
      </c>
      <c r="AP257" t="s">
        <v>74</v>
      </c>
      <c r="AQ257" t="s">
        <v>74</v>
      </c>
      <c r="AR257" t="s">
        <v>5367</v>
      </c>
      <c r="AS257" t="s">
        <v>5368</v>
      </c>
      <c r="AT257" t="s">
        <v>5369</v>
      </c>
      <c r="AU257">
        <v>2017</v>
      </c>
      <c r="AV257">
        <v>69</v>
      </c>
      <c r="AW257">
        <v>4</v>
      </c>
      <c r="AX257" t="s">
        <v>74</v>
      </c>
      <c r="AY257" t="s">
        <v>74</v>
      </c>
      <c r="AZ257" t="s">
        <v>74</v>
      </c>
      <c r="BA257" t="s">
        <v>74</v>
      </c>
      <c r="BB257">
        <v>259</v>
      </c>
      <c r="BC257">
        <v>275</v>
      </c>
      <c r="BD257" t="s">
        <v>74</v>
      </c>
      <c r="BE257" t="s">
        <v>5370</v>
      </c>
      <c r="BF257" t="str">
        <f>HYPERLINK("http://dx.doi.org/10.3853/j.2201-4349.69.2017.1679","http://dx.doi.org/10.3853/j.2201-4349.69.2017.1679")</f>
        <v>http://dx.doi.org/10.3853/j.2201-4349.69.2017.1679</v>
      </c>
      <c r="BG257" t="s">
        <v>74</v>
      </c>
      <c r="BH257" t="s">
        <v>74</v>
      </c>
      <c r="BI257">
        <v>17</v>
      </c>
      <c r="BJ257" t="s">
        <v>2802</v>
      </c>
      <c r="BK257" t="s">
        <v>101</v>
      </c>
      <c r="BL257" t="s">
        <v>2802</v>
      </c>
      <c r="BM257" t="s">
        <v>5371</v>
      </c>
      <c r="BN257" t="s">
        <v>74</v>
      </c>
      <c r="BO257" t="s">
        <v>1131</v>
      </c>
      <c r="BP257" t="s">
        <v>74</v>
      </c>
      <c r="BQ257" t="s">
        <v>74</v>
      </c>
      <c r="BR257" t="s">
        <v>105</v>
      </c>
      <c r="BS257" t="s">
        <v>5372</v>
      </c>
      <c r="BT257" t="str">
        <f>HYPERLINK("https%3A%2F%2Fwww.webofscience.com%2Fwos%2Fwoscc%2Ffull-record%2FWOS:000411532700004","View Full Record in Web of Science")</f>
        <v>View Full Record in Web of Science</v>
      </c>
    </row>
    <row r="258" spans="1:72" x14ac:dyDescent="0.15">
      <c r="A258" t="s">
        <v>72</v>
      </c>
      <c r="B258" t="s">
        <v>5373</v>
      </c>
      <c r="C258" t="s">
        <v>74</v>
      </c>
      <c r="D258" t="s">
        <v>74</v>
      </c>
      <c r="E258" t="s">
        <v>74</v>
      </c>
      <c r="F258" t="s">
        <v>5374</v>
      </c>
      <c r="G258" t="s">
        <v>74</v>
      </c>
      <c r="H258" t="s">
        <v>74</v>
      </c>
      <c r="I258" t="s">
        <v>5375</v>
      </c>
      <c r="J258" t="s">
        <v>860</v>
      </c>
      <c r="K258" t="s">
        <v>74</v>
      </c>
      <c r="L258" t="s">
        <v>74</v>
      </c>
      <c r="M258" t="s">
        <v>78</v>
      </c>
      <c r="N258" t="s">
        <v>79</v>
      </c>
      <c r="O258" t="s">
        <v>74</v>
      </c>
      <c r="P258" t="s">
        <v>74</v>
      </c>
      <c r="Q258" t="s">
        <v>74</v>
      </c>
      <c r="R258" t="s">
        <v>74</v>
      </c>
      <c r="S258" t="s">
        <v>74</v>
      </c>
      <c r="T258" t="s">
        <v>74</v>
      </c>
      <c r="U258" t="s">
        <v>5376</v>
      </c>
      <c r="V258" t="s">
        <v>5377</v>
      </c>
      <c r="W258" t="s">
        <v>5378</v>
      </c>
      <c r="X258" t="s">
        <v>5379</v>
      </c>
      <c r="Y258" t="s">
        <v>5380</v>
      </c>
      <c r="Z258" t="s">
        <v>5381</v>
      </c>
      <c r="AA258" t="s">
        <v>5382</v>
      </c>
      <c r="AB258" t="s">
        <v>5383</v>
      </c>
      <c r="AC258" t="s">
        <v>5384</v>
      </c>
      <c r="AD258" t="s">
        <v>5384</v>
      </c>
      <c r="AE258" t="s">
        <v>5385</v>
      </c>
      <c r="AF258" t="s">
        <v>74</v>
      </c>
      <c r="AG258">
        <v>52</v>
      </c>
      <c r="AH258">
        <v>14</v>
      </c>
      <c r="AI258">
        <v>15</v>
      </c>
      <c r="AJ258">
        <v>4</v>
      </c>
      <c r="AK258">
        <v>36</v>
      </c>
      <c r="AL258" t="s">
        <v>872</v>
      </c>
      <c r="AM258" t="s">
        <v>873</v>
      </c>
      <c r="AN258" t="s">
        <v>874</v>
      </c>
      <c r="AO258" t="s">
        <v>875</v>
      </c>
      <c r="AP258" t="s">
        <v>74</v>
      </c>
      <c r="AQ258" t="s">
        <v>74</v>
      </c>
      <c r="AR258" t="s">
        <v>860</v>
      </c>
      <c r="AS258" t="s">
        <v>876</v>
      </c>
      <c r="AT258" t="s">
        <v>5369</v>
      </c>
      <c r="AU258">
        <v>2017</v>
      </c>
      <c r="AV258">
        <v>12</v>
      </c>
      <c r="AW258">
        <v>9</v>
      </c>
      <c r="AX258" t="s">
        <v>74</v>
      </c>
      <c r="AY258" t="s">
        <v>74</v>
      </c>
      <c r="AZ258" t="s">
        <v>74</v>
      </c>
      <c r="BA258" t="s">
        <v>74</v>
      </c>
      <c r="BB258" t="s">
        <v>74</v>
      </c>
      <c r="BC258" t="s">
        <v>74</v>
      </c>
      <c r="BD258" t="s">
        <v>5386</v>
      </c>
      <c r="BE258" t="s">
        <v>5387</v>
      </c>
      <c r="BF258" t="str">
        <f>HYPERLINK("http://dx.doi.org/10.1371/journal.pone.0180805","http://dx.doi.org/10.1371/journal.pone.0180805")</f>
        <v>http://dx.doi.org/10.1371/journal.pone.0180805</v>
      </c>
      <c r="BG258" t="s">
        <v>74</v>
      </c>
      <c r="BH258" t="s">
        <v>74</v>
      </c>
      <c r="BI258">
        <v>14</v>
      </c>
      <c r="BJ258" t="s">
        <v>190</v>
      </c>
      <c r="BK258" t="s">
        <v>101</v>
      </c>
      <c r="BL258" t="s">
        <v>191</v>
      </c>
      <c r="BM258" t="s">
        <v>5388</v>
      </c>
      <c r="BN258">
        <v>28877193</v>
      </c>
      <c r="BO258" t="s">
        <v>3771</v>
      </c>
      <c r="BP258" t="s">
        <v>74</v>
      </c>
      <c r="BQ258" t="s">
        <v>74</v>
      </c>
      <c r="BR258" t="s">
        <v>105</v>
      </c>
      <c r="BS258" t="s">
        <v>5389</v>
      </c>
      <c r="BT258" t="str">
        <f>HYPERLINK("https%3A%2F%2Fwww.webofscience.com%2Fwos%2Fwoscc%2Ffull-record%2FWOS:000409391200005","View Full Record in Web of Science")</f>
        <v>View Full Record in Web of Science</v>
      </c>
    </row>
    <row r="259" spans="1:72" x14ac:dyDescent="0.15">
      <c r="A259" t="s">
        <v>72</v>
      </c>
      <c r="B259" t="s">
        <v>5390</v>
      </c>
      <c r="C259" t="s">
        <v>74</v>
      </c>
      <c r="D259" t="s">
        <v>74</v>
      </c>
      <c r="E259" t="s">
        <v>74</v>
      </c>
      <c r="F259" t="s">
        <v>5391</v>
      </c>
      <c r="G259" t="s">
        <v>74</v>
      </c>
      <c r="H259" t="s">
        <v>74</v>
      </c>
      <c r="I259" t="s">
        <v>5392</v>
      </c>
      <c r="J259" t="s">
        <v>5393</v>
      </c>
      <c r="K259" t="s">
        <v>74</v>
      </c>
      <c r="L259" t="s">
        <v>74</v>
      </c>
      <c r="M259" t="s">
        <v>78</v>
      </c>
      <c r="N259" t="s">
        <v>79</v>
      </c>
      <c r="O259" t="s">
        <v>74</v>
      </c>
      <c r="P259" t="s">
        <v>74</v>
      </c>
      <c r="Q259" t="s">
        <v>74</v>
      </c>
      <c r="R259" t="s">
        <v>74</v>
      </c>
      <c r="S259" t="s">
        <v>74</v>
      </c>
      <c r="T259" t="s">
        <v>5394</v>
      </c>
      <c r="U259" t="s">
        <v>5395</v>
      </c>
      <c r="V259" t="s">
        <v>5396</v>
      </c>
      <c r="W259" t="s">
        <v>5397</v>
      </c>
      <c r="X259" t="s">
        <v>5398</v>
      </c>
      <c r="Y259" t="s">
        <v>5399</v>
      </c>
      <c r="Z259" t="s">
        <v>5400</v>
      </c>
      <c r="AA259" t="s">
        <v>5401</v>
      </c>
      <c r="AB259" t="s">
        <v>5402</v>
      </c>
      <c r="AC259" t="s">
        <v>5403</v>
      </c>
      <c r="AD259" t="s">
        <v>5404</v>
      </c>
      <c r="AE259" t="s">
        <v>5405</v>
      </c>
      <c r="AF259" t="s">
        <v>74</v>
      </c>
      <c r="AG259">
        <v>43</v>
      </c>
      <c r="AH259">
        <v>9</v>
      </c>
      <c r="AI259">
        <v>11</v>
      </c>
      <c r="AJ259">
        <v>0</v>
      </c>
      <c r="AK259">
        <v>9</v>
      </c>
      <c r="AL259" t="s">
        <v>259</v>
      </c>
      <c r="AM259" t="s">
        <v>182</v>
      </c>
      <c r="AN259" t="s">
        <v>260</v>
      </c>
      <c r="AO259" t="s">
        <v>5406</v>
      </c>
      <c r="AP259" t="s">
        <v>74</v>
      </c>
      <c r="AQ259" t="s">
        <v>74</v>
      </c>
      <c r="AR259" t="s">
        <v>5407</v>
      </c>
      <c r="AS259" t="s">
        <v>5408</v>
      </c>
      <c r="AT259" t="s">
        <v>5369</v>
      </c>
      <c r="AU259">
        <v>2017</v>
      </c>
      <c r="AV259">
        <v>12</v>
      </c>
      <c r="AW259" t="s">
        <v>74</v>
      </c>
      <c r="AX259" t="s">
        <v>74</v>
      </c>
      <c r="AY259" t="s">
        <v>74</v>
      </c>
      <c r="AZ259" t="s">
        <v>74</v>
      </c>
      <c r="BA259" t="s">
        <v>74</v>
      </c>
      <c r="BB259" t="s">
        <v>74</v>
      </c>
      <c r="BC259" t="s">
        <v>74</v>
      </c>
      <c r="BD259">
        <v>52</v>
      </c>
      <c r="BE259" t="s">
        <v>5409</v>
      </c>
      <c r="BF259" t="str">
        <f>HYPERLINK("http://dx.doi.org/10.1186/s40793-017-0264-0","http://dx.doi.org/10.1186/s40793-017-0264-0")</f>
        <v>http://dx.doi.org/10.1186/s40793-017-0264-0</v>
      </c>
      <c r="BG259" t="s">
        <v>74</v>
      </c>
      <c r="BH259" t="s">
        <v>74</v>
      </c>
      <c r="BI259">
        <v>7</v>
      </c>
      <c r="BJ259" t="s">
        <v>5410</v>
      </c>
      <c r="BK259" t="s">
        <v>101</v>
      </c>
      <c r="BL259" t="s">
        <v>5410</v>
      </c>
      <c r="BM259" t="s">
        <v>5411</v>
      </c>
      <c r="BN259">
        <v>28904741</v>
      </c>
      <c r="BO259" t="s">
        <v>3771</v>
      </c>
      <c r="BP259" t="s">
        <v>74</v>
      </c>
      <c r="BQ259" t="s">
        <v>74</v>
      </c>
      <c r="BR259" t="s">
        <v>105</v>
      </c>
      <c r="BS259" t="s">
        <v>5412</v>
      </c>
      <c r="BT259" t="str">
        <f>HYPERLINK("https%3A%2F%2Fwww.webofscience.com%2Fwos%2Fwoscc%2Ffull-record%2FWOS:000409356600001","View Full Record in Web of Science")</f>
        <v>View Full Record in Web of Science</v>
      </c>
    </row>
    <row r="260" spans="1:72" x14ac:dyDescent="0.15">
      <c r="A260" t="s">
        <v>72</v>
      </c>
      <c r="B260" t="s">
        <v>5413</v>
      </c>
      <c r="C260" t="s">
        <v>74</v>
      </c>
      <c r="D260" t="s">
        <v>74</v>
      </c>
      <c r="E260" t="s">
        <v>74</v>
      </c>
      <c r="F260" t="s">
        <v>5414</v>
      </c>
      <c r="G260" t="s">
        <v>74</v>
      </c>
      <c r="H260" t="s">
        <v>74</v>
      </c>
      <c r="I260" t="s">
        <v>5415</v>
      </c>
      <c r="J260" t="s">
        <v>638</v>
      </c>
      <c r="K260" t="s">
        <v>74</v>
      </c>
      <c r="L260" t="s">
        <v>74</v>
      </c>
      <c r="M260" t="s">
        <v>78</v>
      </c>
      <c r="N260" t="s">
        <v>79</v>
      </c>
      <c r="O260" t="s">
        <v>74</v>
      </c>
      <c r="P260" t="s">
        <v>74</v>
      </c>
      <c r="Q260" t="s">
        <v>74</v>
      </c>
      <c r="R260" t="s">
        <v>74</v>
      </c>
      <c r="S260" t="s">
        <v>74</v>
      </c>
      <c r="T260" t="s">
        <v>74</v>
      </c>
      <c r="U260" t="s">
        <v>5416</v>
      </c>
      <c r="V260" t="s">
        <v>5417</v>
      </c>
      <c r="W260" t="s">
        <v>5418</v>
      </c>
      <c r="X260" t="s">
        <v>5419</v>
      </c>
      <c r="Y260" t="s">
        <v>5420</v>
      </c>
      <c r="Z260" t="s">
        <v>5421</v>
      </c>
      <c r="AA260" t="s">
        <v>5422</v>
      </c>
      <c r="AB260" t="s">
        <v>5423</v>
      </c>
      <c r="AC260" t="s">
        <v>5424</v>
      </c>
      <c r="AD260" t="s">
        <v>5425</v>
      </c>
      <c r="AE260" t="s">
        <v>5426</v>
      </c>
      <c r="AF260" t="s">
        <v>74</v>
      </c>
      <c r="AG260">
        <v>46</v>
      </c>
      <c r="AH260">
        <v>11</v>
      </c>
      <c r="AI260">
        <v>11</v>
      </c>
      <c r="AJ260">
        <v>0</v>
      </c>
      <c r="AK260">
        <v>32</v>
      </c>
      <c r="AL260" t="s">
        <v>650</v>
      </c>
      <c r="AM260" t="s">
        <v>651</v>
      </c>
      <c r="AN260" t="s">
        <v>652</v>
      </c>
      <c r="AO260" t="s">
        <v>653</v>
      </c>
      <c r="AP260" t="s">
        <v>74</v>
      </c>
      <c r="AQ260" t="s">
        <v>74</v>
      </c>
      <c r="AR260" t="s">
        <v>654</v>
      </c>
      <c r="AS260" t="s">
        <v>655</v>
      </c>
      <c r="AT260" t="s">
        <v>5369</v>
      </c>
      <c r="AU260">
        <v>2017</v>
      </c>
      <c r="AV260">
        <v>7</v>
      </c>
      <c r="AW260" t="s">
        <v>74</v>
      </c>
      <c r="AX260" t="s">
        <v>74</v>
      </c>
      <c r="AY260" t="s">
        <v>74</v>
      </c>
      <c r="AZ260" t="s">
        <v>74</v>
      </c>
      <c r="BA260" t="s">
        <v>74</v>
      </c>
      <c r="BB260" t="s">
        <v>74</v>
      </c>
      <c r="BC260" t="s">
        <v>74</v>
      </c>
      <c r="BD260">
        <v>10746</v>
      </c>
      <c r="BE260" t="s">
        <v>5427</v>
      </c>
      <c r="BF260" t="str">
        <f>HYPERLINK("http://dx.doi.org/10.1038/s41598-017-10723-1","http://dx.doi.org/10.1038/s41598-017-10723-1")</f>
        <v>http://dx.doi.org/10.1038/s41598-017-10723-1</v>
      </c>
      <c r="BG260" t="s">
        <v>74</v>
      </c>
      <c r="BH260" t="s">
        <v>74</v>
      </c>
      <c r="BI260">
        <v>12</v>
      </c>
      <c r="BJ260" t="s">
        <v>190</v>
      </c>
      <c r="BK260" t="s">
        <v>101</v>
      </c>
      <c r="BL260" t="s">
        <v>191</v>
      </c>
      <c r="BM260" t="s">
        <v>5428</v>
      </c>
      <c r="BN260">
        <v>28878250</v>
      </c>
      <c r="BO260" t="s">
        <v>5114</v>
      </c>
      <c r="BP260" t="s">
        <v>74</v>
      </c>
      <c r="BQ260" t="s">
        <v>74</v>
      </c>
      <c r="BR260" t="s">
        <v>105</v>
      </c>
      <c r="BS260" t="s">
        <v>5429</v>
      </c>
      <c r="BT260" t="str">
        <f>HYPERLINK("https%3A%2F%2Fwww.webofscience.com%2Fwos%2Fwoscc%2Ffull-record%2FWOS:000409439900164","View Full Record in Web of Science")</f>
        <v>View Full Record in Web of Science</v>
      </c>
    </row>
    <row r="261" spans="1:72" x14ac:dyDescent="0.15">
      <c r="A261" t="s">
        <v>72</v>
      </c>
      <c r="B261" t="s">
        <v>5430</v>
      </c>
      <c r="C261" t="s">
        <v>74</v>
      </c>
      <c r="D261" t="s">
        <v>74</v>
      </c>
      <c r="E261" t="s">
        <v>74</v>
      </c>
      <c r="F261" t="s">
        <v>5431</v>
      </c>
      <c r="G261" t="s">
        <v>74</v>
      </c>
      <c r="H261" t="s">
        <v>74</v>
      </c>
      <c r="I261" t="s">
        <v>5432</v>
      </c>
      <c r="J261" t="s">
        <v>5433</v>
      </c>
      <c r="K261" t="s">
        <v>74</v>
      </c>
      <c r="L261" t="s">
        <v>74</v>
      </c>
      <c r="M261" t="s">
        <v>78</v>
      </c>
      <c r="N261" t="s">
        <v>79</v>
      </c>
      <c r="O261" t="s">
        <v>74</v>
      </c>
      <c r="P261" t="s">
        <v>74</v>
      </c>
      <c r="Q261" t="s">
        <v>74</v>
      </c>
      <c r="R261" t="s">
        <v>74</v>
      </c>
      <c r="S261" t="s">
        <v>74</v>
      </c>
      <c r="T261" t="s">
        <v>74</v>
      </c>
      <c r="U261" t="s">
        <v>5434</v>
      </c>
      <c r="V261" t="s">
        <v>5435</v>
      </c>
      <c r="W261" t="s">
        <v>5436</v>
      </c>
      <c r="X261" t="s">
        <v>5437</v>
      </c>
      <c r="Y261" t="s">
        <v>5438</v>
      </c>
      <c r="Z261" t="s">
        <v>5439</v>
      </c>
      <c r="AA261" t="s">
        <v>5440</v>
      </c>
      <c r="AB261" t="s">
        <v>5441</v>
      </c>
      <c r="AC261" t="s">
        <v>5442</v>
      </c>
      <c r="AD261" t="s">
        <v>5443</v>
      </c>
      <c r="AE261" t="s">
        <v>5444</v>
      </c>
      <c r="AF261" t="s">
        <v>74</v>
      </c>
      <c r="AG261">
        <v>125</v>
      </c>
      <c r="AH261">
        <v>17</v>
      </c>
      <c r="AI261">
        <v>17</v>
      </c>
      <c r="AJ261">
        <v>1</v>
      </c>
      <c r="AK261">
        <v>17</v>
      </c>
      <c r="AL261" t="s">
        <v>311</v>
      </c>
      <c r="AM261" t="s">
        <v>312</v>
      </c>
      <c r="AN261" t="s">
        <v>313</v>
      </c>
      <c r="AO261" t="s">
        <v>5445</v>
      </c>
      <c r="AP261" t="s">
        <v>5446</v>
      </c>
      <c r="AQ261" t="s">
        <v>74</v>
      </c>
      <c r="AR261" t="s">
        <v>5433</v>
      </c>
      <c r="AS261" t="s">
        <v>5447</v>
      </c>
      <c r="AT261" t="s">
        <v>5369</v>
      </c>
      <c r="AU261">
        <v>2017</v>
      </c>
      <c r="AV261">
        <v>8</v>
      </c>
      <c r="AW261">
        <v>5</v>
      </c>
      <c r="AX261" t="s">
        <v>74</v>
      </c>
      <c r="AY261" t="s">
        <v>74</v>
      </c>
      <c r="AZ261" t="s">
        <v>74</v>
      </c>
      <c r="BA261" t="s">
        <v>74</v>
      </c>
      <c r="BB261">
        <v>883</v>
      </c>
      <c r="BC261">
        <v>898</v>
      </c>
      <c r="BD261" t="s">
        <v>74</v>
      </c>
      <c r="BE261" t="s">
        <v>5448</v>
      </c>
      <c r="BF261" t="str">
        <f>HYPERLINK("http://dx.doi.org/10.5194/se-8-883-2017","http://dx.doi.org/10.5194/se-8-883-2017")</f>
        <v>http://dx.doi.org/10.5194/se-8-883-2017</v>
      </c>
      <c r="BG261" t="s">
        <v>74</v>
      </c>
      <c r="BH261" t="s">
        <v>74</v>
      </c>
      <c r="BI261">
        <v>16</v>
      </c>
      <c r="BJ261" t="s">
        <v>509</v>
      </c>
      <c r="BK261" t="s">
        <v>101</v>
      </c>
      <c r="BL261" t="s">
        <v>509</v>
      </c>
      <c r="BM261" t="s">
        <v>5449</v>
      </c>
      <c r="BN261" t="s">
        <v>74</v>
      </c>
      <c r="BO261" t="s">
        <v>1131</v>
      </c>
      <c r="BP261" t="s">
        <v>74</v>
      </c>
      <c r="BQ261" t="s">
        <v>74</v>
      </c>
      <c r="BR261" t="s">
        <v>105</v>
      </c>
      <c r="BS261" t="s">
        <v>5450</v>
      </c>
      <c r="BT261" t="str">
        <f>HYPERLINK("https%3A%2F%2Fwww.webofscience.com%2Fwos%2Fwoscc%2Ffull-record%2FWOS:000413193500001","View Full Record in Web of Science")</f>
        <v>View Full Record in Web of Science</v>
      </c>
    </row>
    <row r="262" spans="1:72" x14ac:dyDescent="0.15">
      <c r="A262" t="s">
        <v>72</v>
      </c>
      <c r="B262" t="s">
        <v>5451</v>
      </c>
      <c r="C262" t="s">
        <v>74</v>
      </c>
      <c r="D262" t="s">
        <v>74</v>
      </c>
      <c r="E262" t="s">
        <v>74</v>
      </c>
      <c r="F262" t="s">
        <v>5452</v>
      </c>
      <c r="G262" t="s">
        <v>74</v>
      </c>
      <c r="H262" t="s">
        <v>74</v>
      </c>
      <c r="I262" t="s">
        <v>5453</v>
      </c>
      <c r="J262" t="s">
        <v>5454</v>
      </c>
      <c r="K262" t="s">
        <v>74</v>
      </c>
      <c r="L262" t="s">
        <v>74</v>
      </c>
      <c r="M262" t="s">
        <v>78</v>
      </c>
      <c r="N262" t="s">
        <v>79</v>
      </c>
      <c r="O262" t="s">
        <v>74</v>
      </c>
      <c r="P262" t="s">
        <v>74</v>
      </c>
      <c r="Q262" t="s">
        <v>74</v>
      </c>
      <c r="R262" t="s">
        <v>74</v>
      </c>
      <c r="S262" t="s">
        <v>74</v>
      </c>
      <c r="T262" t="s">
        <v>5455</v>
      </c>
      <c r="U262" t="s">
        <v>5456</v>
      </c>
      <c r="V262" t="s">
        <v>5457</v>
      </c>
      <c r="W262" t="s">
        <v>5458</v>
      </c>
      <c r="X262" t="s">
        <v>5459</v>
      </c>
      <c r="Y262" t="s">
        <v>5460</v>
      </c>
      <c r="Z262" t="s">
        <v>5461</v>
      </c>
      <c r="AA262" t="s">
        <v>5462</v>
      </c>
      <c r="AB262" t="s">
        <v>5463</v>
      </c>
      <c r="AC262" t="s">
        <v>5464</v>
      </c>
      <c r="AD262" t="s">
        <v>5465</v>
      </c>
      <c r="AE262" t="s">
        <v>5466</v>
      </c>
      <c r="AF262" t="s">
        <v>74</v>
      </c>
      <c r="AG262">
        <v>52</v>
      </c>
      <c r="AH262">
        <v>13</v>
      </c>
      <c r="AI262">
        <v>13</v>
      </c>
      <c r="AJ262">
        <v>0</v>
      </c>
      <c r="AK262">
        <v>6</v>
      </c>
      <c r="AL262" t="s">
        <v>804</v>
      </c>
      <c r="AM262" t="s">
        <v>805</v>
      </c>
      <c r="AN262" t="s">
        <v>806</v>
      </c>
      <c r="AO262" t="s">
        <v>5467</v>
      </c>
      <c r="AP262" t="s">
        <v>5468</v>
      </c>
      <c r="AQ262" t="s">
        <v>74</v>
      </c>
      <c r="AR262" t="s">
        <v>5454</v>
      </c>
      <c r="AS262" t="s">
        <v>5469</v>
      </c>
      <c r="AT262" t="s">
        <v>5470</v>
      </c>
      <c r="AU262">
        <v>2017</v>
      </c>
      <c r="AV262">
        <v>4317</v>
      </c>
      <c r="AW262">
        <v>3</v>
      </c>
      <c r="AX262" t="s">
        <v>74</v>
      </c>
      <c r="AY262" t="s">
        <v>74</v>
      </c>
      <c r="AZ262" t="s">
        <v>74</v>
      </c>
      <c r="BA262" t="s">
        <v>74</v>
      </c>
      <c r="BB262">
        <v>541</v>
      </c>
      <c r="BC262">
        <v>558</v>
      </c>
      <c r="BD262" t="s">
        <v>74</v>
      </c>
      <c r="BE262" t="s">
        <v>5471</v>
      </c>
      <c r="BF262" t="str">
        <f>HYPERLINK("http://dx.doi.org/10.11646/zootaxa.4317.3.6","http://dx.doi.org/10.11646/zootaxa.4317.3.6")</f>
        <v>http://dx.doi.org/10.11646/zootaxa.4317.3.6</v>
      </c>
      <c r="BG262" t="s">
        <v>74</v>
      </c>
      <c r="BH262" t="s">
        <v>74</v>
      </c>
      <c r="BI262">
        <v>18</v>
      </c>
      <c r="BJ262" t="s">
        <v>2802</v>
      </c>
      <c r="BK262" t="s">
        <v>101</v>
      </c>
      <c r="BL262" t="s">
        <v>2802</v>
      </c>
      <c r="BM262" t="s">
        <v>5472</v>
      </c>
      <c r="BN262" t="s">
        <v>74</v>
      </c>
      <c r="BO262" t="s">
        <v>74</v>
      </c>
      <c r="BP262" t="s">
        <v>74</v>
      </c>
      <c r="BQ262" t="s">
        <v>74</v>
      </c>
      <c r="BR262" t="s">
        <v>105</v>
      </c>
      <c r="BS262" t="s">
        <v>5473</v>
      </c>
      <c r="BT262" t="str">
        <f>HYPERLINK("https%3A%2F%2Fwww.webofscience.com%2Fwos%2Fwoscc%2Ffull-record%2FWOS:000409002000006","View Full Record in Web of Science")</f>
        <v>View Full Record in Web of Science</v>
      </c>
    </row>
    <row r="263" spans="1:72" x14ac:dyDescent="0.15">
      <c r="A263" t="s">
        <v>72</v>
      </c>
      <c r="B263" t="s">
        <v>5474</v>
      </c>
      <c r="C263" t="s">
        <v>74</v>
      </c>
      <c r="D263" t="s">
        <v>74</v>
      </c>
      <c r="E263" t="s">
        <v>74</v>
      </c>
      <c r="F263" t="s">
        <v>5475</v>
      </c>
      <c r="G263" t="s">
        <v>74</v>
      </c>
      <c r="H263" t="s">
        <v>74</v>
      </c>
      <c r="I263" t="s">
        <v>5476</v>
      </c>
      <c r="J263" t="s">
        <v>4504</v>
      </c>
      <c r="K263" t="s">
        <v>74</v>
      </c>
      <c r="L263" t="s">
        <v>74</v>
      </c>
      <c r="M263" t="s">
        <v>78</v>
      </c>
      <c r="N263" t="s">
        <v>79</v>
      </c>
      <c r="O263" t="s">
        <v>74</v>
      </c>
      <c r="P263" t="s">
        <v>74</v>
      </c>
      <c r="Q263" t="s">
        <v>74</v>
      </c>
      <c r="R263" t="s">
        <v>74</v>
      </c>
      <c r="S263" t="s">
        <v>74</v>
      </c>
      <c r="T263" t="s">
        <v>5477</v>
      </c>
      <c r="U263" t="s">
        <v>5478</v>
      </c>
      <c r="V263" t="s">
        <v>5479</v>
      </c>
      <c r="W263" t="s">
        <v>5480</v>
      </c>
      <c r="X263" t="s">
        <v>5481</v>
      </c>
      <c r="Y263" t="s">
        <v>5482</v>
      </c>
      <c r="Z263" t="s">
        <v>5483</v>
      </c>
      <c r="AA263" t="s">
        <v>5484</v>
      </c>
      <c r="AB263" t="s">
        <v>5485</v>
      </c>
      <c r="AC263" t="s">
        <v>5486</v>
      </c>
      <c r="AD263" t="s">
        <v>5487</v>
      </c>
      <c r="AE263" t="s">
        <v>5488</v>
      </c>
      <c r="AF263" t="s">
        <v>74</v>
      </c>
      <c r="AG263">
        <v>104</v>
      </c>
      <c r="AH263">
        <v>8</v>
      </c>
      <c r="AI263">
        <v>8</v>
      </c>
      <c r="AJ263">
        <v>2</v>
      </c>
      <c r="AK263">
        <v>71</v>
      </c>
      <c r="AL263" t="s">
        <v>502</v>
      </c>
      <c r="AM263" t="s">
        <v>372</v>
      </c>
      <c r="AN263" t="s">
        <v>503</v>
      </c>
      <c r="AO263" t="s">
        <v>4516</v>
      </c>
      <c r="AP263" t="s">
        <v>4517</v>
      </c>
      <c r="AQ263" t="s">
        <v>74</v>
      </c>
      <c r="AR263" t="s">
        <v>4518</v>
      </c>
      <c r="AS263" t="s">
        <v>4519</v>
      </c>
      <c r="AT263" t="s">
        <v>5470</v>
      </c>
      <c r="AU263">
        <v>2017</v>
      </c>
      <c r="AV263">
        <v>466</v>
      </c>
      <c r="AW263" t="s">
        <v>74</v>
      </c>
      <c r="AX263" t="s">
        <v>74</v>
      </c>
      <c r="AY263" t="s">
        <v>74</v>
      </c>
      <c r="AZ263" t="s">
        <v>74</v>
      </c>
      <c r="BA263" t="s">
        <v>74</v>
      </c>
      <c r="BB263">
        <v>762</v>
      </c>
      <c r="BC263">
        <v>775</v>
      </c>
      <c r="BD263" t="s">
        <v>74</v>
      </c>
      <c r="BE263" t="s">
        <v>5489</v>
      </c>
      <c r="BF263" t="str">
        <f>HYPERLINK("http://dx.doi.org/10.1016/j.chemgeo.2017.07.029","http://dx.doi.org/10.1016/j.chemgeo.2017.07.029")</f>
        <v>http://dx.doi.org/10.1016/j.chemgeo.2017.07.029</v>
      </c>
      <c r="BG263" t="s">
        <v>74</v>
      </c>
      <c r="BH263" t="s">
        <v>74</v>
      </c>
      <c r="BI263">
        <v>14</v>
      </c>
      <c r="BJ263" t="s">
        <v>509</v>
      </c>
      <c r="BK263" t="s">
        <v>101</v>
      </c>
      <c r="BL263" t="s">
        <v>509</v>
      </c>
      <c r="BM263" t="s">
        <v>5490</v>
      </c>
      <c r="BN263" t="s">
        <v>74</v>
      </c>
      <c r="BO263" t="s">
        <v>74</v>
      </c>
      <c r="BP263" t="s">
        <v>74</v>
      </c>
      <c r="BQ263" t="s">
        <v>74</v>
      </c>
      <c r="BR263" t="s">
        <v>105</v>
      </c>
      <c r="BS263" t="s">
        <v>5491</v>
      </c>
      <c r="BT263" t="str">
        <f>HYPERLINK("https%3A%2F%2Fwww.webofscience.com%2Fwos%2Fwoscc%2Ffull-record%2FWOS:000407861200060","View Full Record in Web of Science")</f>
        <v>View Full Record in Web of Science</v>
      </c>
    </row>
    <row r="264" spans="1:72" x14ac:dyDescent="0.15">
      <c r="A264" t="s">
        <v>72</v>
      </c>
      <c r="B264" t="s">
        <v>5492</v>
      </c>
      <c r="C264" t="s">
        <v>74</v>
      </c>
      <c r="D264" t="s">
        <v>74</v>
      </c>
      <c r="E264" t="s">
        <v>74</v>
      </c>
      <c r="F264" t="s">
        <v>5493</v>
      </c>
      <c r="G264" t="s">
        <v>74</v>
      </c>
      <c r="H264" t="s">
        <v>74</v>
      </c>
      <c r="I264" t="s">
        <v>5494</v>
      </c>
      <c r="J264" t="s">
        <v>4504</v>
      </c>
      <c r="K264" t="s">
        <v>74</v>
      </c>
      <c r="L264" t="s">
        <v>74</v>
      </c>
      <c r="M264" t="s">
        <v>78</v>
      </c>
      <c r="N264" t="s">
        <v>79</v>
      </c>
      <c r="O264" t="s">
        <v>74</v>
      </c>
      <c r="P264" t="s">
        <v>74</v>
      </c>
      <c r="Q264" t="s">
        <v>74</v>
      </c>
      <c r="R264" t="s">
        <v>74</v>
      </c>
      <c r="S264" t="s">
        <v>74</v>
      </c>
      <c r="T264" t="s">
        <v>5495</v>
      </c>
      <c r="U264" t="s">
        <v>5496</v>
      </c>
      <c r="V264" t="s">
        <v>5497</v>
      </c>
      <c r="W264" t="s">
        <v>5498</v>
      </c>
      <c r="X264" t="s">
        <v>5499</v>
      </c>
      <c r="Y264" t="s">
        <v>5500</v>
      </c>
      <c r="Z264" t="s">
        <v>5501</v>
      </c>
      <c r="AA264" t="s">
        <v>5502</v>
      </c>
      <c r="AB264" t="s">
        <v>5503</v>
      </c>
      <c r="AC264" t="s">
        <v>5504</v>
      </c>
      <c r="AD264" t="s">
        <v>5505</v>
      </c>
      <c r="AE264" t="s">
        <v>5506</v>
      </c>
      <c r="AF264" t="s">
        <v>74</v>
      </c>
      <c r="AG264">
        <v>69</v>
      </c>
      <c r="AH264">
        <v>7</v>
      </c>
      <c r="AI264">
        <v>7</v>
      </c>
      <c r="AJ264">
        <v>1</v>
      </c>
      <c r="AK264">
        <v>44</v>
      </c>
      <c r="AL264" t="s">
        <v>502</v>
      </c>
      <c r="AM264" t="s">
        <v>372</v>
      </c>
      <c r="AN264" t="s">
        <v>503</v>
      </c>
      <c r="AO264" t="s">
        <v>4516</v>
      </c>
      <c r="AP264" t="s">
        <v>4517</v>
      </c>
      <c r="AQ264" t="s">
        <v>74</v>
      </c>
      <c r="AR264" t="s">
        <v>4518</v>
      </c>
      <c r="AS264" t="s">
        <v>4519</v>
      </c>
      <c r="AT264" t="s">
        <v>5470</v>
      </c>
      <c r="AU264">
        <v>2017</v>
      </c>
      <c r="AV264">
        <v>466</v>
      </c>
      <c r="AW264" t="s">
        <v>74</v>
      </c>
      <c r="AX264" t="s">
        <v>74</v>
      </c>
      <c r="AY264" t="s">
        <v>74</v>
      </c>
      <c r="AZ264" t="s">
        <v>74</v>
      </c>
      <c r="BA264" t="s">
        <v>74</v>
      </c>
      <c r="BB264">
        <v>173</v>
      </c>
      <c r="BC264">
        <v>186</v>
      </c>
      <c r="BD264" t="s">
        <v>74</v>
      </c>
      <c r="BE264" t="s">
        <v>5507</v>
      </c>
      <c r="BF264" t="str">
        <f>HYPERLINK("http://dx.doi.org/10.1016/j.chemgeo.2017.06.005","http://dx.doi.org/10.1016/j.chemgeo.2017.06.005")</f>
        <v>http://dx.doi.org/10.1016/j.chemgeo.2017.06.005</v>
      </c>
      <c r="BG264" t="s">
        <v>74</v>
      </c>
      <c r="BH264" t="s">
        <v>74</v>
      </c>
      <c r="BI264">
        <v>14</v>
      </c>
      <c r="BJ264" t="s">
        <v>509</v>
      </c>
      <c r="BK264" t="s">
        <v>101</v>
      </c>
      <c r="BL264" t="s">
        <v>509</v>
      </c>
      <c r="BM264" t="s">
        <v>5490</v>
      </c>
      <c r="BN264" t="s">
        <v>74</v>
      </c>
      <c r="BO264" t="s">
        <v>74</v>
      </c>
      <c r="BP264" t="s">
        <v>74</v>
      </c>
      <c r="BQ264" t="s">
        <v>74</v>
      </c>
      <c r="BR264" t="s">
        <v>105</v>
      </c>
      <c r="BS264" t="s">
        <v>5508</v>
      </c>
      <c r="BT264" t="str">
        <f>HYPERLINK("https%3A%2F%2Fwww.webofscience.com%2Fwos%2Fwoscc%2Ffull-record%2FWOS:000407861200014","View Full Record in Web of Science")</f>
        <v>View Full Record in Web of Science</v>
      </c>
    </row>
    <row r="265" spans="1:72" x14ac:dyDescent="0.15">
      <c r="A265" t="s">
        <v>72</v>
      </c>
      <c r="B265" t="s">
        <v>5509</v>
      </c>
      <c r="C265" t="s">
        <v>74</v>
      </c>
      <c r="D265" t="s">
        <v>74</v>
      </c>
      <c r="E265" t="s">
        <v>74</v>
      </c>
      <c r="F265" t="s">
        <v>5510</v>
      </c>
      <c r="G265" t="s">
        <v>74</v>
      </c>
      <c r="H265" t="s">
        <v>74</v>
      </c>
      <c r="I265" t="s">
        <v>5511</v>
      </c>
      <c r="J265" t="s">
        <v>4504</v>
      </c>
      <c r="K265" t="s">
        <v>74</v>
      </c>
      <c r="L265" t="s">
        <v>74</v>
      </c>
      <c r="M265" t="s">
        <v>78</v>
      </c>
      <c r="N265" t="s">
        <v>79</v>
      </c>
      <c r="O265" t="s">
        <v>74</v>
      </c>
      <c r="P265" t="s">
        <v>74</v>
      </c>
      <c r="Q265" t="s">
        <v>74</v>
      </c>
      <c r="R265" t="s">
        <v>74</v>
      </c>
      <c r="S265" t="s">
        <v>74</v>
      </c>
      <c r="T265" t="s">
        <v>5512</v>
      </c>
      <c r="U265" t="s">
        <v>5513</v>
      </c>
      <c r="V265" t="s">
        <v>5514</v>
      </c>
      <c r="W265" t="s">
        <v>5515</v>
      </c>
      <c r="X265" t="s">
        <v>5516</v>
      </c>
      <c r="Y265" t="s">
        <v>5517</v>
      </c>
      <c r="Z265" t="s">
        <v>5518</v>
      </c>
      <c r="AA265" t="s">
        <v>5519</v>
      </c>
      <c r="AB265" t="s">
        <v>5520</v>
      </c>
      <c r="AC265" t="s">
        <v>5521</v>
      </c>
      <c r="AD265" t="s">
        <v>5522</v>
      </c>
      <c r="AE265" t="s">
        <v>5523</v>
      </c>
      <c r="AF265" t="s">
        <v>74</v>
      </c>
      <c r="AG265">
        <v>171</v>
      </c>
      <c r="AH265">
        <v>24</v>
      </c>
      <c r="AI265">
        <v>27</v>
      </c>
      <c r="AJ265">
        <v>0</v>
      </c>
      <c r="AK265">
        <v>35</v>
      </c>
      <c r="AL265" t="s">
        <v>371</v>
      </c>
      <c r="AM265" t="s">
        <v>372</v>
      </c>
      <c r="AN265" t="s">
        <v>373</v>
      </c>
      <c r="AO265" t="s">
        <v>4516</v>
      </c>
      <c r="AP265" t="s">
        <v>4517</v>
      </c>
      <c r="AQ265" t="s">
        <v>74</v>
      </c>
      <c r="AR265" t="s">
        <v>4518</v>
      </c>
      <c r="AS265" t="s">
        <v>4519</v>
      </c>
      <c r="AT265" t="s">
        <v>5470</v>
      </c>
      <c r="AU265">
        <v>2017</v>
      </c>
      <c r="AV265">
        <v>466</v>
      </c>
      <c r="AW265" t="s">
        <v>74</v>
      </c>
      <c r="AX265" t="s">
        <v>74</v>
      </c>
      <c r="AY265" t="s">
        <v>74</v>
      </c>
      <c r="AZ265" t="s">
        <v>74</v>
      </c>
      <c r="BA265" t="s">
        <v>74</v>
      </c>
      <c r="BB265">
        <v>199</v>
      </c>
      <c r="BC265">
        <v>218</v>
      </c>
      <c r="BD265" t="s">
        <v>74</v>
      </c>
      <c r="BE265" t="s">
        <v>5524</v>
      </c>
      <c r="BF265" t="str">
        <f>HYPERLINK("http://dx.doi.org/10.1016/j.chemgeo.2017.06.011","http://dx.doi.org/10.1016/j.chemgeo.2017.06.011")</f>
        <v>http://dx.doi.org/10.1016/j.chemgeo.2017.06.011</v>
      </c>
      <c r="BG265" t="s">
        <v>74</v>
      </c>
      <c r="BH265" t="s">
        <v>74</v>
      </c>
      <c r="BI265">
        <v>20</v>
      </c>
      <c r="BJ265" t="s">
        <v>509</v>
      </c>
      <c r="BK265" t="s">
        <v>101</v>
      </c>
      <c r="BL265" t="s">
        <v>509</v>
      </c>
      <c r="BM265" t="s">
        <v>5490</v>
      </c>
      <c r="BN265" t="s">
        <v>74</v>
      </c>
      <c r="BO265" t="s">
        <v>699</v>
      </c>
      <c r="BP265" t="s">
        <v>74</v>
      </c>
      <c r="BQ265" t="s">
        <v>74</v>
      </c>
      <c r="BR265" t="s">
        <v>105</v>
      </c>
      <c r="BS265" t="s">
        <v>5525</v>
      </c>
      <c r="BT265" t="str">
        <f>HYPERLINK("https%3A%2F%2Fwww.webofscience.com%2Fwos%2Fwoscc%2Ffull-record%2FWOS:000407861200016","View Full Record in Web of Science")</f>
        <v>View Full Record in Web of Science</v>
      </c>
    </row>
    <row r="266" spans="1:72" x14ac:dyDescent="0.15">
      <c r="A266" t="s">
        <v>72</v>
      </c>
      <c r="B266" t="s">
        <v>5526</v>
      </c>
      <c r="C266" t="s">
        <v>74</v>
      </c>
      <c r="D266" t="s">
        <v>74</v>
      </c>
      <c r="E266" t="s">
        <v>74</v>
      </c>
      <c r="F266" t="s">
        <v>5527</v>
      </c>
      <c r="G266" t="s">
        <v>74</v>
      </c>
      <c r="H266" t="s">
        <v>74</v>
      </c>
      <c r="I266" t="s">
        <v>5528</v>
      </c>
      <c r="J266" t="s">
        <v>5529</v>
      </c>
      <c r="K266" t="s">
        <v>74</v>
      </c>
      <c r="L266" t="s">
        <v>74</v>
      </c>
      <c r="M266" t="s">
        <v>78</v>
      </c>
      <c r="N266" t="s">
        <v>79</v>
      </c>
      <c r="O266" t="s">
        <v>74</v>
      </c>
      <c r="P266" t="s">
        <v>74</v>
      </c>
      <c r="Q266" t="s">
        <v>74</v>
      </c>
      <c r="R266" t="s">
        <v>74</v>
      </c>
      <c r="S266" t="s">
        <v>74</v>
      </c>
      <c r="T266" t="s">
        <v>5530</v>
      </c>
      <c r="U266" t="s">
        <v>5531</v>
      </c>
      <c r="V266" t="s">
        <v>5532</v>
      </c>
      <c r="W266" t="s">
        <v>5533</v>
      </c>
      <c r="X266" t="s">
        <v>5534</v>
      </c>
      <c r="Y266" t="s">
        <v>5535</v>
      </c>
      <c r="Z266" t="s">
        <v>5536</v>
      </c>
      <c r="AA266" t="s">
        <v>4384</v>
      </c>
      <c r="AB266" t="s">
        <v>4385</v>
      </c>
      <c r="AC266" t="s">
        <v>5537</v>
      </c>
      <c r="AD266" t="s">
        <v>5538</v>
      </c>
      <c r="AE266" t="s">
        <v>5539</v>
      </c>
      <c r="AF266" t="s">
        <v>74</v>
      </c>
      <c r="AG266">
        <v>41</v>
      </c>
      <c r="AH266">
        <v>8</v>
      </c>
      <c r="AI266">
        <v>8</v>
      </c>
      <c r="AJ266">
        <v>3</v>
      </c>
      <c r="AK266">
        <v>33</v>
      </c>
      <c r="AL266" t="s">
        <v>1270</v>
      </c>
      <c r="AM266" t="s">
        <v>209</v>
      </c>
      <c r="AN266" t="s">
        <v>1682</v>
      </c>
      <c r="AO266" t="s">
        <v>5540</v>
      </c>
      <c r="AP266" t="s">
        <v>5541</v>
      </c>
      <c r="AQ266" t="s">
        <v>74</v>
      </c>
      <c r="AR266" t="s">
        <v>5542</v>
      </c>
      <c r="AS266" t="s">
        <v>5543</v>
      </c>
      <c r="AT266" t="s">
        <v>5544</v>
      </c>
      <c r="AU266">
        <v>2017</v>
      </c>
      <c r="AV266">
        <v>97</v>
      </c>
      <c r="AW266">
        <v>6</v>
      </c>
      <c r="AX266" t="s">
        <v>74</v>
      </c>
      <c r="AY266" t="s">
        <v>74</v>
      </c>
      <c r="AZ266" t="s">
        <v>74</v>
      </c>
      <c r="BA266" t="s">
        <v>74</v>
      </c>
      <c r="BB266">
        <v>1241</v>
      </c>
      <c r="BC266">
        <v>1249</v>
      </c>
      <c r="BD266" t="s">
        <v>74</v>
      </c>
      <c r="BE266" t="s">
        <v>5545</v>
      </c>
      <c r="BF266" t="str">
        <f>HYPERLINK("http://dx.doi.org/10.1017/S0025315416000588","http://dx.doi.org/10.1017/S0025315416000588")</f>
        <v>http://dx.doi.org/10.1017/S0025315416000588</v>
      </c>
      <c r="BG266" t="s">
        <v>74</v>
      </c>
      <c r="BH266" t="s">
        <v>74</v>
      </c>
      <c r="BI266">
        <v>9</v>
      </c>
      <c r="BJ266" t="s">
        <v>5546</v>
      </c>
      <c r="BK266" t="s">
        <v>101</v>
      </c>
      <c r="BL266" t="s">
        <v>5546</v>
      </c>
      <c r="BM266" t="s">
        <v>5547</v>
      </c>
      <c r="BN266" t="s">
        <v>74</v>
      </c>
      <c r="BO266" t="s">
        <v>74</v>
      </c>
      <c r="BP266" t="s">
        <v>74</v>
      </c>
      <c r="BQ266" t="s">
        <v>74</v>
      </c>
      <c r="BR266" t="s">
        <v>105</v>
      </c>
      <c r="BS266" t="s">
        <v>5548</v>
      </c>
      <c r="BT266" t="str">
        <f>HYPERLINK("https%3A%2F%2Fwww.webofscience.com%2Fwos%2Fwoscc%2Ffull-record%2FWOS:000426420100005","View Full Record in Web of Science")</f>
        <v>View Full Record in Web of Science</v>
      </c>
    </row>
    <row r="267" spans="1:72" x14ac:dyDescent="0.15">
      <c r="A267" t="s">
        <v>72</v>
      </c>
      <c r="B267" t="s">
        <v>5549</v>
      </c>
      <c r="C267" t="s">
        <v>74</v>
      </c>
      <c r="D267" t="s">
        <v>74</v>
      </c>
      <c r="E267" t="s">
        <v>74</v>
      </c>
      <c r="F267" t="s">
        <v>5550</v>
      </c>
      <c r="G267" t="s">
        <v>74</v>
      </c>
      <c r="H267" t="s">
        <v>74</v>
      </c>
      <c r="I267" t="s">
        <v>5551</v>
      </c>
      <c r="J267" t="s">
        <v>5529</v>
      </c>
      <c r="K267" t="s">
        <v>74</v>
      </c>
      <c r="L267" t="s">
        <v>74</v>
      </c>
      <c r="M267" t="s">
        <v>78</v>
      </c>
      <c r="N267" t="s">
        <v>273</v>
      </c>
      <c r="O267" t="s">
        <v>74</v>
      </c>
      <c r="P267" t="s">
        <v>74</v>
      </c>
      <c r="Q267" t="s">
        <v>74</v>
      </c>
      <c r="R267" t="s">
        <v>74</v>
      </c>
      <c r="S267" t="s">
        <v>74</v>
      </c>
      <c r="T267" t="s">
        <v>5552</v>
      </c>
      <c r="U267" t="s">
        <v>5553</v>
      </c>
      <c r="V267" t="s">
        <v>5554</v>
      </c>
      <c r="W267" t="s">
        <v>5555</v>
      </c>
      <c r="X267" t="s">
        <v>5556</v>
      </c>
      <c r="Y267" t="s">
        <v>5557</v>
      </c>
      <c r="Z267" t="s">
        <v>5558</v>
      </c>
      <c r="AA267" t="s">
        <v>74</v>
      </c>
      <c r="AB267" t="s">
        <v>5559</v>
      </c>
      <c r="AC267" t="s">
        <v>5560</v>
      </c>
      <c r="AD267" t="s">
        <v>5561</v>
      </c>
      <c r="AE267" t="s">
        <v>5562</v>
      </c>
      <c r="AF267" t="s">
        <v>74</v>
      </c>
      <c r="AG267">
        <v>62</v>
      </c>
      <c r="AH267">
        <v>8</v>
      </c>
      <c r="AI267">
        <v>8</v>
      </c>
      <c r="AJ267">
        <v>1</v>
      </c>
      <c r="AK267">
        <v>6</v>
      </c>
      <c r="AL267" t="s">
        <v>1270</v>
      </c>
      <c r="AM267" t="s">
        <v>209</v>
      </c>
      <c r="AN267" t="s">
        <v>1682</v>
      </c>
      <c r="AO267" t="s">
        <v>5540</v>
      </c>
      <c r="AP267" t="s">
        <v>5541</v>
      </c>
      <c r="AQ267" t="s">
        <v>74</v>
      </c>
      <c r="AR267" t="s">
        <v>5542</v>
      </c>
      <c r="AS267" t="s">
        <v>5543</v>
      </c>
      <c r="AT267" t="s">
        <v>5544</v>
      </c>
      <c r="AU267">
        <v>2017</v>
      </c>
      <c r="AV267">
        <v>97</v>
      </c>
      <c r="AW267">
        <v>6</v>
      </c>
      <c r="AX267" t="s">
        <v>74</v>
      </c>
      <c r="AY267" t="s">
        <v>74</v>
      </c>
      <c r="AZ267" t="s">
        <v>74</v>
      </c>
      <c r="BA267" t="s">
        <v>74</v>
      </c>
      <c r="BB267">
        <v>1351</v>
      </c>
      <c r="BC267">
        <v>1406</v>
      </c>
      <c r="BD267" t="s">
        <v>74</v>
      </c>
      <c r="BE267" t="s">
        <v>5563</v>
      </c>
      <c r="BF267" t="str">
        <f>HYPERLINK("http://dx.doi.org/10.1017/S0025315416000655","http://dx.doi.org/10.1017/S0025315416000655")</f>
        <v>http://dx.doi.org/10.1017/S0025315416000655</v>
      </c>
      <c r="BG267" t="s">
        <v>74</v>
      </c>
      <c r="BH267" t="s">
        <v>74</v>
      </c>
      <c r="BI267">
        <v>56</v>
      </c>
      <c r="BJ267" t="s">
        <v>5546</v>
      </c>
      <c r="BK267" t="s">
        <v>101</v>
      </c>
      <c r="BL267" t="s">
        <v>5546</v>
      </c>
      <c r="BM267" t="s">
        <v>5547</v>
      </c>
      <c r="BN267" t="s">
        <v>74</v>
      </c>
      <c r="BO267" t="s">
        <v>699</v>
      </c>
      <c r="BP267" t="s">
        <v>74</v>
      </c>
      <c r="BQ267" t="s">
        <v>74</v>
      </c>
      <c r="BR267" t="s">
        <v>105</v>
      </c>
      <c r="BS267" t="s">
        <v>5564</v>
      </c>
      <c r="BT267" t="str">
        <f>HYPERLINK("https%3A%2F%2Fwww.webofscience.com%2Fwos%2Fwoscc%2Ffull-record%2FWOS:000426420100014","View Full Record in Web of Science")</f>
        <v>View Full Record in Web of Science</v>
      </c>
    </row>
    <row r="268" spans="1:72" x14ac:dyDescent="0.15">
      <c r="A268" t="s">
        <v>72</v>
      </c>
      <c r="B268" t="s">
        <v>5565</v>
      </c>
      <c r="C268" t="s">
        <v>74</v>
      </c>
      <c r="D268" t="s">
        <v>74</v>
      </c>
      <c r="E268" t="s">
        <v>74</v>
      </c>
      <c r="F268" t="s">
        <v>5566</v>
      </c>
      <c r="G268" t="s">
        <v>74</v>
      </c>
      <c r="H268" t="s">
        <v>74</v>
      </c>
      <c r="I268" t="s">
        <v>5567</v>
      </c>
      <c r="J268" t="s">
        <v>5568</v>
      </c>
      <c r="K268" t="s">
        <v>74</v>
      </c>
      <c r="L268" t="s">
        <v>74</v>
      </c>
      <c r="M268" t="s">
        <v>78</v>
      </c>
      <c r="N268" t="s">
        <v>79</v>
      </c>
      <c r="O268" t="s">
        <v>74</v>
      </c>
      <c r="P268" t="s">
        <v>74</v>
      </c>
      <c r="Q268" t="s">
        <v>74</v>
      </c>
      <c r="R268" t="s">
        <v>74</v>
      </c>
      <c r="S268" t="s">
        <v>74</v>
      </c>
      <c r="T268" t="s">
        <v>5569</v>
      </c>
      <c r="U268" t="s">
        <v>5570</v>
      </c>
      <c r="V268" t="s">
        <v>5571</v>
      </c>
      <c r="W268" t="s">
        <v>5572</v>
      </c>
      <c r="X268" t="s">
        <v>5573</v>
      </c>
      <c r="Y268" t="s">
        <v>5574</v>
      </c>
      <c r="Z268" t="s">
        <v>5575</v>
      </c>
      <c r="AA268" t="s">
        <v>74</v>
      </c>
      <c r="AB268" t="s">
        <v>74</v>
      </c>
      <c r="AC268" t="s">
        <v>74</v>
      </c>
      <c r="AD268" t="s">
        <v>74</v>
      </c>
      <c r="AE268" t="s">
        <v>74</v>
      </c>
      <c r="AF268" t="s">
        <v>74</v>
      </c>
      <c r="AG268">
        <v>91</v>
      </c>
      <c r="AH268">
        <v>5</v>
      </c>
      <c r="AI268">
        <v>7</v>
      </c>
      <c r="AJ268">
        <v>0</v>
      </c>
      <c r="AK268">
        <v>0</v>
      </c>
      <c r="AL268" t="s">
        <v>5576</v>
      </c>
      <c r="AM268" t="s">
        <v>5577</v>
      </c>
      <c r="AN268" t="s">
        <v>5578</v>
      </c>
      <c r="AO268" t="s">
        <v>5579</v>
      </c>
      <c r="AP268" t="s">
        <v>74</v>
      </c>
      <c r="AQ268" t="s">
        <v>74</v>
      </c>
      <c r="AR268" t="s">
        <v>5580</v>
      </c>
      <c r="AS268" t="s">
        <v>5581</v>
      </c>
      <c r="AT268" t="s">
        <v>5544</v>
      </c>
      <c r="AU268">
        <v>2017</v>
      </c>
      <c r="AV268">
        <v>285</v>
      </c>
      <c r="AW268">
        <v>3</v>
      </c>
      <c r="AX268" t="s">
        <v>74</v>
      </c>
      <c r="AY268" t="s">
        <v>74</v>
      </c>
      <c r="AZ268" t="s">
        <v>74</v>
      </c>
      <c r="BA268" t="s">
        <v>74</v>
      </c>
      <c r="BB268">
        <v>313</v>
      </c>
      <c r="BC268">
        <v>335</v>
      </c>
      <c r="BD268" t="s">
        <v>74</v>
      </c>
      <c r="BE268" t="s">
        <v>5582</v>
      </c>
      <c r="BF268" t="str">
        <f>HYPERLINK("http://dx.doi.org/10.1127/njgpa/2017/0683","http://dx.doi.org/10.1127/njgpa/2017/0683")</f>
        <v>http://dx.doi.org/10.1127/njgpa/2017/0683</v>
      </c>
      <c r="BG268" t="s">
        <v>74</v>
      </c>
      <c r="BH268" t="s">
        <v>74</v>
      </c>
      <c r="BI268">
        <v>23</v>
      </c>
      <c r="BJ268" t="s">
        <v>3515</v>
      </c>
      <c r="BK268" t="s">
        <v>101</v>
      </c>
      <c r="BL268" t="s">
        <v>3515</v>
      </c>
      <c r="BM268" t="s">
        <v>5583</v>
      </c>
      <c r="BN268" t="s">
        <v>74</v>
      </c>
      <c r="BO268" t="s">
        <v>74</v>
      </c>
      <c r="BP268" t="s">
        <v>74</v>
      </c>
      <c r="BQ268" t="s">
        <v>74</v>
      </c>
      <c r="BR268" t="s">
        <v>105</v>
      </c>
      <c r="BS268" t="s">
        <v>5584</v>
      </c>
      <c r="BT268" t="str">
        <f>HYPERLINK("https%3A%2F%2Fwww.webofscience.com%2Fwos%2Fwoscc%2Ffull-record%2FWOS:000423278600004","View Full Record in Web of Science")</f>
        <v>View Full Record in Web of Science</v>
      </c>
    </row>
    <row r="269" spans="1:72" x14ac:dyDescent="0.15">
      <c r="A269" t="s">
        <v>72</v>
      </c>
      <c r="B269" t="s">
        <v>5585</v>
      </c>
      <c r="C269" t="s">
        <v>74</v>
      </c>
      <c r="D269" t="s">
        <v>74</v>
      </c>
      <c r="E269" t="s">
        <v>74</v>
      </c>
      <c r="F269" t="s">
        <v>5586</v>
      </c>
      <c r="G269" t="s">
        <v>74</v>
      </c>
      <c r="H269" t="s">
        <v>74</v>
      </c>
      <c r="I269" t="s">
        <v>5587</v>
      </c>
      <c r="J269" t="s">
        <v>5588</v>
      </c>
      <c r="K269" t="s">
        <v>74</v>
      </c>
      <c r="L269" t="s">
        <v>74</v>
      </c>
      <c r="M269" t="s">
        <v>78</v>
      </c>
      <c r="N269" t="s">
        <v>273</v>
      </c>
      <c r="O269" t="s">
        <v>74</v>
      </c>
      <c r="P269" t="s">
        <v>74</v>
      </c>
      <c r="Q269" t="s">
        <v>74</v>
      </c>
      <c r="R269" t="s">
        <v>74</v>
      </c>
      <c r="S269" t="s">
        <v>74</v>
      </c>
      <c r="T269" t="s">
        <v>74</v>
      </c>
      <c r="U269" t="s">
        <v>5589</v>
      </c>
      <c r="V269" t="s">
        <v>5590</v>
      </c>
      <c r="W269" t="s">
        <v>5591</v>
      </c>
      <c r="X269" t="s">
        <v>5592</v>
      </c>
      <c r="Y269" t="s">
        <v>5593</v>
      </c>
      <c r="Z269" t="s">
        <v>5594</v>
      </c>
      <c r="AA269" t="s">
        <v>5595</v>
      </c>
      <c r="AB269" t="s">
        <v>5596</v>
      </c>
      <c r="AC269" t="s">
        <v>5597</v>
      </c>
      <c r="AD269" t="s">
        <v>5598</v>
      </c>
      <c r="AE269" t="s">
        <v>5599</v>
      </c>
      <c r="AF269" t="s">
        <v>74</v>
      </c>
      <c r="AG269">
        <v>113</v>
      </c>
      <c r="AH269">
        <v>139</v>
      </c>
      <c r="AI269">
        <v>146</v>
      </c>
      <c r="AJ269">
        <v>9</v>
      </c>
      <c r="AK269">
        <v>142</v>
      </c>
      <c r="AL269" t="s">
        <v>181</v>
      </c>
      <c r="AM269" t="s">
        <v>182</v>
      </c>
      <c r="AN269" t="s">
        <v>183</v>
      </c>
      <c r="AO269" t="s">
        <v>5600</v>
      </c>
      <c r="AP269" t="s">
        <v>74</v>
      </c>
      <c r="AQ269" t="s">
        <v>74</v>
      </c>
      <c r="AR269" t="s">
        <v>5601</v>
      </c>
      <c r="AS269" t="s">
        <v>5602</v>
      </c>
      <c r="AT269" t="s">
        <v>5544</v>
      </c>
      <c r="AU269">
        <v>2017</v>
      </c>
      <c r="AV269">
        <v>1</v>
      </c>
      <c r="AW269">
        <v>9</v>
      </c>
      <c r="AX269" t="s">
        <v>74</v>
      </c>
      <c r="AY269" t="s">
        <v>74</v>
      </c>
      <c r="AZ269" t="s">
        <v>74</v>
      </c>
      <c r="BA269" t="s">
        <v>74</v>
      </c>
      <c r="BB269">
        <v>1240</v>
      </c>
      <c r="BC269">
        <v>1249</v>
      </c>
      <c r="BD269" t="s">
        <v>74</v>
      </c>
      <c r="BE269" t="s">
        <v>5603</v>
      </c>
      <c r="BF269" t="str">
        <f>HYPERLINK("http://dx.doi.org/10.1038/s41559-017-0258-8","http://dx.doi.org/10.1038/s41559-017-0258-8")</f>
        <v>http://dx.doi.org/10.1038/s41559-017-0258-8</v>
      </c>
      <c r="BG269" t="s">
        <v>74</v>
      </c>
      <c r="BH269" t="s">
        <v>74</v>
      </c>
      <c r="BI269">
        <v>10</v>
      </c>
      <c r="BJ269" t="s">
        <v>3034</v>
      </c>
      <c r="BK269" t="s">
        <v>765</v>
      </c>
      <c r="BL269" t="s">
        <v>3035</v>
      </c>
      <c r="BM269" t="s">
        <v>5604</v>
      </c>
      <c r="BN269">
        <v>29046559</v>
      </c>
      <c r="BO269" t="s">
        <v>74</v>
      </c>
      <c r="BP269" t="s">
        <v>74</v>
      </c>
      <c r="BQ269" t="s">
        <v>74</v>
      </c>
      <c r="BR269" t="s">
        <v>105</v>
      </c>
      <c r="BS269" t="s">
        <v>5605</v>
      </c>
      <c r="BT269" t="str">
        <f>HYPERLINK("https%3A%2F%2Fwww.webofscience.com%2Fwos%2Fwoscc%2Ffull-record%2FWOS:000417190400013","View Full Record in Web of Science")</f>
        <v>View Full Record in Web of Science</v>
      </c>
    </row>
    <row r="270" spans="1:72" x14ac:dyDescent="0.15">
      <c r="A270" t="s">
        <v>72</v>
      </c>
      <c r="B270" t="s">
        <v>5606</v>
      </c>
      <c r="C270" t="s">
        <v>74</v>
      </c>
      <c r="D270" t="s">
        <v>74</v>
      </c>
      <c r="E270" t="s">
        <v>74</v>
      </c>
      <c r="F270" t="s">
        <v>5607</v>
      </c>
      <c r="G270" t="s">
        <v>74</v>
      </c>
      <c r="H270" t="s">
        <v>74</v>
      </c>
      <c r="I270" t="s">
        <v>5608</v>
      </c>
      <c r="J270" t="s">
        <v>5609</v>
      </c>
      <c r="K270" t="s">
        <v>74</v>
      </c>
      <c r="L270" t="s">
        <v>74</v>
      </c>
      <c r="M270" t="s">
        <v>78</v>
      </c>
      <c r="N270" t="s">
        <v>79</v>
      </c>
      <c r="O270" t="s">
        <v>74</v>
      </c>
      <c r="P270" t="s">
        <v>74</v>
      </c>
      <c r="Q270" t="s">
        <v>74</v>
      </c>
      <c r="R270" t="s">
        <v>74</v>
      </c>
      <c r="S270" t="s">
        <v>74</v>
      </c>
      <c r="T270" t="s">
        <v>5610</v>
      </c>
      <c r="U270" t="s">
        <v>5611</v>
      </c>
      <c r="V270" t="s">
        <v>5612</v>
      </c>
      <c r="W270" t="s">
        <v>5613</v>
      </c>
      <c r="X270" t="s">
        <v>5614</v>
      </c>
      <c r="Y270" t="s">
        <v>5615</v>
      </c>
      <c r="Z270" t="s">
        <v>5616</v>
      </c>
      <c r="AA270" t="s">
        <v>74</v>
      </c>
      <c r="AB270" t="s">
        <v>74</v>
      </c>
      <c r="AC270" t="s">
        <v>5617</v>
      </c>
      <c r="AD270" t="s">
        <v>5618</v>
      </c>
      <c r="AE270" t="s">
        <v>5619</v>
      </c>
      <c r="AF270" t="s">
        <v>74</v>
      </c>
      <c r="AG270">
        <v>20</v>
      </c>
      <c r="AH270">
        <v>2</v>
      </c>
      <c r="AI270">
        <v>2</v>
      </c>
      <c r="AJ270">
        <v>1</v>
      </c>
      <c r="AK270">
        <v>17</v>
      </c>
      <c r="AL270" t="s">
        <v>5620</v>
      </c>
      <c r="AM270" t="s">
        <v>5621</v>
      </c>
      <c r="AN270" t="s">
        <v>5622</v>
      </c>
      <c r="AO270" t="s">
        <v>5623</v>
      </c>
      <c r="AP270" t="s">
        <v>5624</v>
      </c>
      <c r="AQ270" t="s">
        <v>74</v>
      </c>
      <c r="AR270" t="s">
        <v>5609</v>
      </c>
      <c r="AS270" t="s">
        <v>5625</v>
      </c>
      <c r="AT270" t="s">
        <v>5626</v>
      </c>
      <c r="AU270">
        <v>2017</v>
      </c>
      <c r="AV270" t="s">
        <v>74</v>
      </c>
      <c r="AW270">
        <v>34</v>
      </c>
      <c r="AX270" t="s">
        <v>74</v>
      </c>
      <c r="AY270" t="s">
        <v>74</v>
      </c>
      <c r="AZ270" t="s">
        <v>74</v>
      </c>
      <c r="BA270" t="s">
        <v>74</v>
      </c>
      <c r="BB270">
        <v>45</v>
      </c>
      <c r="BC270">
        <v>66</v>
      </c>
      <c r="BD270" t="s">
        <v>74</v>
      </c>
      <c r="BE270" t="s">
        <v>74</v>
      </c>
      <c r="BF270" t="s">
        <v>74</v>
      </c>
      <c r="BG270" t="s">
        <v>74</v>
      </c>
      <c r="BH270" t="s">
        <v>74</v>
      </c>
      <c r="BI270">
        <v>22</v>
      </c>
      <c r="BJ270" t="s">
        <v>5627</v>
      </c>
      <c r="BK270" t="s">
        <v>5628</v>
      </c>
      <c r="BL270" t="s">
        <v>5629</v>
      </c>
      <c r="BM270" t="s">
        <v>5630</v>
      </c>
      <c r="BN270" t="s">
        <v>74</v>
      </c>
      <c r="BO270" t="s">
        <v>74</v>
      </c>
      <c r="BP270" t="s">
        <v>74</v>
      </c>
      <c r="BQ270" t="s">
        <v>74</v>
      </c>
      <c r="BR270" t="s">
        <v>105</v>
      </c>
      <c r="BS270" t="s">
        <v>5631</v>
      </c>
      <c r="BT270" t="str">
        <f>HYPERLINK("https%3A%2F%2Fwww.webofscience.com%2Fwos%2Fwoscc%2Ffull-record%2FWOS:000417374500003","View Full Record in Web of Science")</f>
        <v>View Full Record in Web of Science</v>
      </c>
    </row>
    <row r="271" spans="1:72" x14ac:dyDescent="0.15">
      <c r="A271" t="s">
        <v>72</v>
      </c>
      <c r="B271" t="s">
        <v>5632</v>
      </c>
      <c r="C271" t="s">
        <v>74</v>
      </c>
      <c r="D271" t="s">
        <v>74</v>
      </c>
      <c r="E271" t="s">
        <v>74</v>
      </c>
      <c r="F271" t="s">
        <v>5633</v>
      </c>
      <c r="G271" t="s">
        <v>74</v>
      </c>
      <c r="H271" t="s">
        <v>74</v>
      </c>
      <c r="I271" t="s">
        <v>5634</v>
      </c>
      <c r="J271" t="s">
        <v>5635</v>
      </c>
      <c r="K271" t="s">
        <v>74</v>
      </c>
      <c r="L271" t="s">
        <v>74</v>
      </c>
      <c r="M271" t="s">
        <v>78</v>
      </c>
      <c r="N271" t="s">
        <v>79</v>
      </c>
      <c r="O271" t="s">
        <v>74</v>
      </c>
      <c r="P271" t="s">
        <v>74</v>
      </c>
      <c r="Q271" t="s">
        <v>74</v>
      </c>
      <c r="R271" t="s">
        <v>74</v>
      </c>
      <c r="S271" t="s">
        <v>74</v>
      </c>
      <c r="T271" t="s">
        <v>74</v>
      </c>
      <c r="U271" t="s">
        <v>5636</v>
      </c>
      <c r="V271" t="s">
        <v>5637</v>
      </c>
      <c r="W271" t="s">
        <v>5638</v>
      </c>
      <c r="X271" t="s">
        <v>5639</v>
      </c>
      <c r="Y271" t="s">
        <v>5640</v>
      </c>
      <c r="Z271" t="s">
        <v>5641</v>
      </c>
      <c r="AA271" t="s">
        <v>5642</v>
      </c>
      <c r="AB271" t="s">
        <v>5643</v>
      </c>
      <c r="AC271" t="s">
        <v>5644</v>
      </c>
      <c r="AD271" t="s">
        <v>5645</v>
      </c>
      <c r="AE271" t="s">
        <v>5646</v>
      </c>
      <c r="AF271" t="s">
        <v>74</v>
      </c>
      <c r="AG271">
        <v>78</v>
      </c>
      <c r="AH271">
        <v>33</v>
      </c>
      <c r="AI271">
        <v>33</v>
      </c>
      <c r="AJ271">
        <v>4</v>
      </c>
      <c r="AK271">
        <v>34</v>
      </c>
      <c r="AL271" t="s">
        <v>91</v>
      </c>
      <c r="AM271" t="s">
        <v>92</v>
      </c>
      <c r="AN271" t="s">
        <v>93</v>
      </c>
      <c r="AO271" t="s">
        <v>5647</v>
      </c>
      <c r="AP271" t="s">
        <v>5648</v>
      </c>
      <c r="AQ271" t="s">
        <v>74</v>
      </c>
      <c r="AR271" t="s">
        <v>5649</v>
      </c>
      <c r="AS271" t="s">
        <v>5650</v>
      </c>
      <c r="AT271" t="s">
        <v>5544</v>
      </c>
      <c r="AU271">
        <v>2017</v>
      </c>
      <c r="AV271">
        <v>31</v>
      </c>
      <c r="AW271">
        <v>9</v>
      </c>
      <c r="AX271" t="s">
        <v>74</v>
      </c>
      <c r="AY271" t="s">
        <v>74</v>
      </c>
      <c r="AZ271" t="s">
        <v>74</v>
      </c>
      <c r="BA271" t="s">
        <v>74</v>
      </c>
      <c r="BB271">
        <v>1368</v>
      </c>
      <c r="BC271">
        <v>1386</v>
      </c>
      <c r="BD271" t="s">
        <v>74</v>
      </c>
      <c r="BE271" t="s">
        <v>5651</v>
      </c>
      <c r="BF271" t="str">
        <f>HYPERLINK("http://dx.doi.org/10.1002/2017GB005669","http://dx.doi.org/10.1002/2017GB005669")</f>
        <v>http://dx.doi.org/10.1002/2017GB005669</v>
      </c>
      <c r="BG271" t="s">
        <v>74</v>
      </c>
      <c r="BH271" t="s">
        <v>74</v>
      </c>
      <c r="BI271">
        <v>19</v>
      </c>
      <c r="BJ271" t="s">
        <v>2986</v>
      </c>
      <c r="BK271" t="s">
        <v>101</v>
      </c>
      <c r="BL271" t="s">
        <v>2987</v>
      </c>
      <c r="BM271" t="s">
        <v>5652</v>
      </c>
      <c r="BN271" t="s">
        <v>74</v>
      </c>
      <c r="BO271" t="s">
        <v>74</v>
      </c>
      <c r="BP271" t="s">
        <v>74</v>
      </c>
      <c r="BQ271" t="s">
        <v>74</v>
      </c>
      <c r="BR271" t="s">
        <v>105</v>
      </c>
      <c r="BS271" t="s">
        <v>5653</v>
      </c>
      <c r="BT271" t="str">
        <f>HYPERLINK("https%3A%2F%2Fwww.webofscience.com%2Fwos%2Fwoscc%2Ffull-record%2FWOS:000416624000001","View Full Record in Web of Science")</f>
        <v>View Full Record in Web of Science</v>
      </c>
    </row>
    <row r="272" spans="1:72" x14ac:dyDescent="0.15">
      <c r="A272" t="s">
        <v>72</v>
      </c>
      <c r="B272" t="s">
        <v>5654</v>
      </c>
      <c r="C272" t="s">
        <v>74</v>
      </c>
      <c r="D272" t="s">
        <v>74</v>
      </c>
      <c r="E272" t="s">
        <v>74</v>
      </c>
      <c r="F272" t="s">
        <v>5655</v>
      </c>
      <c r="G272" t="s">
        <v>74</v>
      </c>
      <c r="H272" t="s">
        <v>74</v>
      </c>
      <c r="I272" t="s">
        <v>5656</v>
      </c>
      <c r="J272" t="s">
        <v>5657</v>
      </c>
      <c r="K272" t="s">
        <v>74</v>
      </c>
      <c r="L272" t="s">
        <v>74</v>
      </c>
      <c r="M272" t="s">
        <v>78</v>
      </c>
      <c r="N272" t="s">
        <v>79</v>
      </c>
      <c r="O272" t="s">
        <v>74</v>
      </c>
      <c r="P272" t="s">
        <v>74</v>
      </c>
      <c r="Q272" t="s">
        <v>74</v>
      </c>
      <c r="R272" t="s">
        <v>74</v>
      </c>
      <c r="S272" t="s">
        <v>74</v>
      </c>
      <c r="T272" t="s">
        <v>74</v>
      </c>
      <c r="U272" t="s">
        <v>74</v>
      </c>
      <c r="V272" t="s">
        <v>5658</v>
      </c>
      <c r="W272" t="s">
        <v>5659</v>
      </c>
      <c r="X272" t="s">
        <v>5660</v>
      </c>
      <c r="Y272" t="s">
        <v>5661</v>
      </c>
      <c r="Z272" t="s">
        <v>5662</v>
      </c>
      <c r="AA272" t="s">
        <v>5663</v>
      </c>
      <c r="AB272" t="s">
        <v>5664</v>
      </c>
      <c r="AC272" t="s">
        <v>74</v>
      </c>
      <c r="AD272" t="s">
        <v>74</v>
      </c>
      <c r="AE272" t="s">
        <v>74</v>
      </c>
      <c r="AF272" t="s">
        <v>74</v>
      </c>
      <c r="AG272">
        <v>3</v>
      </c>
      <c r="AH272">
        <v>0</v>
      </c>
      <c r="AI272">
        <v>0</v>
      </c>
      <c r="AJ272">
        <v>1</v>
      </c>
      <c r="AK272">
        <v>6</v>
      </c>
      <c r="AL272" t="s">
        <v>5665</v>
      </c>
      <c r="AM272" t="s">
        <v>5666</v>
      </c>
      <c r="AN272" t="s">
        <v>5667</v>
      </c>
      <c r="AO272" t="s">
        <v>5668</v>
      </c>
      <c r="AP272" t="s">
        <v>5669</v>
      </c>
      <c r="AQ272" t="s">
        <v>74</v>
      </c>
      <c r="AR272" t="s">
        <v>5670</v>
      </c>
      <c r="AS272" t="s">
        <v>5671</v>
      </c>
      <c r="AT272" t="s">
        <v>5544</v>
      </c>
      <c r="AU272">
        <v>2017</v>
      </c>
      <c r="AV272">
        <v>38</v>
      </c>
      <c r="AW272">
        <v>3</v>
      </c>
      <c r="AX272" t="s">
        <v>74</v>
      </c>
      <c r="AY272" t="s">
        <v>74</v>
      </c>
      <c r="AZ272" t="s">
        <v>74</v>
      </c>
      <c r="BA272" t="s">
        <v>74</v>
      </c>
      <c r="BB272">
        <v>131</v>
      </c>
      <c r="BC272">
        <v>133</v>
      </c>
      <c r="BD272" t="s">
        <v>74</v>
      </c>
      <c r="BE272" t="s">
        <v>5672</v>
      </c>
      <c r="BF272" t="str">
        <f>HYPERLINK("http://dx.doi.org/10.1071/MA17048","http://dx.doi.org/10.1071/MA17048")</f>
        <v>http://dx.doi.org/10.1071/MA17048</v>
      </c>
      <c r="BG272" t="s">
        <v>74</v>
      </c>
      <c r="BH272" t="s">
        <v>74</v>
      </c>
      <c r="BI272">
        <v>3</v>
      </c>
      <c r="BJ272" t="s">
        <v>457</v>
      </c>
      <c r="BK272" t="s">
        <v>3172</v>
      </c>
      <c r="BL272" t="s">
        <v>457</v>
      </c>
      <c r="BM272" t="s">
        <v>5673</v>
      </c>
      <c r="BN272" t="s">
        <v>74</v>
      </c>
      <c r="BO272" t="s">
        <v>104</v>
      </c>
      <c r="BP272" t="s">
        <v>74</v>
      </c>
      <c r="BQ272" t="s">
        <v>74</v>
      </c>
      <c r="BR272" t="s">
        <v>105</v>
      </c>
      <c r="BS272" t="s">
        <v>5674</v>
      </c>
      <c r="BT272" t="str">
        <f>HYPERLINK("https%3A%2F%2Fwww.webofscience.com%2Fwos%2Fwoscc%2Ffull-record%2FWOS:000416701700008","View Full Record in Web of Science")</f>
        <v>View Full Record in Web of Science</v>
      </c>
    </row>
    <row r="273" spans="1:72" x14ac:dyDescent="0.15">
      <c r="A273" t="s">
        <v>72</v>
      </c>
      <c r="B273" t="s">
        <v>5675</v>
      </c>
      <c r="C273" t="s">
        <v>74</v>
      </c>
      <c r="D273" t="s">
        <v>74</v>
      </c>
      <c r="E273" t="s">
        <v>74</v>
      </c>
      <c r="F273" t="s">
        <v>5676</v>
      </c>
      <c r="G273" t="s">
        <v>74</v>
      </c>
      <c r="H273" t="s">
        <v>74</v>
      </c>
      <c r="I273" t="s">
        <v>5677</v>
      </c>
      <c r="J273" t="s">
        <v>5678</v>
      </c>
      <c r="K273" t="s">
        <v>74</v>
      </c>
      <c r="L273" t="s">
        <v>74</v>
      </c>
      <c r="M273" t="s">
        <v>78</v>
      </c>
      <c r="N273" t="s">
        <v>273</v>
      </c>
      <c r="O273" t="s">
        <v>74</v>
      </c>
      <c r="P273" t="s">
        <v>74</v>
      </c>
      <c r="Q273" t="s">
        <v>74</v>
      </c>
      <c r="R273" t="s">
        <v>74</v>
      </c>
      <c r="S273" t="s">
        <v>74</v>
      </c>
      <c r="T273" t="s">
        <v>5679</v>
      </c>
      <c r="U273" t="s">
        <v>5680</v>
      </c>
      <c r="V273" t="s">
        <v>5681</v>
      </c>
      <c r="W273" t="s">
        <v>5682</v>
      </c>
      <c r="X273" t="s">
        <v>5683</v>
      </c>
      <c r="Y273" t="s">
        <v>5684</v>
      </c>
      <c r="Z273" t="s">
        <v>5685</v>
      </c>
      <c r="AA273" t="s">
        <v>5686</v>
      </c>
      <c r="AB273" t="s">
        <v>5687</v>
      </c>
      <c r="AC273" t="s">
        <v>5688</v>
      </c>
      <c r="AD273" t="s">
        <v>5689</v>
      </c>
      <c r="AE273" t="s">
        <v>5690</v>
      </c>
      <c r="AF273" t="s">
        <v>74</v>
      </c>
      <c r="AG273">
        <v>162</v>
      </c>
      <c r="AH273">
        <v>15</v>
      </c>
      <c r="AI273">
        <v>16</v>
      </c>
      <c r="AJ273">
        <v>5</v>
      </c>
      <c r="AK273">
        <v>43</v>
      </c>
      <c r="AL273" t="s">
        <v>5691</v>
      </c>
      <c r="AM273" t="s">
        <v>2844</v>
      </c>
      <c r="AN273" t="s">
        <v>2845</v>
      </c>
      <c r="AO273" t="s">
        <v>74</v>
      </c>
      <c r="AP273" t="s">
        <v>5692</v>
      </c>
      <c r="AQ273" t="s">
        <v>74</v>
      </c>
      <c r="AR273" t="s">
        <v>5693</v>
      </c>
      <c r="AS273" t="s">
        <v>5694</v>
      </c>
      <c r="AT273" t="s">
        <v>5544</v>
      </c>
      <c r="AU273">
        <v>2017</v>
      </c>
      <c r="AV273">
        <v>3</v>
      </c>
      <c r="AW273">
        <v>3</v>
      </c>
      <c r="AX273" t="s">
        <v>74</v>
      </c>
      <c r="AY273" t="s">
        <v>74</v>
      </c>
      <c r="AZ273" t="s">
        <v>1188</v>
      </c>
      <c r="BA273" t="s">
        <v>74</v>
      </c>
      <c r="BB273">
        <v>475</v>
      </c>
      <c r="BC273">
        <v>497</v>
      </c>
      <c r="BD273" t="s">
        <v>74</v>
      </c>
      <c r="BE273" t="s">
        <v>5695</v>
      </c>
      <c r="BF273" t="str">
        <f>HYPERLINK("http://dx.doi.org/10.1139/as-2016-0043","http://dx.doi.org/10.1139/as-2016-0043")</f>
        <v>http://dx.doi.org/10.1139/as-2016-0043</v>
      </c>
      <c r="BG273" t="s">
        <v>74</v>
      </c>
      <c r="BH273" t="s">
        <v>74</v>
      </c>
      <c r="BI273">
        <v>23</v>
      </c>
      <c r="BJ273" t="s">
        <v>5696</v>
      </c>
      <c r="BK273" t="s">
        <v>101</v>
      </c>
      <c r="BL273" t="s">
        <v>5697</v>
      </c>
      <c r="BM273" t="s">
        <v>5698</v>
      </c>
      <c r="BN273" t="s">
        <v>74</v>
      </c>
      <c r="BO273" t="s">
        <v>4439</v>
      </c>
      <c r="BP273" t="s">
        <v>74</v>
      </c>
      <c r="BQ273" t="s">
        <v>74</v>
      </c>
      <c r="BR273" t="s">
        <v>105</v>
      </c>
      <c r="BS273" t="s">
        <v>5699</v>
      </c>
      <c r="BT273" t="str">
        <f>HYPERLINK("https%3A%2F%2Fwww.webofscience.com%2Fwos%2Fwoscc%2Ffull-record%2FWOS:000416399600002","View Full Record in Web of Science")</f>
        <v>View Full Record in Web of Science</v>
      </c>
    </row>
    <row r="274" spans="1:72" x14ac:dyDescent="0.15">
      <c r="A274" t="s">
        <v>72</v>
      </c>
      <c r="B274" t="s">
        <v>5700</v>
      </c>
      <c r="C274" t="s">
        <v>74</v>
      </c>
      <c r="D274" t="s">
        <v>74</v>
      </c>
      <c r="E274" t="s">
        <v>74</v>
      </c>
      <c r="F274" t="s">
        <v>5701</v>
      </c>
      <c r="G274" t="s">
        <v>74</v>
      </c>
      <c r="H274" t="s">
        <v>74</v>
      </c>
      <c r="I274" t="s">
        <v>5702</v>
      </c>
      <c r="J274" t="s">
        <v>5703</v>
      </c>
      <c r="K274" t="s">
        <v>74</v>
      </c>
      <c r="L274" t="s">
        <v>74</v>
      </c>
      <c r="M274" t="s">
        <v>78</v>
      </c>
      <c r="N274" t="s">
        <v>79</v>
      </c>
      <c r="O274" t="s">
        <v>74</v>
      </c>
      <c r="P274" t="s">
        <v>74</v>
      </c>
      <c r="Q274" t="s">
        <v>74</v>
      </c>
      <c r="R274" t="s">
        <v>74</v>
      </c>
      <c r="S274" t="s">
        <v>74</v>
      </c>
      <c r="T274" t="s">
        <v>5704</v>
      </c>
      <c r="U274" t="s">
        <v>5705</v>
      </c>
      <c r="V274" t="s">
        <v>5706</v>
      </c>
      <c r="W274" t="s">
        <v>5707</v>
      </c>
      <c r="X274" t="s">
        <v>5708</v>
      </c>
      <c r="Y274" t="s">
        <v>5709</v>
      </c>
      <c r="Z274" t="s">
        <v>5710</v>
      </c>
      <c r="AA274" t="s">
        <v>5711</v>
      </c>
      <c r="AB274" t="s">
        <v>74</v>
      </c>
      <c r="AC274" t="s">
        <v>5712</v>
      </c>
      <c r="AD274" t="s">
        <v>5713</v>
      </c>
      <c r="AE274" t="s">
        <v>5714</v>
      </c>
      <c r="AF274" t="s">
        <v>74</v>
      </c>
      <c r="AG274">
        <v>19</v>
      </c>
      <c r="AH274">
        <v>12</v>
      </c>
      <c r="AI274">
        <v>16</v>
      </c>
      <c r="AJ274">
        <v>1</v>
      </c>
      <c r="AK274">
        <v>28</v>
      </c>
      <c r="AL274" t="s">
        <v>1392</v>
      </c>
      <c r="AM274" t="s">
        <v>1393</v>
      </c>
      <c r="AN274" t="s">
        <v>1394</v>
      </c>
      <c r="AO274" t="s">
        <v>5715</v>
      </c>
      <c r="AP274" t="s">
        <v>5716</v>
      </c>
      <c r="AQ274" t="s">
        <v>74</v>
      </c>
      <c r="AR274" t="s">
        <v>5717</v>
      </c>
      <c r="AS274" t="s">
        <v>5718</v>
      </c>
      <c r="AT274" t="s">
        <v>5544</v>
      </c>
      <c r="AU274">
        <v>2017</v>
      </c>
      <c r="AV274">
        <v>10</v>
      </c>
      <c r="AW274">
        <v>9</v>
      </c>
      <c r="AX274" t="s">
        <v>74</v>
      </c>
      <c r="AY274" t="s">
        <v>74</v>
      </c>
      <c r="AZ274" t="s">
        <v>1188</v>
      </c>
      <c r="BA274" t="s">
        <v>74</v>
      </c>
      <c r="BB274">
        <v>3904</v>
      </c>
      <c r="BC274">
        <v>3911</v>
      </c>
      <c r="BD274" t="s">
        <v>74</v>
      </c>
      <c r="BE274" t="s">
        <v>5719</v>
      </c>
      <c r="BF274" t="str">
        <f>HYPERLINK("http://dx.doi.org/10.1109/JSTARS.2017.2693120","http://dx.doi.org/10.1109/JSTARS.2017.2693120")</f>
        <v>http://dx.doi.org/10.1109/JSTARS.2017.2693120</v>
      </c>
      <c r="BG274" t="s">
        <v>74</v>
      </c>
      <c r="BH274" t="s">
        <v>74</v>
      </c>
      <c r="BI274">
        <v>8</v>
      </c>
      <c r="BJ274" t="s">
        <v>5720</v>
      </c>
      <c r="BK274" t="s">
        <v>101</v>
      </c>
      <c r="BL274" t="s">
        <v>5721</v>
      </c>
      <c r="BM274" t="s">
        <v>5722</v>
      </c>
      <c r="BN274" t="s">
        <v>74</v>
      </c>
      <c r="BO274" t="s">
        <v>74</v>
      </c>
      <c r="BP274" t="s">
        <v>74</v>
      </c>
      <c r="BQ274" t="s">
        <v>74</v>
      </c>
      <c r="BR274" t="s">
        <v>105</v>
      </c>
      <c r="BS274" t="s">
        <v>5723</v>
      </c>
      <c r="BT274" t="str">
        <f>HYPERLINK("https%3A%2F%2Fwww.webofscience.com%2Fwos%2Fwoscc%2Ffull-record%2FWOS:000412626400008","View Full Record in Web of Science")</f>
        <v>View Full Record in Web of Science</v>
      </c>
    </row>
    <row r="275" spans="1:72" x14ac:dyDescent="0.15">
      <c r="A275" t="s">
        <v>72</v>
      </c>
      <c r="B275" t="s">
        <v>5724</v>
      </c>
      <c r="C275" t="s">
        <v>74</v>
      </c>
      <c r="D275" t="s">
        <v>74</v>
      </c>
      <c r="E275" t="s">
        <v>74</v>
      </c>
      <c r="F275" t="s">
        <v>5725</v>
      </c>
      <c r="G275" t="s">
        <v>74</v>
      </c>
      <c r="H275" t="s">
        <v>74</v>
      </c>
      <c r="I275" t="s">
        <v>5726</v>
      </c>
      <c r="J275" t="s">
        <v>5703</v>
      </c>
      <c r="K275" t="s">
        <v>74</v>
      </c>
      <c r="L275" t="s">
        <v>74</v>
      </c>
      <c r="M275" t="s">
        <v>78</v>
      </c>
      <c r="N275" t="s">
        <v>79</v>
      </c>
      <c r="O275" t="s">
        <v>74</v>
      </c>
      <c r="P275" t="s">
        <v>74</v>
      </c>
      <c r="Q275" t="s">
        <v>74</v>
      </c>
      <c r="R275" t="s">
        <v>74</v>
      </c>
      <c r="S275" t="s">
        <v>74</v>
      </c>
      <c r="T275" t="s">
        <v>5727</v>
      </c>
      <c r="U275" t="s">
        <v>5728</v>
      </c>
      <c r="V275" t="s">
        <v>5729</v>
      </c>
      <c r="W275" t="s">
        <v>5730</v>
      </c>
      <c r="X275" t="s">
        <v>5731</v>
      </c>
      <c r="Y275" t="s">
        <v>5732</v>
      </c>
      <c r="Z275" t="s">
        <v>5733</v>
      </c>
      <c r="AA275" t="s">
        <v>5734</v>
      </c>
      <c r="AB275" t="s">
        <v>74</v>
      </c>
      <c r="AC275" t="s">
        <v>5735</v>
      </c>
      <c r="AD275" t="s">
        <v>5736</v>
      </c>
      <c r="AE275" t="s">
        <v>5737</v>
      </c>
      <c r="AF275" t="s">
        <v>74</v>
      </c>
      <c r="AG275">
        <v>59</v>
      </c>
      <c r="AH275">
        <v>30</v>
      </c>
      <c r="AI275">
        <v>33</v>
      </c>
      <c r="AJ275">
        <v>2</v>
      </c>
      <c r="AK275">
        <v>28</v>
      </c>
      <c r="AL275" t="s">
        <v>1392</v>
      </c>
      <c r="AM275" t="s">
        <v>1393</v>
      </c>
      <c r="AN275" t="s">
        <v>1394</v>
      </c>
      <c r="AO275" t="s">
        <v>5715</v>
      </c>
      <c r="AP275" t="s">
        <v>5716</v>
      </c>
      <c r="AQ275" t="s">
        <v>74</v>
      </c>
      <c r="AR275" t="s">
        <v>5717</v>
      </c>
      <c r="AS275" t="s">
        <v>5718</v>
      </c>
      <c r="AT275" t="s">
        <v>5544</v>
      </c>
      <c r="AU275">
        <v>2017</v>
      </c>
      <c r="AV275">
        <v>10</v>
      </c>
      <c r="AW275">
        <v>9</v>
      </c>
      <c r="AX275" t="s">
        <v>74</v>
      </c>
      <c r="AY275" t="s">
        <v>74</v>
      </c>
      <c r="AZ275" t="s">
        <v>1188</v>
      </c>
      <c r="BA275" t="s">
        <v>74</v>
      </c>
      <c r="BB275">
        <v>3912</v>
      </c>
      <c r="BC275">
        <v>3922</v>
      </c>
      <c r="BD275" t="s">
        <v>74</v>
      </c>
      <c r="BE275" t="s">
        <v>5738</v>
      </c>
      <c r="BF275" t="str">
        <f>HYPERLINK("http://dx.doi.org/10.1109/JSTARS.2017.2731995","http://dx.doi.org/10.1109/JSTARS.2017.2731995")</f>
        <v>http://dx.doi.org/10.1109/JSTARS.2017.2731995</v>
      </c>
      <c r="BG275" t="s">
        <v>74</v>
      </c>
      <c r="BH275" t="s">
        <v>74</v>
      </c>
      <c r="BI275">
        <v>11</v>
      </c>
      <c r="BJ275" t="s">
        <v>5720</v>
      </c>
      <c r="BK275" t="s">
        <v>101</v>
      </c>
      <c r="BL275" t="s">
        <v>5721</v>
      </c>
      <c r="BM275" t="s">
        <v>5722</v>
      </c>
      <c r="BN275" t="s">
        <v>74</v>
      </c>
      <c r="BO275" t="s">
        <v>164</v>
      </c>
      <c r="BP275" t="s">
        <v>74</v>
      </c>
      <c r="BQ275" t="s">
        <v>74</v>
      </c>
      <c r="BR275" t="s">
        <v>105</v>
      </c>
      <c r="BS275" t="s">
        <v>5739</v>
      </c>
      <c r="BT275" t="str">
        <f>HYPERLINK("https%3A%2F%2Fwww.webofscience.com%2Fwos%2Fwoscc%2Ffull-record%2FWOS:000412626400009","View Full Record in Web of Science")</f>
        <v>View Full Record in Web of Science</v>
      </c>
    </row>
    <row r="276" spans="1:72" x14ac:dyDescent="0.15">
      <c r="A276" t="s">
        <v>72</v>
      </c>
      <c r="B276" t="s">
        <v>5740</v>
      </c>
      <c r="C276" t="s">
        <v>74</v>
      </c>
      <c r="D276" t="s">
        <v>74</v>
      </c>
      <c r="E276" t="s">
        <v>74</v>
      </c>
      <c r="F276" t="s">
        <v>5741</v>
      </c>
      <c r="G276" t="s">
        <v>74</v>
      </c>
      <c r="H276" t="s">
        <v>74</v>
      </c>
      <c r="I276" t="s">
        <v>5742</v>
      </c>
      <c r="J276" t="s">
        <v>5703</v>
      </c>
      <c r="K276" t="s">
        <v>74</v>
      </c>
      <c r="L276" t="s">
        <v>74</v>
      </c>
      <c r="M276" t="s">
        <v>78</v>
      </c>
      <c r="N276" t="s">
        <v>79</v>
      </c>
      <c r="O276" t="s">
        <v>74</v>
      </c>
      <c r="P276" t="s">
        <v>74</v>
      </c>
      <c r="Q276" t="s">
        <v>74</v>
      </c>
      <c r="R276" t="s">
        <v>74</v>
      </c>
      <c r="S276" t="s">
        <v>74</v>
      </c>
      <c r="T276" t="s">
        <v>5743</v>
      </c>
      <c r="U276" t="s">
        <v>5744</v>
      </c>
      <c r="V276" t="s">
        <v>5745</v>
      </c>
      <c r="W276" t="s">
        <v>5746</v>
      </c>
      <c r="X276" t="s">
        <v>5747</v>
      </c>
      <c r="Y276" t="s">
        <v>5709</v>
      </c>
      <c r="Z276" t="s">
        <v>5748</v>
      </c>
      <c r="AA276" t="s">
        <v>5749</v>
      </c>
      <c r="AB276" t="s">
        <v>74</v>
      </c>
      <c r="AC276" t="s">
        <v>5750</v>
      </c>
      <c r="AD276" t="s">
        <v>5750</v>
      </c>
      <c r="AE276" t="s">
        <v>5751</v>
      </c>
      <c r="AF276" t="s">
        <v>74</v>
      </c>
      <c r="AG276">
        <v>15</v>
      </c>
      <c r="AH276">
        <v>13</v>
      </c>
      <c r="AI276">
        <v>17</v>
      </c>
      <c r="AJ276">
        <v>3</v>
      </c>
      <c r="AK276">
        <v>20</v>
      </c>
      <c r="AL276" t="s">
        <v>1392</v>
      </c>
      <c r="AM276" t="s">
        <v>1393</v>
      </c>
      <c r="AN276" t="s">
        <v>1394</v>
      </c>
      <c r="AO276" t="s">
        <v>5715</v>
      </c>
      <c r="AP276" t="s">
        <v>5716</v>
      </c>
      <c r="AQ276" t="s">
        <v>74</v>
      </c>
      <c r="AR276" t="s">
        <v>5717</v>
      </c>
      <c r="AS276" t="s">
        <v>5718</v>
      </c>
      <c r="AT276" t="s">
        <v>5544</v>
      </c>
      <c r="AU276">
        <v>2017</v>
      </c>
      <c r="AV276">
        <v>10</v>
      </c>
      <c r="AW276">
        <v>9</v>
      </c>
      <c r="AX276" t="s">
        <v>74</v>
      </c>
      <c r="AY276" t="s">
        <v>74</v>
      </c>
      <c r="AZ276" t="s">
        <v>1188</v>
      </c>
      <c r="BA276" t="s">
        <v>74</v>
      </c>
      <c r="BB276">
        <v>3923</v>
      </c>
      <c r="BC276">
        <v>3933</v>
      </c>
      <c r="BD276" t="s">
        <v>74</v>
      </c>
      <c r="BE276" t="s">
        <v>5752</v>
      </c>
      <c r="BF276" t="str">
        <f>HYPERLINK("http://dx.doi.org/10.1109/JSTARS.2017.2719624","http://dx.doi.org/10.1109/JSTARS.2017.2719624")</f>
        <v>http://dx.doi.org/10.1109/JSTARS.2017.2719624</v>
      </c>
      <c r="BG276" t="s">
        <v>74</v>
      </c>
      <c r="BH276" t="s">
        <v>74</v>
      </c>
      <c r="BI276">
        <v>11</v>
      </c>
      <c r="BJ276" t="s">
        <v>5720</v>
      </c>
      <c r="BK276" t="s">
        <v>101</v>
      </c>
      <c r="BL276" t="s">
        <v>5721</v>
      </c>
      <c r="BM276" t="s">
        <v>5722</v>
      </c>
      <c r="BN276" t="s">
        <v>74</v>
      </c>
      <c r="BO276" t="s">
        <v>74</v>
      </c>
      <c r="BP276" t="s">
        <v>74</v>
      </c>
      <c r="BQ276" t="s">
        <v>74</v>
      </c>
      <c r="BR276" t="s">
        <v>105</v>
      </c>
      <c r="BS276" t="s">
        <v>5753</v>
      </c>
      <c r="BT276" t="str">
        <f>HYPERLINK("https%3A%2F%2Fwww.webofscience.com%2Fwos%2Fwoscc%2Ffull-record%2FWOS:000412626400010","View Full Record in Web of Science")</f>
        <v>View Full Record in Web of Science</v>
      </c>
    </row>
    <row r="277" spans="1:72" x14ac:dyDescent="0.15">
      <c r="A277" t="s">
        <v>72</v>
      </c>
      <c r="B277" t="s">
        <v>5754</v>
      </c>
      <c r="C277" t="s">
        <v>74</v>
      </c>
      <c r="D277" t="s">
        <v>74</v>
      </c>
      <c r="E277" t="s">
        <v>74</v>
      </c>
      <c r="F277" t="s">
        <v>5755</v>
      </c>
      <c r="G277" t="s">
        <v>74</v>
      </c>
      <c r="H277" t="s">
        <v>74</v>
      </c>
      <c r="I277" t="s">
        <v>5756</v>
      </c>
      <c r="J277" t="s">
        <v>5757</v>
      </c>
      <c r="K277" t="s">
        <v>74</v>
      </c>
      <c r="L277" t="s">
        <v>74</v>
      </c>
      <c r="M277" t="s">
        <v>78</v>
      </c>
      <c r="N277" t="s">
        <v>5758</v>
      </c>
      <c r="O277" t="s">
        <v>74</v>
      </c>
      <c r="P277" t="s">
        <v>74</v>
      </c>
      <c r="Q277" t="s">
        <v>74</v>
      </c>
      <c r="R277" t="s">
        <v>74</v>
      </c>
      <c r="S277" t="s">
        <v>74</v>
      </c>
      <c r="T277" t="s">
        <v>74</v>
      </c>
      <c r="U277" t="s">
        <v>74</v>
      </c>
      <c r="V277" t="s">
        <v>74</v>
      </c>
      <c r="W277" t="s">
        <v>74</v>
      </c>
      <c r="X277" t="s">
        <v>74</v>
      </c>
      <c r="Y277" t="s">
        <v>74</v>
      </c>
      <c r="Z277" t="s">
        <v>74</v>
      </c>
      <c r="AA277" t="s">
        <v>74</v>
      </c>
      <c r="AB277" t="s">
        <v>74</v>
      </c>
      <c r="AC277" t="s">
        <v>74</v>
      </c>
      <c r="AD277" t="s">
        <v>74</v>
      </c>
      <c r="AE277" t="s">
        <v>74</v>
      </c>
      <c r="AF277" t="s">
        <v>74</v>
      </c>
      <c r="AG277">
        <v>1</v>
      </c>
      <c r="AH277">
        <v>0</v>
      </c>
      <c r="AI277">
        <v>0</v>
      </c>
      <c r="AJ277">
        <v>0</v>
      </c>
      <c r="AK277">
        <v>2</v>
      </c>
      <c r="AL277" t="s">
        <v>5759</v>
      </c>
      <c r="AM277" t="s">
        <v>5760</v>
      </c>
      <c r="AN277" t="s">
        <v>5761</v>
      </c>
      <c r="AO277" t="s">
        <v>5762</v>
      </c>
      <c r="AP277" t="s">
        <v>74</v>
      </c>
      <c r="AQ277" t="s">
        <v>74</v>
      </c>
      <c r="AR277" t="s">
        <v>5757</v>
      </c>
      <c r="AS277" t="s">
        <v>5763</v>
      </c>
      <c r="AT277" t="s">
        <v>5626</v>
      </c>
      <c r="AU277">
        <v>2017</v>
      </c>
      <c r="AV277" t="s">
        <v>74</v>
      </c>
      <c r="AW277">
        <v>273</v>
      </c>
      <c r="AX277" t="s">
        <v>74</v>
      </c>
      <c r="AY277" t="s">
        <v>74</v>
      </c>
      <c r="AZ277" t="s">
        <v>74</v>
      </c>
      <c r="BA277" t="s">
        <v>74</v>
      </c>
      <c r="BB277">
        <v>133</v>
      </c>
      <c r="BC277">
        <v>136</v>
      </c>
      <c r="BD277" t="s">
        <v>74</v>
      </c>
      <c r="BE277" t="s">
        <v>74</v>
      </c>
      <c r="BF277" t="s">
        <v>74</v>
      </c>
      <c r="BG277" t="s">
        <v>74</v>
      </c>
      <c r="BH277" t="s">
        <v>74</v>
      </c>
      <c r="BI277">
        <v>4</v>
      </c>
      <c r="BJ277" t="s">
        <v>5764</v>
      </c>
      <c r="BK277" t="s">
        <v>5765</v>
      </c>
      <c r="BL277" t="s">
        <v>5766</v>
      </c>
      <c r="BM277" t="s">
        <v>5767</v>
      </c>
      <c r="BN277" t="s">
        <v>74</v>
      </c>
      <c r="BO277" t="s">
        <v>74</v>
      </c>
      <c r="BP277" t="s">
        <v>74</v>
      </c>
      <c r="BQ277" t="s">
        <v>74</v>
      </c>
      <c r="BR277" t="s">
        <v>105</v>
      </c>
      <c r="BS277" t="s">
        <v>5768</v>
      </c>
      <c r="BT277" t="str">
        <f>HYPERLINK("https%3A%2F%2Fwww.webofscience.com%2Fwos%2Fwoscc%2Ffull-record%2FWOS:000415140200034","View Full Record in Web of Science")</f>
        <v>View Full Record in Web of Science</v>
      </c>
    </row>
    <row r="278" spans="1:72" x14ac:dyDescent="0.15">
      <c r="A278" t="s">
        <v>72</v>
      </c>
      <c r="B278" t="s">
        <v>5769</v>
      </c>
      <c r="C278" t="s">
        <v>74</v>
      </c>
      <c r="D278" t="s">
        <v>74</v>
      </c>
      <c r="E278" t="s">
        <v>74</v>
      </c>
      <c r="F278" t="s">
        <v>5770</v>
      </c>
      <c r="G278" t="s">
        <v>74</v>
      </c>
      <c r="H278" t="s">
        <v>74</v>
      </c>
      <c r="I278" t="s">
        <v>5771</v>
      </c>
      <c r="J278" t="s">
        <v>5772</v>
      </c>
      <c r="K278" t="s">
        <v>74</v>
      </c>
      <c r="L278" t="s">
        <v>74</v>
      </c>
      <c r="M278" t="s">
        <v>78</v>
      </c>
      <c r="N278" t="s">
        <v>79</v>
      </c>
      <c r="O278" t="s">
        <v>74</v>
      </c>
      <c r="P278" t="s">
        <v>74</v>
      </c>
      <c r="Q278" t="s">
        <v>74</v>
      </c>
      <c r="R278" t="s">
        <v>74</v>
      </c>
      <c r="S278" t="s">
        <v>74</v>
      </c>
      <c r="T278" t="s">
        <v>5773</v>
      </c>
      <c r="U278" t="s">
        <v>5774</v>
      </c>
      <c r="V278" t="s">
        <v>5775</v>
      </c>
      <c r="W278" t="s">
        <v>5776</v>
      </c>
      <c r="X278" t="s">
        <v>5777</v>
      </c>
      <c r="Y278" t="s">
        <v>5778</v>
      </c>
      <c r="Z278" t="s">
        <v>5779</v>
      </c>
      <c r="AA278" t="s">
        <v>5780</v>
      </c>
      <c r="AB278" t="s">
        <v>5781</v>
      </c>
      <c r="AC278" t="s">
        <v>5782</v>
      </c>
      <c r="AD278" t="s">
        <v>5783</v>
      </c>
      <c r="AE278" t="s">
        <v>5784</v>
      </c>
      <c r="AF278" t="s">
        <v>74</v>
      </c>
      <c r="AG278">
        <v>16</v>
      </c>
      <c r="AH278">
        <v>5</v>
      </c>
      <c r="AI278">
        <v>5</v>
      </c>
      <c r="AJ278">
        <v>0</v>
      </c>
      <c r="AK278">
        <v>5</v>
      </c>
      <c r="AL278" t="s">
        <v>5785</v>
      </c>
      <c r="AM278" t="s">
        <v>5786</v>
      </c>
      <c r="AN278" t="s">
        <v>5787</v>
      </c>
      <c r="AO278" t="s">
        <v>5788</v>
      </c>
      <c r="AP278" t="s">
        <v>74</v>
      </c>
      <c r="AQ278" t="s">
        <v>74</v>
      </c>
      <c r="AR278" t="s">
        <v>5789</v>
      </c>
      <c r="AS278" t="s">
        <v>5790</v>
      </c>
      <c r="AT278" t="s">
        <v>5544</v>
      </c>
      <c r="AU278">
        <v>2017</v>
      </c>
      <c r="AV278">
        <v>5</v>
      </c>
      <c r="AW278">
        <v>9</v>
      </c>
      <c r="AX278" t="s">
        <v>74</v>
      </c>
      <c r="AY278" t="s">
        <v>74</v>
      </c>
      <c r="AZ278" t="s">
        <v>74</v>
      </c>
      <c r="BA278" t="s">
        <v>74</v>
      </c>
      <c r="BB278" t="s">
        <v>74</v>
      </c>
      <c r="BC278" t="s">
        <v>74</v>
      </c>
      <c r="BD278">
        <v>1700054</v>
      </c>
      <c r="BE278" t="s">
        <v>5791</v>
      </c>
      <c r="BF278" t="str">
        <f>HYPERLINK("http://dx.doi.org/10.3732/apps.1700054","http://dx.doi.org/10.3732/apps.1700054")</f>
        <v>http://dx.doi.org/10.3732/apps.1700054</v>
      </c>
      <c r="BG278" t="s">
        <v>74</v>
      </c>
      <c r="BH278" t="s">
        <v>74</v>
      </c>
      <c r="BI278">
        <v>5</v>
      </c>
      <c r="BJ278" t="s">
        <v>811</v>
      </c>
      <c r="BK278" t="s">
        <v>101</v>
      </c>
      <c r="BL278" t="s">
        <v>811</v>
      </c>
      <c r="BM278" t="s">
        <v>5792</v>
      </c>
      <c r="BN278">
        <v>28989825</v>
      </c>
      <c r="BO278" t="s">
        <v>658</v>
      </c>
      <c r="BP278" t="s">
        <v>74</v>
      </c>
      <c r="BQ278" t="s">
        <v>74</v>
      </c>
      <c r="BR278" t="s">
        <v>105</v>
      </c>
      <c r="BS278" t="s">
        <v>5793</v>
      </c>
      <c r="BT278" t="str">
        <f>HYPERLINK("https%3A%2F%2Fwww.webofscience.com%2Fwos%2Fwoscc%2Ffull-record%2FWOS:000412059400006","View Full Record in Web of Science")</f>
        <v>View Full Record in Web of Science</v>
      </c>
    </row>
    <row r="279" spans="1:72" x14ac:dyDescent="0.15">
      <c r="A279" t="s">
        <v>72</v>
      </c>
      <c r="B279" t="s">
        <v>5794</v>
      </c>
      <c r="C279" t="s">
        <v>74</v>
      </c>
      <c r="D279" t="s">
        <v>74</v>
      </c>
      <c r="E279" t="s">
        <v>74</v>
      </c>
      <c r="F279" t="s">
        <v>5795</v>
      </c>
      <c r="G279" t="s">
        <v>74</v>
      </c>
      <c r="H279" t="s">
        <v>74</v>
      </c>
      <c r="I279" t="s">
        <v>5796</v>
      </c>
      <c r="J279" t="s">
        <v>5797</v>
      </c>
      <c r="K279" t="s">
        <v>74</v>
      </c>
      <c r="L279" t="s">
        <v>74</v>
      </c>
      <c r="M279" t="s">
        <v>78</v>
      </c>
      <c r="N279" t="s">
        <v>79</v>
      </c>
      <c r="O279" t="s">
        <v>74</v>
      </c>
      <c r="P279" t="s">
        <v>74</v>
      </c>
      <c r="Q279" t="s">
        <v>74</v>
      </c>
      <c r="R279" t="s">
        <v>74</v>
      </c>
      <c r="S279" t="s">
        <v>74</v>
      </c>
      <c r="T279" t="s">
        <v>5798</v>
      </c>
      <c r="U279" t="s">
        <v>5799</v>
      </c>
      <c r="V279" t="s">
        <v>5800</v>
      </c>
      <c r="W279" t="s">
        <v>5801</v>
      </c>
      <c r="X279" t="s">
        <v>5802</v>
      </c>
      <c r="Y279" t="s">
        <v>5803</v>
      </c>
      <c r="Z279" t="s">
        <v>5804</v>
      </c>
      <c r="AA279" t="s">
        <v>5805</v>
      </c>
      <c r="AB279" t="s">
        <v>5806</v>
      </c>
      <c r="AC279" t="s">
        <v>5807</v>
      </c>
      <c r="AD279" t="s">
        <v>5808</v>
      </c>
      <c r="AE279" t="s">
        <v>5809</v>
      </c>
      <c r="AF279" t="s">
        <v>74</v>
      </c>
      <c r="AG279">
        <v>93</v>
      </c>
      <c r="AH279">
        <v>18</v>
      </c>
      <c r="AI279">
        <v>19</v>
      </c>
      <c r="AJ279">
        <v>1</v>
      </c>
      <c r="AK279">
        <v>19</v>
      </c>
      <c r="AL279" t="s">
        <v>5810</v>
      </c>
      <c r="AM279" t="s">
        <v>5811</v>
      </c>
      <c r="AN279" t="s">
        <v>5812</v>
      </c>
      <c r="AO279" t="s">
        <v>5813</v>
      </c>
      <c r="AP279" t="s">
        <v>5814</v>
      </c>
      <c r="AQ279" t="s">
        <v>74</v>
      </c>
      <c r="AR279" t="s">
        <v>5815</v>
      </c>
      <c r="AS279" t="s">
        <v>5816</v>
      </c>
      <c r="AT279" t="s">
        <v>5817</v>
      </c>
      <c r="AU279">
        <v>2017</v>
      </c>
      <c r="AV279">
        <v>28</v>
      </c>
      <c r="AW279">
        <v>5</v>
      </c>
      <c r="AX279" t="s">
        <v>74</v>
      </c>
      <c r="AY279" t="s">
        <v>74</v>
      </c>
      <c r="AZ279" t="s">
        <v>74</v>
      </c>
      <c r="BA279" t="s">
        <v>74</v>
      </c>
      <c r="BB279">
        <v>1337</v>
      </c>
      <c r="BC279">
        <v>1347</v>
      </c>
      <c r="BD279" t="s">
        <v>74</v>
      </c>
      <c r="BE279" t="s">
        <v>5818</v>
      </c>
      <c r="BF279" t="str">
        <f>HYPERLINK("http://dx.doi.org/10.1093/beheco/arx097","http://dx.doi.org/10.1093/beheco/arx097")</f>
        <v>http://dx.doi.org/10.1093/beheco/arx097</v>
      </c>
      <c r="BG279" t="s">
        <v>74</v>
      </c>
      <c r="BH279" t="s">
        <v>74</v>
      </c>
      <c r="BI279">
        <v>11</v>
      </c>
      <c r="BJ279" t="s">
        <v>5819</v>
      </c>
      <c r="BK279" t="s">
        <v>101</v>
      </c>
      <c r="BL279" t="s">
        <v>5820</v>
      </c>
      <c r="BM279" t="s">
        <v>5821</v>
      </c>
      <c r="BN279" t="s">
        <v>74</v>
      </c>
      <c r="BO279" t="s">
        <v>104</v>
      </c>
      <c r="BP279" t="s">
        <v>74</v>
      </c>
      <c r="BQ279" t="s">
        <v>74</v>
      </c>
      <c r="BR279" t="s">
        <v>105</v>
      </c>
      <c r="BS279" t="s">
        <v>5822</v>
      </c>
      <c r="BT279" t="str">
        <f>HYPERLINK("https%3A%2F%2Fwww.webofscience.com%2Fwos%2Fwoscc%2Ffull-record%2FWOS:000412182400017","View Full Record in Web of Science")</f>
        <v>View Full Record in Web of Science</v>
      </c>
    </row>
    <row r="280" spans="1:72" x14ac:dyDescent="0.15">
      <c r="A280" t="s">
        <v>72</v>
      </c>
      <c r="B280" t="s">
        <v>5823</v>
      </c>
      <c r="C280" t="s">
        <v>74</v>
      </c>
      <c r="D280" t="s">
        <v>74</v>
      </c>
      <c r="E280" t="s">
        <v>74</v>
      </c>
      <c r="F280" t="s">
        <v>5824</v>
      </c>
      <c r="G280" t="s">
        <v>74</v>
      </c>
      <c r="H280" t="s">
        <v>74</v>
      </c>
      <c r="I280" t="s">
        <v>5825</v>
      </c>
      <c r="J280" t="s">
        <v>1798</v>
      </c>
      <c r="K280" t="s">
        <v>74</v>
      </c>
      <c r="L280" t="s">
        <v>74</v>
      </c>
      <c r="M280" t="s">
        <v>78</v>
      </c>
      <c r="N280" t="s">
        <v>79</v>
      </c>
      <c r="O280" t="s">
        <v>74</v>
      </c>
      <c r="P280" t="s">
        <v>74</v>
      </c>
      <c r="Q280" t="s">
        <v>74</v>
      </c>
      <c r="R280" t="s">
        <v>74</v>
      </c>
      <c r="S280" t="s">
        <v>74</v>
      </c>
      <c r="T280" t="s">
        <v>5826</v>
      </c>
      <c r="U280" t="s">
        <v>5827</v>
      </c>
      <c r="V280" t="s">
        <v>5828</v>
      </c>
      <c r="W280" t="s">
        <v>5829</v>
      </c>
      <c r="X280" t="s">
        <v>5830</v>
      </c>
      <c r="Y280" t="s">
        <v>5831</v>
      </c>
      <c r="Z280" t="s">
        <v>5832</v>
      </c>
      <c r="AA280" t="s">
        <v>5833</v>
      </c>
      <c r="AB280" t="s">
        <v>5834</v>
      </c>
      <c r="AC280" t="s">
        <v>5835</v>
      </c>
      <c r="AD280" t="s">
        <v>5836</v>
      </c>
      <c r="AE280" t="s">
        <v>5837</v>
      </c>
      <c r="AF280" t="s">
        <v>74</v>
      </c>
      <c r="AG280">
        <v>18</v>
      </c>
      <c r="AH280">
        <v>47</v>
      </c>
      <c r="AI280">
        <v>56</v>
      </c>
      <c r="AJ280">
        <v>2</v>
      </c>
      <c r="AK280">
        <v>28</v>
      </c>
      <c r="AL280" t="s">
        <v>1809</v>
      </c>
      <c r="AM280" t="s">
        <v>182</v>
      </c>
      <c r="AN280" t="s">
        <v>1810</v>
      </c>
      <c r="AO280" t="s">
        <v>1811</v>
      </c>
      <c r="AP280" t="s">
        <v>1812</v>
      </c>
      <c r="AQ280" t="s">
        <v>74</v>
      </c>
      <c r="AR280" t="s">
        <v>1813</v>
      </c>
      <c r="AS280" t="s">
        <v>1814</v>
      </c>
      <c r="AT280" t="s">
        <v>5838</v>
      </c>
      <c r="AU280">
        <v>2017</v>
      </c>
      <c r="AV280">
        <v>13</v>
      </c>
      <c r="AW280">
        <v>9</v>
      </c>
      <c r="AX280" t="s">
        <v>74</v>
      </c>
      <c r="AY280" t="s">
        <v>74</v>
      </c>
      <c r="AZ280" t="s">
        <v>74</v>
      </c>
      <c r="BA280" t="s">
        <v>74</v>
      </c>
      <c r="BB280" t="s">
        <v>74</v>
      </c>
      <c r="BC280" t="s">
        <v>74</v>
      </c>
      <c r="BD280">
        <v>20170298</v>
      </c>
      <c r="BE280" t="s">
        <v>5839</v>
      </c>
      <c r="BF280" t="str">
        <f>HYPERLINK("http://dx.doi.org/10.1098/rsbl.2017.0298","http://dx.doi.org/10.1098/rsbl.2017.0298")</f>
        <v>http://dx.doi.org/10.1098/rsbl.2017.0298</v>
      </c>
      <c r="BG280" t="s">
        <v>74</v>
      </c>
      <c r="BH280" t="s">
        <v>74</v>
      </c>
      <c r="BI280">
        <v>4</v>
      </c>
      <c r="BJ280" t="s">
        <v>1817</v>
      </c>
      <c r="BK280" t="s">
        <v>101</v>
      </c>
      <c r="BL280" t="s">
        <v>1818</v>
      </c>
      <c r="BM280" t="s">
        <v>5840</v>
      </c>
      <c r="BN280">
        <v>28931728</v>
      </c>
      <c r="BO280" t="s">
        <v>1170</v>
      </c>
      <c r="BP280" t="s">
        <v>74</v>
      </c>
      <c r="BQ280" t="s">
        <v>74</v>
      </c>
      <c r="BR280" t="s">
        <v>105</v>
      </c>
      <c r="BS280" t="s">
        <v>5841</v>
      </c>
      <c r="BT280" t="str">
        <f>HYPERLINK("https%3A%2F%2Fwww.webofscience.com%2Fwos%2Fwoscc%2Ffull-record%2FWOS:000412163700002","View Full Record in Web of Science")</f>
        <v>View Full Record in Web of Science</v>
      </c>
    </row>
    <row r="281" spans="1:72" x14ac:dyDescent="0.15">
      <c r="A281" t="s">
        <v>72</v>
      </c>
      <c r="B281" t="s">
        <v>5842</v>
      </c>
      <c r="C281" t="s">
        <v>74</v>
      </c>
      <c r="D281" t="s">
        <v>74</v>
      </c>
      <c r="E281" t="s">
        <v>74</v>
      </c>
      <c r="F281" t="s">
        <v>5843</v>
      </c>
      <c r="G281" t="s">
        <v>74</v>
      </c>
      <c r="H281" t="s">
        <v>74</v>
      </c>
      <c r="I281" t="s">
        <v>5844</v>
      </c>
      <c r="J281" t="s">
        <v>5845</v>
      </c>
      <c r="K281" t="s">
        <v>74</v>
      </c>
      <c r="L281" t="s">
        <v>74</v>
      </c>
      <c r="M281" t="s">
        <v>78</v>
      </c>
      <c r="N281" t="s">
        <v>52</v>
      </c>
      <c r="O281" t="s">
        <v>5846</v>
      </c>
      <c r="P281" t="s">
        <v>5847</v>
      </c>
      <c r="Q281" t="s">
        <v>5848</v>
      </c>
      <c r="R281" t="s">
        <v>74</v>
      </c>
      <c r="S281" t="s">
        <v>74</v>
      </c>
      <c r="T281" t="s">
        <v>74</v>
      </c>
      <c r="U281" t="s">
        <v>74</v>
      </c>
      <c r="V281" t="s">
        <v>74</v>
      </c>
      <c r="W281" t="s">
        <v>5849</v>
      </c>
      <c r="X281" t="s">
        <v>5850</v>
      </c>
      <c r="Y281" t="s">
        <v>74</v>
      </c>
      <c r="Z281" t="s">
        <v>74</v>
      </c>
      <c r="AA281" t="s">
        <v>5851</v>
      </c>
      <c r="AB281" t="s">
        <v>5852</v>
      </c>
      <c r="AC281" t="s">
        <v>5853</v>
      </c>
      <c r="AD281" t="s">
        <v>5854</v>
      </c>
      <c r="AE281" t="s">
        <v>5855</v>
      </c>
      <c r="AF281" t="s">
        <v>74</v>
      </c>
      <c r="AG281">
        <v>0</v>
      </c>
      <c r="AH281">
        <v>1</v>
      </c>
      <c r="AI281">
        <v>1</v>
      </c>
      <c r="AJ281">
        <v>0</v>
      </c>
      <c r="AK281">
        <v>2</v>
      </c>
      <c r="AL281" t="s">
        <v>1338</v>
      </c>
      <c r="AM281" t="s">
        <v>1339</v>
      </c>
      <c r="AN281" t="s">
        <v>1340</v>
      </c>
      <c r="AO281" t="s">
        <v>5856</v>
      </c>
      <c r="AP281" t="s">
        <v>5857</v>
      </c>
      <c r="AQ281" t="s">
        <v>74</v>
      </c>
      <c r="AR281" t="s">
        <v>5858</v>
      </c>
      <c r="AS281" t="s">
        <v>5859</v>
      </c>
      <c r="AT281" t="s">
        <v>5544</v>
      </c>
      <c r="AU281">
        <v>2017</v>
      </c>
      <c r="AV281">
        <v>284</v>
      </c>
      <c r="AW281" t="s">
        <v>74</v>
      </c>
      <c r="AX281" t="s">
        <v>74</v>
      </c>
      <c r="AY281">
        <v>1</v>
      </c>
      <c r="AZ281" t="s">
        <v>1188</v>
      </c>
      <c r="BA281" t="s">
        <v>5860</v>
      </c>
      <c r="BB281">
        <v>251</v>
      </c>
      <c r="BC281">
        <v>252</v>
      </c>
      <c r="BD281" t="s">
        <v>74</v>
      </c>
      <c r="BE281" t="s">
        <v>74</v>
      </c>
      <c r="BF281" t="s">
        <v>74</v>
      </c>
      <c r="BG281" t="s">
        <v>74</v>
      </c>
      <c r="BH281" t="s">
        <v>74</v>
      </c>
      <c r="BI281">
        <v>2</v>
      </c>
      <c r="BJ281" t="s">
        <v>5861</v>
      </c>
      <c r="BK281" t="s">
        <v>1347</v>
      </c>
      <c r="BL281" t="s">
        <v>5861</v>
      </c>
      <c r="BM281" t="s">
        <v>5862</v>
      </c>
      <c r="BN281" t="s">
        <v>74</v>
      </c>
      <c r="BO281" t="s">
        <v>74</v>
      </c>
      <c r="BP281" t="s">
        <v>74</v>
      </c>
      <c r="BQ281" t="s">
        <v>74</v>
      </c>
      <c r="BR281" t="s">
        <v>105</v>
      </c>
      <c r="BS281" t="s">
        <v>5863</v>
      </c>
      <c r="BT281" t="str">
        <f>HYPERLINK("https%3A%2F%2Fwww.webofscience.com%2Fwos%2Fwoscc%2Ffull-record%2FWOS:000409918903155","View Full Record in Web of Science")</f>
        <v>View Full Record in Web of Science</v>
      </c>
    </row>
    <row r="282" spans="1:72" x14ac:dyDescent="0.15">
      <c r="A282" t="s">
        <v>72</v>
      </c>
      <c r="B282" t="s">
        <v>5864</v>
      </c>
      <c r="C282" t="s">
        <v>74</v>
      </c>
      <c r="D282" t="s">
        <v>74</v>
      </c>
      <c r="E282" t="s">
        <v>74</v>
      </c>
      <c r="F282" t="s">
        <v>5865</v>
      </c>
      <c r="G282" t="s">
        <v>74</v>
      </c>
      <c r="H282" t="s">
        <v>74</v>
      </c>
      <c r="I282" t="s">
        <v>5866</v>
      </c>
      <c r="J282" t="s">
        <v>5867</v>
      </c>
      <c r="K282" t="s">
        <v>74</v>
      </c>
      <c r="L282" t="s">
        <v>74</v>
      </c>
      <c r="M282" t="s">
        <v>78</v>
      </c>
      <c r="N282" t="s">
        <v>79</v>
      </c>
      <c r="O282" t="s">
        <v>74</v>
      </c>
      <c r="P282" t="s">
        <v>74</v>
      </c>
      <c r="Q282" t="s">
        <v>74</v>
      </c>
      <c r="R282" t="s">
        <v>74</v>
      </c>
      <c r="S282" t="s">
        <v>74</v>
      </c>
      <c r="T282" t="s">
        <v>5868</v>
      </c>
      <c r="U282" t="s">
        <v>5869</v>
      </c>
      <c r="V282" t="s">
        <v>5870</v>
      </c>
      <c r="W282" t="s">
        <v>5871</v>
      </c>
      <c r="X282" t="s">
        <v>1958</v>
      </c>
      <c r="Y282" t="s">
        <v>5872</v>
      </c>
      <c r="Z282" t="s">
        <v>5873</v>
      </c>
      <c r="AA282" t="s">
        <v>74</v>
      </c>
      <c r="AB282" t="s">
        <v>5874</v>
      </c>
      <c r="AC282" t="s">
        <v>5875</v>
      </c>
      <c r="AD282" t="s">
        <v>5876</v>
      </c>
      <c r="AE282" t="s">
        <v>5877</v>
      </c>
      <c r="AF282" t="s">
        <v>74</v>
      </c>
      <c r="AG282">
        <v>103</v>
      </c>
      <c r="AH282">
        <v>14</v>
      </c>
      <c r="AI282">
        <v>14</v>
      </c>
      <c r="AJ282">
        <v>2</v>
      </c>
      <c r="AK282">
        <v>12</v>
      </c>
      <c r="AL282" t="s">
        <v>91</v>
      </c>
      <c r="AM282" t="s">
        <v>92</v>
      </c>
      <c r="AN282" t="s">
        <v>93</v>
      </c>
      <c r="AO282" t="s">
        <v>5878</v>
      </c>
      <c r="AP282" t="s">
        <v>74</v>
      </c>
      <c r="AQ282" t="s">
        <v>74</v>
      </c>
      <c r="AR282" t="s">
        <v>5879</v>
      </c>
      <c r="AS282" t="s">
        <v>5880</v>
      </c>
      <c r="AT282" t="s">
        <v>5544</v>
      </c>
      <c r="AU282">
        <v>2017</v>
      </c>
      <c r="AV282">
        <v>18</v>
      </c>
      <c r="AW282">
        <v>9</v>
      </c>
      <c r="AX282" t="s">
        <v>74</v>
      </c>
      <c r="AY282" t="s">
        <v>74</v>
      </c>
      <c r="AZ282" t="s">
        <v>74</v>
      </c>
      <c r="BA282" t="s">
        <v>74</v>
      </c>
      <c r="BB282">
        <v>3438</v>
      </c>
      <c r="BC282">
        <v>3451</v>
      </c>
      <c r="BD282" t="s">
        <v>74</v>
      </c>
      <c r="BE282" t="s">
        <v>5881</v>
      </c>
      <c r="BF282" t="str">
        <f>HYPERLINK("http://dx.doi.org/10.1002/2017GC006804","http://dx.doi.org/10.1002/2017GC006804")</f>
        <v>http://dx.doi.org/10.1002/2017GC006804</v>
      </c>
      <c r="BG282" t="s">
        <v>74</v>
      </c>
      <c r="BH282" t="s">
        <v>74</v>
      </c>
      <c r="BI282">
        <v>14</v>
      </c>
      <c r="BJ282" t="s">
        <v>509</v>
      </c>
      <c r="BK282" t="s">
        <v>101</v>
      </c>
      <c r="BL282" t="s">
        <v>509</v>
      </c>
      <c r="BM282" t="s">
        <v>5882</v>
      </c>
      <c r="BN282" t="s">
        <v>74</v>
      </c>
      <c r="BO282" t="s">
        <v>74</v>
      </c>
      <c r="BP282" t="s">
        <v>74</v>
      </c>
      <c r="BQ282" t="s">
        <v>74</v>
      </c>
      <c r="BR282" t="s">
        <v>105</v>
      </c>
      <c r="BS282" t="s">
        <v>5883</v>
      </c>
      <c r="BT282" t="str">
        <f>HYPERLINK("https%3A%2F%2Fwww.webofscience.com%2Fwos%2Fwoscc%2Ffull-record%2FWOS:000413042600010","View Full Record in Web of Science")</f>
        <v>View Full Record in Web of Science</v>
      </c>
    </row>
    <row r="283" spans="1:72" x14ac:dyDescent="0.15">
      <c r="A283" t="s">
        <v>72</v>
      </c>
      <c r="B283" t="s">
        <v>5884</v>
      </c>
      <c r="C283" t="s">
        <v>74</v>
      </c>
      <c r="D283" t="s">
        <v>74</v>
      </c>
      <c r="E283" t="s">
        <v>74</v>
      </c>
      <c r="F283" t="s">
        <v>5885</v>
      </c>
      <c r="G283" t="s">
        <v>74</v>
      </c>
      <c r="H283" t="s">
        <v>74</v>
      </c>
      <c r="I283" t="s">
        <v>5886</v>
      </c>
      <c r="J283" t="s">
        <v>1908</v>
      </c>
      <c r="K283" t="s">
        <v>74</v>
      </c>
      <c r="L283" t="s">
        <v>74</v>
      </c>
      <c r="M283" t="s">
        <v>78</v>
      </c>
      <c r="N283" t="s">
        <v>79</v>
      </c>
      <c r="O283" t="s">
        <v>74</v>
      </c>
      <c r="P283" t="s">
        <v>74</v>
      </c>
      <c r="Q283" t="s">
        <v>74</v>
      </c>
      <c r="R283" t="s">
        <v>74</v>
      </c>
      <c r="S283" t="s">
        <v>74</v>
      </c>
      <c r="T283" t="s">
        <v>5887</v>
      </c>
      <c r="U283" t="s">
        <v>5888</v>
      </c>
      <c r="V283" t="s">
        <v>5889</v>
      </c>
      <c r="W283" t="s">
        <v>5890</v>
      </c>
      <c r="X283" t="s">
        <v>5891</v>
      </c>
      <c r="Y283" t="s">
        <v>5892</v>
      </c>
      <c r="Z283" t="s">
        <v>5893</v>
      </c>
      <c r="AA283" t="s">
        <v>5894</v>
      </c>
      <c r="AB283" t="s">
        <v>5895</v>
      </c>
      <c r="AC283" t="s">
        <v>5896</v>
      </c>
      <c r="AD283" t="s">
        <v>5897</v>
      </c>
      <c r="AE283" t="s">
        <v>5898</v>
      </c>
      <c r="AF283" t="s">
        <v>74</v>
      </c>
      <c r="AG283">
        <v>232</v>
      </c>
      <c r="AH283">
        <v>22</v>
      </c>
      <c r="AI283">
        <v>22</v>
      </c>
      <c r="AJ283">
        <v>0</v>
      </c>
      <c r="AK283">
        <v>12</v>
      </c>
      <c r="AL283" t="s">
        <v>371</v>
      </c>
      <c r="AM283" t="s">
        <v>372</v>
      </c>
      <c r="AN283" t="s">
        <v>373</v>
      </c>
      <c r="AO283" t="s">
        <v>1920</v>
      </c>
      <c r="AP283" t="s">
        <v>1921</v>
      </c>
      <c r="AQ283" t="s">
        <v>74</v>
      </c>
      <c r="AR283" t="s">
        <v>1922</v>
      </c>
      <c r="AS283" t="s">
        <v>1923</v>
      </c>
      <c r="AT283" t="s">
        <v>5544</v>
      </c>
      <c r="AU283">
        <v>2017</v>
      </c>
      <c r="AV283">
        <v>156</v>
      </c>
      <c r="AW283" t="s">
        <v>74</v>
      </c>
      <c r="AX283" t="s">
        <v>74</v>
      </c>
      <c r="AY283" t="s">
        <v>74</v>
      </c>
      <c r="AZ283" t="s">
        <v>74</v>
      </c>
      <c r="BA283" t="s">
        <v>74</v>
      </c>
      <c r="BB283">
        <v>80</v>
      </c>
      <c r="BC283">
        <v>111</v>
      </c>
      <c r="BD283" t="s">
        <v>74</v>
      </c>
      <c r="BE283" t="s">
        <v>5899</v>
      </c>
      <c r="BF283" t="str">
        <f>HYPERLINK("http://dx.doi.org/10.1016/j.gloplacha.2017.07.002","http://dx.doi.org/10.1016/j.gloplacha.2017.07.002")</f>
        <v>http://dx.doi.org/10.1016/j.gloplacha.2017.07.002</v>
      </c>
      <c r="BG283" t="s">
        <v>74</v>
      </c>
      <c r="BH283" t="s">
        <v>74</v>
      </c>
      <c r="BI283">
        <v>32</v>
      </c>
      <c r="BJ283" t="s">
        <v>319</v>
      </c>
      <c r="BK283" t="s">
        <v>101</v>
      </c>
      <c r="BL283" t="s">
        <v>320</v>
      </c>
      <c r="BM283" t="s">
        <v>5900</v>
      </c>
      <c r="BN283" t="s">
        <v>74</v>
      </c>
      <c r="BO283" t="s">
        <v>1240</v>
      </c>
      <c r="BP283" t="s">
        <v>74</v>
      </c>
      <c r="BQ283" t="s">
        <v>74</v>
      </c>
      <c r="BR283" t="s">
        <v>105</v>
      </c>
      <c r="BS283" t="s">
        <v>5901</v>
      </c>
      <c r="BT283" t="str">
        <f>HYPERLINK("https%3A%2F%2Fwww.webofscience.com%2Fwos%2Fwoscc%2Ffull-record%2FWOS:000413280700009","View Full Record in Web of Science")</f>
        <v>View Full Record in Web of Science</v>
      </c>
    </row>
    <row r="284" spans="1:72" x14ac:dyDescent="0.15">
      <c r="A284" t="s">
        <v>72</v>
      </c>
      <c r="B284" t="s">
        <v>5902</v>
      </c>
      <c r="C284" t="s">
        <v>74</v>
      </c>
      <c r="D284" t="s">
        <v>74</v>
      </c>
      <c r="E284" t="s">
        <v>74</v>
      </c>
      <c r="F284" t="s">
        <v>5903</v>
      </c>
      <c r="G284" t="s">
        <v>74</v>
      </c>
      <c r="H284" t="s">
        <v>74</v>
      </c>
      <c r="I284" t="s">
        <v>5904</v>
      </c>
      <c r="J284" t="s">
        <v>5905</v>
      </c>
      <c r="K284" t="s">
        <v>74</v>
      </c>
      <c r="L284" t="s">
        <v>74</v>
      </c>
      <c r="M284" t="s">
        <v>78</v>
      </c>
      <c r="N284" t="s">
        <v>4722</v>
      </c>
      <c r="O284" t="s">
        <v>5906</v>
      </c>
      <c r="P284" t="s">
        <v>5907</v>
      </c>
      <c r="Q284" t="s">
        <v>5908</v>
      </c>
      <c r="R284" t="s">
        <v>74</v>
      </c>
      <c r="S284" t="s">
        <v>74</v>
      </c>
      <c r="T284" t="s">
        <v>5909</v>
      </c>
      <c r="U284" t="s">
        <v>5910</v>
      </c>
      <c r="V284" t="s">
        <v>5911</v>
      </c>
      <c r="W284" t="s">
        <v>5912</v>
      </c>
      <c r="X284" t="s">
        <v>5913</v>
      </c>
      <c r="Y284" t="s">
        <v>5914</v>
      </c>
      <c r="Z284" t="s">
        <v>5915</v>
      </c>
      <c r="AA284" t="s">
        <v>5916</v>
      </c>
      <c r="AB284" t="s">
        <v>5917</v>
      </c>
      <c r="AC284" t="s">
        <v>74</v>
      </c>
      <c r="AD284" t="s">
        <v>74</v>
      </c>
      <c r="AE284" t="s">
        <v>74</v>
      </c>
      <c r="AF284" t="s">
        <v>74</v>
      </c>
      <c r="AG284">
        <v>115</v>
      </c>
      <c r="AH284">
        <v>35</v>
      </c>
      <c r="AI284">
        <v>38</v>
      </c>
      <c r="AJ284">
        <v>1</v>
      </c>
      <c r="AK284">
        <v>38</v>
      </c>
      <c r="AL284" t="s">
        <v>5918</v>
      </c>
      <c r="AM284" t="s">
        <v>729</v>
      </c>
      <c r="AN284" t="s">
        <v>5919</v>
      </c>
      <c r="AO284" t="s">
        <v>5920</v>
      </c>
      <c r="AP284" t="s">
        <v>5921</v>
      </c>
      <c r="AQ284" t="s">
        <v>74</v>
      </c>
      <c r="AR284" t="s">
        <v>5922</v>
      </c>
      <c r="AS284" t="s">
        <v>5923</v>
      </c>
      <c r="AT284" t="s">
        <v>5817</v>
      </c>
      <c r="AU284">
        <v>2017</v>
      </c>
      <c r="AV284">
        <v>74</v>
      </c>
      <c r="AW284">
        <v>7</v>
      </c>
      <c r="AX284" t="s">
        <v>74</v>
      </c>
      <c r="AY284" t="s">
        <v>74</v>
      </c>
      <c r="AZ284" t="s">
        <v>74</v>
      </c>
      <c r="BA284" t="s">
        <v>74</v>
      </c>
      <c r="BB284">
        <v>1947</v>
      </c>
      <c r="BC284">
        <v>1956</v>
      </c>
      <c r="BD284" t="s">
        <v>74</v>
      </c>
      <c r="BE284" t="s">
        <v>5924</v>
      </c>
      <c r="BF284" t="str">
        <f>HYPERLINK("http://dx.doi.org/10.1093/icesjms/fsx130","http://dx.doi.org/10.1093/icesjms/fsx130")</f>
        <v>http://dx.doi.org/10.1093/icesjms/fsx130</v>
      </c>
      <c r="BG284" t="s">
        <v>74</v>
      </c>
      <c r="BH284" t="s">
        <v>74</v>
      </c>
      <c r="BI284">
        <v>10</v>
      </c>
      <c r="BJ284" t="s">
        <v>5925</v>
      </c>
      <c r="BK284" t="s">
        <v>5926</v>
      </c>
      <c r="BL284" t="s">
        <v>5925</v>
      </c>
      <c r="BM284" t="s">
        <v>5927</v>
      </c>
      <c r="BN284" t="s">
        <v>74</v>
      </c>
      <c r="BO284" t="s">
        <v>511</v>
      </c>
      <c r="BP284" t="s">
        <v>74</v>
      </c>
      <c r="BQ284" t="s">
        <v>74</v>
      </c>
      <c r="BR284" t="s">
        <v>105</v>
      </c>
      <c r="BS284" t="s">
        <v>5928</v>
      </c>
      <c r="BT284" t="str">
        <f>HYPERLINK("https%3A%2F%2Fwww.webofscience.com%2Fwos%2Fwoscc%2Ffull-record%2FWOS:000412309400011","View Full Record in Web of Science")</f>
        <v>View Full Record in Web of Science</v>
      </c>
    </row>
    <row r="285" spans="1:72" x14ac:dyDescent="0.15">
      <c r="A285" t="s">
        <v>72</v>
      </c>
      <c r="B285" t="s">
        <v>5929</v>
      </c>
      <c r="C285" t="s">
        <v>74</v>
      </c>
      <c r="D285" t="s">
        <v>74</v>
      </c>
      <c r="E285" t="s">
        <v>74</v>
      </c>
      <c r="F285" t="s">
        <v>5930</v>
      </c>
      <c r="G285" t="s">
        <v>74</v>
      </c>
      <c r="H285" t="s">
        <v>74</v>
      </c>
      <c r="I285" t="s">
        <v>5931</v>
      </c>
      <c r="J285" t="s">
        <v>5905</v>
      </c>
      <c r="K285" t="s">
        <v>74</v>
      </c>
      <c r="L285" t="s">
        <v>74</v>
      </c>
      <c r="M285" t="s">
        <v>78</v>
      </c>
      <c r="N285" t="s">
        <v>4722</v>
      </c>
      <c r="O285" t="s">
        <v>5906</v>
      </c>
      <c r="P285" t="s">
        <v>5907</v>
      </c>
      <c r="Q285" t="s">
        <v>5908</v>
      </c>
      <c r="R285" t="s">
        <v>74</v>
      </c>
      <c r="S285" t="s">
        <v>74</v>
      </c>
      <c r="T285" t="s">
        <v>5932</v>
      </c>
      <c r="U285" t="s">
        <v>5933</v>
      </c>
      <c r="V285" t="s">
        <v>5934</v>
      </c>
      <c r="W285" t="s">
        <v>5935</v>
      </c>
      <c r="X285" t="s">
        <v>5936</v>
      </c>
      <c r="Y285" t="s">
        <v>5937</v>
      </c>
      <c r="Z285" t="s">
        <v>5938</v>
      </c>
      <c r="AA285" t="s">
        <v>5939</v>
      </c>
      <c r="AB285" t="s">
        <v>5940</v>
      </c>
      <c r="AC285" t="s">
        <v>74</v>
      </c>
      <c r="AD285" t="s">
        <v>74</v>
      </c>
      <c r="AE285" t="s">
        <v>74</v>
      </c>
      <c r="AF285" t="s">
        <v>74</v>
      </c>
      <c r="AG285">
        <v>108</v>
      </c>
      <c r="AH285">
        <v>42</v>
      </c>
      <c r="AI285">
        <v>45</v>
      </c>
      <c r="AJ285">
        <v>2</v>
      </c>
      <c r="AK285">
        <v>56</v>
      </c>
      <c r="AL285" t="s">
        <v>5918</v>
      </c>
      <c r="AM285" t="s">
        <v>729</v>
      </c>
      <c r="AN285" t="s">
        <v>5919</v>
      </c>
      <c r="AO285" t="s">
        <v>5920</v>
      </c>
      <c r="AP285" t="s">
        <v>5921</v>
      </c>
      <c r="AQ285" t="s">
        <v>74</v>
      </c>
      <c r="AR285" t="s">
        <v>5922</v>
      </c>
      <c r="AS285" t="s">
        <v>5923</v>
      </c>
      <c r="AT285" t="s">
        <v>5817</v>
      </c>
      <c r="AU285">
        <v>2017</v>
      </c>
      <c r="AV285">
        <v>74</v>
      </c>
      <c r="AW285">
        <v>7</v>
      </c>
      <c r="AX285" t="s">
        <v>74</v>
      </c>
      <c r="AY285" t="s">
        <v>74</v>
      </c>
      <c r="AZ285" t="s">
        <v>74</v>
      </c>
      <c r="BA285" t="s">
        <v>74</v>
      </c>
      <c r="BB285">
        <v>1990</v>
      </c>
      <c r="BC285">
        <v>2003</v>
      </c>
      <c r="BD285" t="s">
        <v>74</v>
      </c>
      <c r="BE285" t="s">
        <v>5941</v>
      </c>
      <c r="BF285" t="str">
        <f>HYPERLINK("http://dx.doi.org/10.1093/icesjms/fsx113","http://dx.doi.org/10.1093/icesjms/fsx113")</f>
        <v>http://dx.doi.org/10.1093/icesjms/fsx113</v>
      </c>
      <c r="BG285" t="s">
        <v>74</v>
      </c>
      <c r="BH285" t="s">
        <v>74</v>
      </c>
      <c r="BI285">
        <v>14</v>
      </c>
      <c r="BJ285" t="s">
        <v>5925</v>
      </c>
      <c r="BK285" t="s">
        <v>5926</v>
      </c>
      <c r="BL285" t="s">
        <v>5925</v>
      </c>
      <c r="BM285" t="s">
        <v>5927</v>
      </c>
      <c r="BN285" t="s">
        <v>74</v>
      </c>
      <c r="BO285" t="s">
        <v>74</v>
      </c>
      <c r="BP285" t="s">
        <v>74</v>
      </c>
      <c r="BQ285" t="s">
        <v>74</v>
      </c>
      <c r="BR285" t="s">
        <v>105</v>
      </c>
      <c r="BS285" t="s">
        <v>5942</v>
      </c>
      <c r="BT285" t="str">
        <f>HYPERLINK("https%3A%2F%2Fwww.webofscience.com%2Fwos%2Fwoscc%2Ffull-record%2FWOS:000412309400015","View Full Record in Web of Science")</f>
        <v>View Full Record in Web of Science</v>
      </c>
    </row>
    <row r="286" spans="1:72" x14ac:dyDescent="0.15">
      <c r="A286" t="s">
        <v>72</v>
      </c>
      <c r="B286" t="s">
        <v>5943</v>
      </c>
      <c r="C286" t="s">
        <v>74</v>
      </c>
      <c r="D286" t="s">
        <v>74</v>
      </c>
      <c r="E286" t="s">
        <v>74</v>
      </c>
      <c r="F286" t="s">
        <v>5944</v>
      </c>
      <c r="G286" t="s">
        <v>74</v>
      </c>
      <c r="H286" t="s">
        <v>74</v>
      </c>
      <c r="I286" t="s">
        <v>5945</v>
      </c>
      <c r="J286" t="s">
        <v>5905</v>
      </c>
      <c r="K286" t="s">
        <v>74</v>
      </c>
      <c r="L286" t="s">
        <v>74</v>
      </c>
      <c r="M286" t="s">
        <v>78</v>
      </c>
      <c r="N286" t="s">
        <v>79</v>
      </c>
      <c r="O286" t="s">
        <v>74</v>
      </c>
      <c r="P286" t="s">
        <v>74</v>
      </c>
      <c r="Q286" t="s">
        <v>74</v>
      </c>
      <c r="R286" t="s">
        <v>74</v>
      </c>
      <c r="S286" t="s">
        <v>74</v>
      </c>
      <c r="T286" t="s">
        <v>5946</v>
      </c>
      <c r="U286" t="s">
        <v>5947</v>
      </c>
      <c r="V286" t="s">
        <v>5948</v>
      </c>
      <c r="W286" t="s">
        <v>5949</v>
      </c>
      <c r="X286" t="s">
        <v>5950</v>
      </c>
      <c r="Y286" t="s">
        <v>5951</v>
      </c>
      <c r="Z286" t="s">
        <v>5952</v>
      </c>
      <c r="AA286" t="s">
        <v>74</v>
      </c>
      <c r="AB286" t="s">
        <v>74</v>
      </c>
      <c r="AC286" t="s">
        <v>5953</v>
      </c>
      <c r="AD286" t="s">
        <v>5954</v>
      </c>
      <c r="AE286" t="s">
        <v>5955</v>
      </c>
      <c r="AF286" t="s">
        <v>74</v>
      </c>
      <c r="AG286">
        <v>68</v>
      </c>
      <c r="AH286">
        <v>29</v>
      </c>
      <c r="AI286">
        <v>31</v>
      </c>
      <c r="AJ286">
        <v>1</v>
      </c>
      <c r="AK286">
        <v>13</v>
      </c>
      <c r="AL286" t="s">
        <v>5918</v>
      </c>
      <c r="AM286" t="s">
        <v>729</v>
      </c>
      <c r="AN286" t="s">
        <v>5919</v>
      </c>
      <c r="AO286" t="s">
        <v>5920</v>
      </c>
      <c r="AP286" t="s">
        <v>5921</v>
      </c>
      <c r="AQ286" t="s">
        <v>74</v>
      </c>
      <c r="AR286" t="s">
        <v>5922</v>
      </c>
      <c r="AS286" t="s">
        <v>5923</v>
      </c>
      <c r="AT286" t="s">
        <v>5817</v>
      </c>
      <c r="AU286">
        <v>2017</v>
      </c>
      <c r="AV286">
        <v>74</v>
      </c>
      <c r="AW286">
        <v>8</v>
      </c>
      <c r="AX286" t="s">
        <v>74</v>
      </c>
      <c r="AY286" t="s">
        <v>74</v>
      </c>
      <c r="AZ286" t="s">
        <v>74</v>
      </c>
      <c r="BA286" t="s">
        <v>74</v>
      </c>
      <c r="BB286">
        <v>2249</v>
      </c>
      <c r="BC286">
        <v>2261</v>
      </c>
      <c r="BD286" t="s">
        <v>74</v>
      </c>
      <c r="BE286" t="s">
        <v>5956</v>
      </c>
      <c r="BF286" t="str">
        <f>HYPERLINK("http://dx.doi.org/10.1093/icesjms/fsx050","http://dx.doi.org/10.1093/icesjms/fsx050")</f>
        <v>http://dx.doi.org/10.1093/icesjms/fsx050</v>
      </c>
      <c r="BG286" t="s">
        <v>74</v>
      </c>
      <c r="BH286" t="s">
        <v>74</v>
      </c>
      <c r="BI286">
        <v>13</v>
      </c>
      <c r="BJ286" t="s">
        <v>5925</v>
      </c>
      <c r="BK286" t="s">
        <v>101</v>
      </c>
      <c r="BL286" t="s">
        <v>5925</v>
      </c>
      <c r="BM286" t="s">
        <v>5957</v>
      </c>
      <c r="BN286" t="s">
        <v>74</v>
      </c>
      <c r="BO286" t="s">
        <v>164</v>
      </c>
      <c r="BP286" t="s">
        <v>74</v>
      </c>
      <c r="BQ286" t="s">
        <v>74</v>
      </c>
      <c r="BR286" t="s">
        <v>105</v>
      </c>
      <c r="BS286" t="s">
        <v>5958</v>
      </c>
      <c r="BT286" t="str">
        <f>HYPERLINK("https%3A%2F%2Fwww.webofscience.com%2Fwos%2Fwoscc%2Ffull-record%2FWOS:000412707000018","View Full Record in Web of Science")</f>
        <v>View Full Record in Web of Science</v>
      </c>
    </row>
    <row r="287" spans="1:72" x14ac:dyDescent="0.15">
      <c r="A287" t="s">
        <v>72</v>
      </c>
      <c r="B287" t="s">
        <v>5959</v>
      </c>
      <c r="C287" t="s">
        <v>74</v>
      </c>
      <c r="D287" t="s">
        <v>74</v>
      </c>
      <c r="E287" t="s">
        <v>74</v>
      </c>
      <c r="F287" t="s">
        <v>5960</v>
      </c>
      <c r="G287" t="s">
        <v>74</v>
      </c>
      <c r="H287" t="s">
        <v>74</v>
      </c>
      <c r="I287" t="s">
        <v>5961</v>
      </c>
      <c r="J287" t="s">
        <v>5962</v>
      </c>
      <c r="K287" t="s">
        <v>74</v>
      </c>
      <c r="L287" t="s">
        <v>74</v>
      </c>
      <c r="M287" t="s">
        <v>78</v>
      </c>
      <c r="N287" t="s">
        <v>79</v>
      </c>
      <c r="O287" t="s">
        <v>74</v>
      </c>
      <c r="P287" t="s">
        <v>74</v>
      </c>
      <c r="Q287" t="s">
        <v>74</v>
      </c>
      <c r="R287" t="s">
        <v>74</v>
      </c>
      <c r="S287" t="s">
        <v>74</v>
      </c>
      <c r="T287" t="s">
        <v>74</v>
      </c>
      <c r="U287" t="s">
        <v>5963</v>
      </c>
      <c r="V287" t="s">
        <v>5964</v>
      </c>
      <c r="W287" t="s">
        <v>5965</v>
      </c>
      <c r="X287" t="s">
        <v>5966</v>
      </c>
      <c r="Y287" t="s">
        <v>5967</v>
      </c>
      <c r="Z287" t="s">
        <v>5968</v>
      </c>
      <c r="AA287" t="s">
        <v>5969</v>
      </c>
      <c r="AB287" t="s">
        <v>74</v>
      </c>
      <c r="AC287" t="s">
        <v>74</v>
      </c>
      <c r="AD287" t="s">
        <v>74</v>
      </c>
      <c r="AE287" t="s">
        <v>74</v>
      </c>
      <c r="AF287" t="s">
        <v>74</v>
      </c>
      <c r="AG287">
        <v>244</v>
      </c>
      <c r="AH287">
        <v>13</v>
      </c>
      <c r="AI287">
        <v>13</v>
      </c>
      <c r="AJ287">
        <v>2</v>
      </c>
      <c r="AK287">
        <v>6</v>
      </c>
      <c r="AL287" t="s">
        <v>5970</v>
      </c>
      <c r="AM287" t="s">
        <v>209</v>
      </c>
      <c r="AN287" t="s">
        <v>5971</v>
      </c>
      <c r="AO287" t="s">
        <v>5972</v>
      </c>
      <c r="AP287" t="s">
        <v>5973</v>
      </c>
      <c r="AQ287" t="s">
        <v>74</v>
      </c>
      <c r="AR287" t="s">
        <v>5974</v>
      </c>
      <c r="AS287" t="s">
        <v>5975</v>
      </c>
      <c r="AT287" t="s">
        <v>5544</v>
      </c>
      <c r="AU287">
        <v>2017</v>
      </c>
      <c r="AV287">
        <v>53</v>
      </c>
      <c r="AW287">
        <v>5</v>
      </c>
      <c r="AX287" t="s">
        <v>74</v>
      </c>
      <c r="AY287" t="s">
        <v>74</v>
      </c>
      <c r="AZ287" t="s">
        <v>74</v>
      </c>
      <c r="BA287" t="s">
        <v>74</v>
      </c>
      <c r="BB287">
        <v>550</v>
      </c>
      <c r="BC287">
        <v>563</v>
      </c>
      <c r="BD287" t="s">
        <v>74</v>
      </c>
      <c r="BE287" t="s">
        <v>5976</v>
      </c>
      <c r="BF287" t="str">
        <f>HYPERLINK("http://dx.doi.org/10.1134/S0001433817050097","http://dx.doi.org/10.1134/S0001433817050097")</f>
        <v>http://dx.doi.org/10.1134/S0001433817050097</v>
      </c>
      <c r="BG287" t="s">
        <v>74</v>
      </c>
      <c r="BH287" t="s">
        <v>74</v>
      </c>
      <c r="BI287">
        <v>14</v>
      </c>
      <c r="BJ287" t="s">
        <v>2463</v>
      </c>
      <c r="BK287" t="s">
        <v>101</v>
      </c>
      <c r="BL287" t="s">
        <v>2463</v>
      </c>
      <c r="BM287" t="s">
        <v>5977</v>
      </c>
      <c r="BN287" t="s">
        <v>74</v>
      </c>
      <c r="BO287" t="s">
        <v>74</v>
      </c>
      <c r="BP287" t="s">
        <v>74</v>
      </c>
      <c r="BQ287" t="s">
        <v>74</v>
      </c>
      <c r="BR287" t="s">
        <v>105</v>
      </c>
      <c r="BS287" t="s">
        <v>5978</v>
      </c>
      <c r="BT287" t="str">
        <f>HYPERLINK("https%3A%2F%2Fwww.webofscience.com%2Fwos%2Fwoscc%2Ffull-record%2FWOS:000412909400009","View Full Record in Web of Science")</f>
        <v>View Full Record in Web of Science</v>
      </c>
    </row>
    <row r="288" spans="1:72" x14ac:dyDescent="0.15">
      <c r="A288" t="s">
        <v>72</v>
      </c>
      <c r="B288" t="s">
        <v>5979</v>
      </c>
      <c r="C288" t="s">
        <v>74</v>
      </c>
      <c r="D288" t="s">
        <v>74</v>
      </c>
      <c r="E288" t="s">
        <v>74</v>
      </c>
      <c r="F288" t="s">
        <v>5980</v>
      </c>
      <c r="G288" t="s">
        <v>74</v>
      </c>
      <c r="H288" t="s">
        <v>74</v>
      </c>
      <c r="I288" t="s">
        <v>5981</v>
      </c>
      <c r="J288" t="s">
        <v>5962</v>
      </c>
      <c r="K288" t="s">
        <v>74</v>
      </c>
      <c r="L288" t="s">
        <v>74</v>
      </c>
      <c r="M288" t="s">
        <v>78</v>
      </c>
      <c r="N288" t="s">
        <v>79</v>
      </c>
      <c r="O288" t="s">
        <v>74</v>
      </c>
      <c r="P288" t="s">
        <v>74</v>
      </c>
      <c r="Q288" t="s">
        <v>74</v>
      </c>
      <c r="R288" t="s">
        <v>74</v>
      </c>
      <c r="S288" t="s">
        <v>74</v>
      </c>
      <c r="T288" t="s">
        <v>5982</v>
      </c>
      <c r="U288" t="s">
        <v>5983</v>
      </c>
      <c r="V288" t="s">
        <v>5984</v>
      </c>
      <c r="W288" t="s">
        <v>5985</v>
      </c>
      <c r="X288" t="s">
        <v>5986</v>
      </c>
      <c r="Y288" t="s">
        <v>5987</v>
      </c>
      <c r="Z288" t="s">
        <v>5988</v>
      </c>
      <c r="AA288" t="s">
        <v>74</v>
      </c>
      <c r="AB288" t="s">
        <v>74</v>
      </c>
      <c r="AC288" t="s">
        <v>74</v>
      </c>
      <c r="AD288" t="s">
        <v>74</v>
      </c>
      <c r="AE288" t="s">
        <v>74</v>
      </c>
      <c r="AF288" t="s">
        <v>74</v>
      </c>
      <c r="AG288">
        <v>149</v>
      </c>
      <c r="AH288">
        <v>2</v>
      </c>
      <c r="AI288">
        <v>3</v>
      </c>
      <c r="AJ288">
        <v>0</v>
      </c>
      <c r="AK288">
        <v>3</v>
      </c>
      <c r="AL288" t="s">
        <v>5970</v>
      </c>
      <c r="AM288" t="s">
        <v>209</v>
      </c>
      <c r="AN288" t="s">
        <v>5971</v>
      </c>
      <c r="AO288" t="s">
        <v>5972</v>
      </c>
      <c r="AP288" t="s">
        <v>5973</v>
      </c>
      <c r="AQ288" t="s">
        <v>74</v>
      </c>
      <c r="AR288" t="s">
        <v>5974</v>
      </c>
      <c r="AS288" t="s">
        <v>5975</v>
      </c>
      <c r="AT288" t="s">
        <v>5544</v>
      </c>
      <c r="AU288">
        <v>2017</v>
      </c>
      <c r="AV288">
        <v>53</v>
      </c>
      <c r="AW288">
        <v>5</v>
      </c>
      <c r="AX288" t="s">
        <v>74</v>
      </c>
      <c r="AY288" t="s">
        <v>74</v>
      </c>
      <c r="AZ288" t="s">
        <v>74</v>
      </c>
      <c r="BA288" t="s">
        <v>74</v>
      </c>
      <c r="BB288">
        <v>564</v>
      </c>
      <c r="BC288">
        <v>578</v>
      </c>
      <c r="BD288" t="s">
        <v>74</v>
      </c>
      <c r="BE288" t="s">
        <v>5989</v>
      </c>
      <c r="BF288" t="str">
        <f>HYPERLINK("http://dx.doi.org/10.1134/S0001433817050073","http://dx.doi.org/10.1134/S0001433817050073")</f>
        <v>http://dx.doi.org/10.1134/S0001433817050073</v>
      </c>
      <c r="BG288" t="s">
        <v>74</v>
      </c>
      <c r="BH288" t="s">
        <v>74</v>
      </c>
      <c r="BI288">
        <v>15</v>
      </c>
      <c r="BJ288" t="s">
        <v>2463</v>
      </c>
      <c r="BK288" t="s">
        <v>101</v>
      </c>
      <c r="BL288" t="s">
        <v>2463</v>
      </c>
      <c r="BM288" t="s">
        <v>5977</v>
      </c>
      <c r="BN288" t="s">
        <v>74</v>
      </c>
      <c r="BO288" t="s">
        <v>74</v>
      </c>
      <c r="BP288" t="s">
        <v>74</v>
      </c>
      <c r="BQ288" t="s">
        <v>74</v>
      </c>
      <c r="BR288" t="s">
        <v>105</v>
      </c>
      <c r="BS288" t="s">
        <v>5990</v>
      </c>
      <c r="BT288" t="str">
        <f>HYPERLINK("https%3A%2F%2Fwww.webofscience.com%2Fwos%2Fwoscc%2Ffull-record%2FWOS:000412909400010","View Full Record in Web of Science")</f>
        <v>View Full Record in Web of Science</v>
      </c>
    </row>
    <row r="289" spans="1:72" x14ac:dyDescent="0.15">
      <c r="A289" t="s">
        <v>72</v>
      </c>
      <c r="B289" t="s">
        <v>5991</v>
      </c>
      <c r="C289" t="s">
        <v>74</v>
      </c>
      <c r="D289" t="s">
        <v>74</v>
      </c>
      <c r="E289" t="s">
        <v>74</v>
      </c>
      <c r="F289" t="s">
        <v>5992</v>
      </c>
      <c r="G289" t="s">
        <v>74</v>
      </c>
      <c r="H289" t="s">
        <v>74</v>
      </c>
      <c r="I289" t="s">
        <v>5993</v>
      </c>
      <c r="J289" t="s">
        <v>5994</v>
      </c>
      <c r="K289" t="s">
        <v>74</v>
      </c>
      <c r="L289" t="s">
        <v>74</v>
      </c>
      <c r="M289" t="s">
        <v>78</v>
      </c>
      <c r="N289" t="s">
        <v>79</v>
      </c>
      <c r="O289" t="s">
        <v>74</v>
      </c>
      <c r="P289" t="s">
        <v>74</v>
      </c>
      <c r="Q289" t="s">
        <v>74</v>
      </c>
      <c r="R289" t="s">
        <v>74</v>
      </c>
      <c r="S289" t="s">
        <v>74</v>
      </c>
      <c r="T289" t="s">
        <v>5995</v>
      </c>
      <c r="U289" t="s">
        <v>5996</v>
      </c>
      <c r="V289" t="s">
        <v>5997</v>
      </c>
      <c r="W289" t="s">
        <v>5998</v>
      </c>
      <c r="X289" t="s">
        <v>5999</v>
      </c>
      <c r="Y289" t="s">
        <v>6000</v>
      </c>
      <c r="Z289" t="s">
        <v>6001</v>
      </c>
      <c r="AA289" t="s">
        <v>74</v>
      </c>
      <c r="AB289" t="s">
        <v>74</v>
      </c>
      <c r="AC289" t="s">
        <v>6002</v>
      </c>
      <c r="AD289" t="s">
        <v>6003</v>
      </c>
      <c r="AE289" t="s">
        <v>6004</v>
      </c>
      <c r="AF289" t="s">
        <v>74</v>
      </c>
      <c r="AG289">
        <v>21</v>
      </c>
      <c r="AH289">
        <v>1</v>
      </c>
      <c r="AI289">
        <v>1</v>
      </c>
      <c r="AJ289">
        <v>2</v>
      </c>
      <c r="AK289">
        <v>8</v>
      </c>
      <c r="AL289" t="s">
        <v>6005</v>
      </c>
      <c r="AM289" t="s">
        <v>6006</v>
      </c>
      <c r="AN289" t="s">
        <v>6007</v>
      </c>
      <c r="AO289" t="s">
        <v>6008</v>
      </c>
      <c r="AP289" t="s">
        <v>6009</v>
      </c>
      <c r="AQ289" t="s">
        <v>74</v>
      </c>
      <c r="AR289" t="s">
        <v>6010</v>
      </c>
      <c r="AS289" t="s">
        <v>6011</v>
      </c>
      <c r="AT289" t="s">
        <v>5544</v>
      </c>
      <c r="AU289">
        <v>2017</v>
      </c>
      <c r="AV289">
        <v>34</v>
      </c>
      <c r="AW289">
        <v>3</v>
      </c>
      <c r="AX289" t="s">
        <v>74</v>
      </c>
      <c r="AY289" t="s">
        <v>74</v>
      </c>
      <c r="AZ289" t="s">
        <v>74</v>
      </c>
      <c r="BA289" t="s">
        <v>74</v>
      </c>
      <c r="BB289">
        <v>207</v>
      </c>
      <c r="BC289">
        <v>212</v>
      </c>
      <c r="BD289" t="s">
        <v>74</v>
      </c>
      <c r="BE289" t="s">
        <v>6012</v>
      </c>
      <c r="BF289" t="str">
        <f>HYPERLINK("http://dx.doi.org/10.5140/JASS.2017.34.3.207","http://dx.doi.org/10.5140/JASS.2017.34.3.207")</f>
        <v>http://dx.doi.org/10.5140/JASS.2017.34.3.207</v>
      </c>
      <c r="BG289" t="s">
        <v>74</v>
      </c>
      <c r="BH289" t="s">
        <v>74</v>
      </c>
      <c r="BI289">
        <v>6</v>
      </c>
      <c r="BJ289" t="s">
        <v>349</v>
      </c>
      <c r="BK289" t="s">
        <v>3172</v>
      </c>
      <c r="BL289" t="s">
        <v>349</v>
      </c>
      <c r="BM289" t="s">
        <v>6013</v>
      </c>
      <c r="BN289" t="s">
        <v>74</v>
      </c>
      <c r="BO289" t="s">
        <v>1278</v>
      </c>
      <c r="BP289" t="s">
        <v>74</v>
      </c>
      <c r="BQ289" t="s">
        <v>74</v>
      </c>
      <c r="BR289" t="s">
        <v>105</v>
      </c>
      <c r="BS289" t="s">
        <v>6014</v>
      </c>
      <c r="BT289" t="str">
        <f>HYPERLINK("https%3A%2F%2Fwww.webofscience.com%2Fwos%2Fwoscc%2Ffull-record%2FWOS:000413581500003","View Full Record in Web of Science")</f>
        <v>View Full Record in Web of Science</v>
      </c>
    </row>
    <row r="290" spans="1:72" x14ac:dyDescent="0.15">
      <c r="A290" t="s">
        <v>72</v>
      </c>
      <c r="B290" t="s">
        <v>6015</v>
      </c>
      <c r="C290" t="s">
        <v>74</v>
      </c>
      <c r="D290" t="s">
        <v>74</v>
      </c>
      <c r="E290" t="s">
        <v>74</v>
      </c>
      <c r="F290" t="s">
        <v>6016</v>
      </c>
      <c r="G290" t="s">
        <v>74</v>
      </c>
      <c r="H290" t="s">
        <v>74</v>
      </c>
      <c r="I290" t="s">
        <v>6017</v>
      </c>
      <c r="J290" t="s">
        <v>6018</v>
      </c>
      <c r="K290" t="s">
        <v>74</v>
      </c>
      <c r="L290" t="s">
        <v>74</v>
      </c>
      <c r="M290" t="s">
        <v>78</v>
      </c>
      <c r="N290" t="s">
        <v>4722</v>
      </c>
      <c r="O290" t="s">
        <v>6019</v>
      </c>
      <c r="P290" t="s">
        <v>6020</v>
      </c>
      <c r="Q290" t="s">
        <v>6021</v>
      </c>
      <c r="R290" t="s">
        <v>74</v>
      </c>
      <c r="S290" t="s">
        <v>6022</v>
      </c>
      <c r="T290" t="s">
        <v>6023</v>
      </c>
      <c r="U290" t="s">
        <v>6024</v>
      </c>
      <c r="V290" t="s">
        <v>6025</v>
      </c>
      <c r="W290" t="s">
        <v>6026</v>
      </c>
      <c r="X290" t="s">
        <v>6027</v>
      </c>
      <c r="Y290" t="s">
        <v>6028</v>
      </c>
      <c r="Z290" t="s">
        <v>6029</v>
      </c>
      <c r="AA290" t="s">
        <v>6030</v>
      </c>
      <c r="AB290" t="s">
        <v>6031</v>
      </c>
      <c r="AC290" t="s">
        <v>6032</v>
      </c>
      <c r="AD290" t="s">
        <v>6033</v>
      </c>
      <c r="AE290" t="s">
        <v>6034</v>
      </c>
      <c r="AF290" t="s">
        <v>74</v>
      </c>
      <c r="AG290">
        <v>73</v>
      </c>
      <c r="AH290">
        <v>34</v>
      </c>
      <c r="AI290">
        <v>38</v>
      </c>
      <c r="AJ290">
        <v>0</v>
      </c>
      <c r="AK290">
        <v>18</v>
      </c>
      <c r="AL290" t="s">
        <v>1981</v>
      </c>
      <c r="AM290" t="s">
        <v>729</v>
      </c>
      <c r="AN290" t="s">
        <v>1982</v>
      </c>
      <c r="AO290" t="s">
        <v>6035</v>
      </c>
      <c r="AP290" t="s">
        <v>6036</v>
      </c>
      <c r="AQ290" t="s">
        <v>74</v>
      </c>
      <c r="AR290" t="s">
        <v>6037</v>
      </c>
      <c r="AS290" t="s">
        <v>6038</v>
      </c>
      <c r="AT290" t="s">
        <v>5544</v>
      </c>
      <c r="AU290">
        <v>2017</v>
      </c>
      <c r="AV290">
        <v>162</v>
      </c>
      <c r="AW290" t="s">
        <v>74</v>
      </c>
      <c r="AX290" t="s">
        <v>74</v>
      </c>
      <c r="AY290" t="s">
        <v>74</v>
      </c>
      <c r="AZ290" t="s">
        <v>1188</v>
      </c>
      <c r="BA290" t="s">
        <v>74</v>
      </c>
      <c r="BB290">
        <v>28</v>
      </c>
      <c r="BC290">
        <v>47</v>
      </c>
      <c r="BD290" t="s">
        <v>74</v>
      </c>
      <c r="BE290" t="s">
        <v>6039</v>
      </c>
      <c r="BF290" t="str">
        <f>HYPERLINK("http://dx.doi.org/10.1016/j.jastp.2016.10.016","http://dx.doi.org/10.1016/j.jastp.2016.10.016")</f>
        <v>http://dx.doi.org/10.1016/j.jastp.2016.10.016</v>
      </c>
      <c r="BG290" t="s">
        <v>74</v>
      </c>
      <c r="BH290" t="s">
        <v>74</v>
      </c>
      <c r="BI290">
        <v>20</v>
      </c>
      <c r="BJ290" t="s">
        <v>6040</v>
      </c>
      <c r="BK290" t="s">
        <v>1347</v>
      </c>
      <c r="BL290" t="s">
        <v>6040</v>
      </c>
      <c r="BM290" t="s">
        <v>6041</v>
      </c>
      <c r="BN290" t="s">
        <v>74</v>
      </c>
      <c r="BO290" t="s">
        <v>74</v>
      </c>
      <c r="BP290" t="s">
        <v>74</v>
      </c>
      <c r="BQ290" t="s">
        <v>74</v>
      </c>
      <c r="BR290" t="s">
        <v>105</v>
      </c>
      <c r="BS290" t="s">
        <v>6042</v>
      </c>
      <c r="BT290" t="str">
        <f>HYPERLINK("https%3A%2F%2Fwww.webofscience.com%2Fwos%2Fwoscc%2Ffull-record%2FWOS:000412036500004","View Full Record in Web of Science")</f>
        <v>View Full Record in Web of Science</v>
      </c>
    </row>
    <row r="291" spans="1:72" x14ac:dyDescent="0.15">
      <c r="A291" t="s">
        <v>72</v>
      </c>
      <c r="B291" t="s">
        <v>6043</v>
      </c>
      <c r="C291" t="s">
        <v>74</v>
      </c>
      <c r="D291" t="s">
        <v>74</v>
      </c>
      <c r="E291" t="s">
        <v>74</v>
      </c>
      <c r="F291" t="s">
        <v>6044</v>
      </c>
      <c r="G291" t="s">
        <v>74</v>
      </c>
      <c r="H291" t="s">
        <v>74</v>
      </c>
      <c r="I291" t="s">
        <v>6045</v>
      </c>
      <c r="J291" t="s">
        <v>6018</v>
      </c>
      <c r="K291" t="s">
        <v>74</v>
      </c>
      <c r="L291" t="s">
        <v>74</v>
      </c>
      <c r="M291" t="s">
        <v>78</v>
      </c>
      <c r="N291" t="s">
        <v>4722</v>
      </c>
      <c r="O291" t="s">
        <v>6019</v>
      </c>
      <c r="P291" t="s">
        <v>6020</v>
      </c>
      <c r="Q291" t="s">
        <v>6021</v>
      </c>
      <c r="R291" t="s">
        <v>74</v>
      </c>
      <c r="S291" t="s">
        <v>6022</v>
      </c>
      <c r="T291" t="s">
        <v>6046</v>
      </c>
      <c r="U291" t="s">
        <v>6047</v>
      </c>
      <c r="V291" t="s">
        <v>6048</v>
      </c>
      <c r="W291" t="s">
        <v>6049</v>
      </c>
      <c r="X291" t="s">
        <v>6050</v>
      </c>
      <c r="Y291" t="s">
        <v>6051</v>
      </c>
      <c r="Z291" t="s">
        <v>6052</v>
      </c>
      <c r="AA291" t="s">
        <v>74</v>
      </c>
      <c r="AB291" t="s">
        <v>74</v>
      </c>
      <c r="AC291" t="s">
        <v>6053</v>
      </c>
      <c r="AD291" t="s">
        <v>6054</v>
      </c>
      <c r="AE291" t="s">
        <v>6055</v>
      </c>
      <c r="AF291" t="s">
        <v>74</v>
      </c>
      <c r="AG291">
        <v>31</v>
      </c>
      <c r="AH291">
        <v>11</v>
      </c>
      <c r="AI291">
        <v>13</v>
      </c>
      <c r="AJ291">
        <v>0</v>
      </c>
      <c r="AK291">
        <v>10</v>
      </c>
      <c r="AL291" t="s">
        <v>1981</v>
      </c>
      <c r="AM291" t="s">
        <v>729</v>
      </c>
      <c r="AN291" t="s">
        <v>1982</v>
      </c>
      <c r="AO291" t="s">
        <v>6035</v>
      </c>
      <c r="AP291" t="s">
        <v>6036</v>
      </c>
      <c r="AQ291" t="s">
        <v>74</v>
      </c>
      <c r="AR291" t="s">
        <v>6037</v>
      </c>
      <c r="AS291" t="s">
        <v>6038</v>
      </c>
      <c r="AT291" t="s">
        <v>5544</v>
      </c>
      <c r="AU291">
        <v>2017</v>
      </c>
      <c r="AV291">
        <v>162</v>
      </c>
      <c r="AW291" t="s">
        <v>74</v>
      </c>
      <c r="AX291" t="s">
        <v>74</v>
      </c>
      <c r="AY291" t="s">
        <v>74</v>
      </c>
      <c r="AZ291" t="s">
        <v>1188</v>
      </c>
      <c r="BA291" t="s">
        <v>74</v>
      </c>
      <c r="BB291">
        <v>106</v>
      </c>
      <c r="BC291">
        <v>115</v>
      </c>
      <c r="BD291" t="s">
        <v>74</v>
      </c>
      <c r="BE291" t="s">
        <v>6056</v>
      </c>
      <c r="BF291" t="str">
        <f>HYPERLINK("http://dx.doi.org/10.1016/j.jastp.2016.06.008","http://dx.doi.org/10.1016/j.jastp.2016.06.008")</f>
        <v>http://dx.doi.org/10.1016/j.jastp.2016.06.008</v>
      </c>
      <c r="BG291" t="s">
        <v>74</v>
      </c>
      <c r="BH291" t="s">
        <v>74</v>
      </c>
      <c r="BI291">
        <v>10</v>
      </c>
      <c r="BJ291" t="s">
        <v>6040</v>
      </c>
      <c r="BK291" t="s">
        <v>1347</v>
      </c>
      <c r="BL291" t="s">
        <v>6040</v>
      </c>
      <c r="BM291" t="s">
        <v>6041</v>
      </c>
      <c r="BN291" t="s">
        <v>74</v>
      </c>
      <c r="BO291" t="s">
        <v>74</v>
      </c>
      <c r="BP291" t="s">
        <v>74</v>
      </c>
      <c r="BQ291" t="s">
        <v>74</v>
      </c>
      <c r="BR291" t="s">
        <v>105</v>
      </c>
      <c r="BS291" t="s">
        <v>6057</v>
      </c>
      <c r="BT291" t="str">
        <f>HYPERLINK("https%3A%2F%2Fwww.webofscience.com%2Fwos%2Fwoscc%2Ffull-record%2FWOS:000412036500010","View Full Record in Web of Science")</f>
        <v>View Full Record in Web of Science</v>
      </c>
    </row>
    <row r="292" spans="1:72" x14ac:dyDescent="0.15">
      <c r="A292" t="s">
        <v>72</v>
      </c>
      <c r="B292" t="s">
        <v>6058</v>
      </c>
      <c r="C292" t="s">
        <v>74</v>
      </c>
      <c r="D292" t="s">
        <v>74</v>
      </c>
      <c r="E292" t="s">
        <v>74</v>
      </c>
      <c r="F292" t="s">
        <v>6059</v>
      </c>
      <c r="G292" t="s">
        <v>74</v>
      </c>
      <c r="H292" t="s">
        <v>74</v>
      </c>
      <c r="I292" t="s">
        <v>6060</v>
      </c>
      <c r="J292" t="s">
        <v>1498</v>
      </c>
      <c r="K292" t="s">
        <v>74</v>
      </c>
      <c r="L292" t="s">
        <v>74</v>
      </c>
      <c r="M292" t="s">
        <v>78</v>
      </c>
      <c r="N292" t="s">
        <v>79</v>
      </c>
      <c r="O292" t="s">
        <v>74</v>
      </c>
      <c r="P292" t="s">
        <v>74</v>
      </c>
      <c r="Q292" t="s">
        <v>74</v>
      </c>
      <c r="R292" t="s">
        <v>74</v>
      </c>
      <c r="S292" t="s">
        <v>74</v>
      </c>
      <c r="T292" t="s">
        <v>6061</v>
      </c>
      <c r="U292" t="s">
        <v>6062</v>
      </c>
      <c r="V292" t="s">
        <v>6063</v>
      </c>
      <c r="W292" t="s">
        <v>6064</v>
      </c>
      <c r="X292" t="s">
        <v>6065</v>
      </c>
      <c r="Y292" t="s">
        <v>6066</v>
      </c>
      <c r="Z292" t="s">
        <v>6067</v>
      </c>
      <c r="AA292" t="s">
        <v>6068</v>
      </c>
      <c r="AB292" t="s">
        <v>6069</v>
      </c>
      <c r="AC292" t="s">
        <v>6070</v>
      </c>
      <c r="AD292" t="s">
        <v>6071</v>
      </c>
      <c r="AE292" t="s">
        <v>6072</v>
      </c>
      <c r="AF292" t="s">
        <v>74</v>
      </c>
      <c r="AG292">
        <v>89</v>
      </c>
      <c r="AH292">
        <v>13</v>
      </c>
      <c r="AI292">
        <v>14</v>
      </c>
      <c r="AJ292">
        <v>1</v>
      </c>
      <c r="AK292">
        <v>19</v>
      </c>
      <c r="AL292" t="s">
        <v>91</v>
      </c>
      <c r="AM292" t="s">
        <v>92</v>
      </c>
      <c r="AN292" t="s">
        <v>93</v>
      </c>
      <c r="AO292" t="s">
        <v>1511</v>
      </c>
      <c r="AP292" t="s">
        <v>1512</v>
      </c>
      <c r="AQ292" t="s">
        <v>74</v>
      </c>
      <c r="AR292" t="s">
        <v>1513</v>
      </c>
      <c r="AS292" t="s">
        <v>1514</v>
      </c>
      <c r="AT292" t="s">
        <v>5544</v>
      </c>
      <c r="AU292">
        <v>2017</v>
      </c>
      <c r="AV292">
        <v>122</v>
      </c>
      <c r="AW292">
        <v>9</v>
      </c>
      <c r="AX292" t="s">
        <v>74</v>
      </c>
      <c r="AY292" t="s">
        <v>74</v>
      </c>
      <c r="AZ292" t="s">
        <v>74</v>
      </c>
      <c r="BA292" t="s">
        <v>74</v>
      </c>
      <c r="BB292">
        <v>1698</v>
      </c>
      <c r="BC292">
        <v>1714</v>
      </c>
      <c r="BD292" t="s">
        <v>74</v>
      </c>
      <c r="BE292" t="s">
        <v>6073</v>
      </c>
      <c r="BF292" t="str">
        <f>HYPERLINK("http://dx.doi.org/10.1002/2017JF004311","http://dx.doi.org/10.1002/2017JF004311")</f>
        <v>http://dx.doi.org/10.1002/2017JF004311</v>
      </c>
      <c r="BG292" t="s">
        <v>74</v>
      </c>
      <c r="BH292" t="s">
        <v>74</v>
      </c>
      <c r="BI292">
        <v>17</v>
      </c>
      <c r="BJ292" t="s">
        <v>100</v>
      </c>
      <c r="BK292" t="s">
        <v>101</v>
      </c>
      <c r="BL292" t="s">
        <v>102</v>
      </c>
      <c r="BM292" t="s">
        <v>6074</v>
      </c>
      <c r="BN292" t="s">
        <v>74</v>
      </c>
      <c r="BO292" t="s">
        <v>1639</v>
      </c>
      <c r="BP292" t="s">
        <v>74</v>
      </c>
      <c r="BQ292" t="s">
        <v>74</v>
      </c>
      <c r="BR292" t="s">
        <v>105</v>
      </c>
      <c r="BS292" t="s">
        <v>6075</v>
      </c>
      <c r="BT292" t="str">
        <f>HYPERLINK("https%3A%2F%2Fwww.webofscience.com%2Fwos%2Fwoscc%2Ffull-record%2FWOS:000412930400008","View Full Record in Web of Science")</f>
        <v>View Full Record in Web of Science</v>
      </c>
    </row>
    <row r="293" spans="1:72" x14ac:dyDescent="0.15">
      <c r="A293" t="s">
        <v>72</v>
      </c>
      <c r="B293" t="s">
        <v>6076</v>
      </c>
      <c r="C293" t="s">
        <v>74</v>
      </c>
      <c r="D293" t="s">
        <v>74</v>
      </c>
      <c r="E293" t="s">
        <v>74</v>
      </c>
      <c r="F293" t="s">
        <v>6077</v>
      </c>
      <c r="G293" t="s">
        <v>74</v>
      </c>
      <c r="H293" t="s">
        <v>74</v>
      </c>
      <c r="I293" t="s">
        <v>6078</v>
      </c>
      <c r="J293" t="s">
        <v>1441</v>
      </c>
      <c r="K293" t="s">
        <v>74</v>
      </c>
      <c r="L293" t="s">
        <v>74</v>
      </c>
      <c r="M293" t="s">
        <v>78</v>
      </c>
      <c r="N293" t="s">
        <v>79</v>
      </c>
      <c r="O293" t="s">
        <v>74</v>
      </c>
      <c r="P293" t="s">
        <v>74</v>
      </c>
      <c r="Q293" t="s">
        <v>74</v>
      </c>
      <c r="R293" t="s">
        <v>74</v>
      </c>
      <c r="S293" t="s">
        <v>74</v>
      </c>
      <c r="T293" t="s">
        <v>6079</v>
      </c>
      <c r="U293" t="s">
        <v>6080</v>
      </c>
      <c r="V293" t="s">
        <v>6081</v>
      </c>
      <c r="W293" t="s">
        <v>6082</v>
      </c>
      <c r="X293" t="s">
        <v>4340</v>
      </c>
      <c r="Y293" t="s">
        <v>6083</v>
      </c>
      <c r="Z293" t="s">
        <v>6084</v>
      </c>
      <c r="AA293" t="s">
        <v>6085</v>
      </c>
      <c r="AB293" t="s">
        <v>6086</v>
      </c>
      <c r="AC293" t="s">
        <v>6087</v>
      </c>
      <c r="AD293" t="s">
        <v>6088</v>
      </c>
      <c r="AE293" t="s">
        <v>6089</v>
      </c>
      <c r="AF293" t="s">
        <v>74</v>
      </c>
      <c r="AG293">
        <v>74</v>
      </c>
      <c r="AH293">
        <v>113</v>
      </c>
      <c r="AI293">
        <v>127</v>
      </c>
      <c r="AJ293">
        <v>1</v>
      </c>
      <c r="AK293">
        <v>24</v>
      </c>
      <c r="AL293" t="s">
        <v>91</v>
      </c>
      <c r="AM293" t="s">
        <v>92</v>
      </c>
      <c r="AN293" t="s">
        <v>93</v>
      </c>
      <c r="AO293" t="s">
        <v>1454</v>
      </c>
      <c r="AP293" t="s">
        <v>1455</v>
      </c>
      <c r="AQ293" t="s">
        <v>74</v>
      </c>
      <c r="AR293" t="s">
        <v>1456</v>
      </c>
      <c r="AS293" t="s">
        <v>1457</v>
      </c>
      <c r="AT293" t="s">
        <v>5544</v>
      </c>
      <c r="AU293">
        <v>2017</v>
      </c>
      <c r="AV293">
        <v>122</v>
      </c>
      <c r="AW293">
        <v>9</v>
      </c>
      <c r="AX293" t="s">
        <v>74</v>
      </c>
      <c r="AY293" t="s">
        <v>74</v>
      </c>
      <c r="AZ293" t="s">
        <v>74</v>
      </c>
      <c r="BA293" t="s">
        <v>74</v>
      </c>
      <c r="BB293">
        <v>6968</v>
      </c>
      <c r="BC293">
        <v>6988</v>
      </c>
      <c r="BD293" t="s">
        <v>74</v>
      </c>
      <c r="BE293" t="s">
        <v>6090</v>
      </c>
      <c r="BF293" t="str">
        <f>HYPERLINK("http://dx.doi.org/10.1002/2016JC012650","http://dx.doi.org/10.1002/2016JC012650")</f>
        <v>http://dx.doi.org/10.1002/2016JC012650</v>
      </c>
      <c r="BG293" t="s">
        <v>74</v>
      </c>
      <c r="BH293" t="s">
        <v>74</v>
      </c>
      <c r="BI293">
        <v>21</v>
      </c>
      <c r="BJ293" t="s">
        <v>1459</v>
      </c>
      <c r="BK293" t="s">
        <v>101</v>
      </c>
      <c r="BL293" t="s">
        <v>1459</v>
      </c>
      <c r="BM293" t="s">
        <v>6091</v>
      </c>
      <c r="BN293" t="s">
        <v>74</v>
      </c>
      <c r="BO293" t="s">
        <v>164</v>
      </c>
      <c r="BP293" t="s">
        <v>74</v>
      </c>
      <c r="BQ293" t="s">
        <v>74</v>
      </c>
      <c r="BR293" t="s">
        <v>105</v>
      </c>
      <c r="BS293" t="s">
        <v>6092</v>
      </c>
      <c r="BT293" t="str">
        <f>HYPERLINK("https%3A%2F%2Fwww.webofscience.com%2Fwos%2Fwoscc%2Ffull-record%2FWOS:000413167200001","View Full Record in Web of Science")</f>
        <v>View Full Record in Web of Science</v>
      </c>
    </row>
    <row r="294" spans="1:72" x14ac:dyDescent="0.15">
      <c r="A294" t="s">
        <v>72</v>
      </c>
      <c r="B294" t="s">
        <v>6093</v>
      </c>
      <c r="C294" t="s">
        <v>74</v>
      </c>
      <c r="D294" t="s">
        <v>74</v>
      </c>
      <c r="E294" t="s">
        <v>74</v>
      </c>
      <c r="F294" t="s">
        <v>6094</v>
      </c>
      <c r="G294" t="s">
        <v>74</v>
      </c>
      <c r="H294" t="s">
        <v>74</v>
      </c>
      <c r="I294" t="s">
        <v>6095</v>
      </c>
      <c r="J294" t="s">
        <v>1441</v>
      </c>
      <c r="K294" t="s">
        <v>74</v>
      </c>
      <c r="L294" t="s">
        <v>74</v>
      </c>
      <c r="M294" t="s">
        <v>78</v>
      </c>
      <c r="N294" t="s">
        <v>79</v>
      </c>
      <c r="O294" t="s">
        <v>74</v>
      </c>
      <c r="P294" t="s">
        <v>74</v>
      </c>
      <c r="Q294" t="s">
        <v>74</v>
      </c>
      <c r="R294" t="s">
        <v>74</v>
      </c>
      <c r="S294" t="s">
        <v>74</v>
      </c>
      <c r="T294" t="s">
        <v>6096</v>
      </c>
      <c r="U294" t="s">
        <v>6097</v>
      </c>
      <c r="V294" t="s">
        <v>6098</v>
      </c>
      <c r="W294" t="s">
        <v>6099</v>
      </c>
      <c r="X294" t="s">
        <v>6100</v>
      </c>
      <c r="Y294" t="s">
        <v>6101</v>
      </c>
      <c r="Z294" t="s">
        <v>6102</v>
      </c>
      <c r="AA294" t="s">
        <v>6103</v>
      </c>
      <c r="AB294" t="s">
        <v>6104</v>
      </c>
      <c r="AC294" t="s">
        <v>6105</v>
      </c>
      <c r="AD294" t="s">
        <v>6106</v>
      </c>
      <c r="AE294" t="s">
        <v>6107</v>
      </c>
      <c r="AF294" t="s">
        <v>74</v>
      </c>
      <c r="AG294">
        <v>50</v>
      </c>
      <c r="AH294">
        <v>42</v>
      </c>
      <c r="AI294">
        <v>50</v>
      </c>
      <c r="AJ294">
        <v>0</v>
      </c>
      <c r="AK294">
        <v>31</v>
      </c>
      <c r="AL294" t="s">
        <v>91</v>
      </c>
      <c r="AM294" t="s">
        <v>92</v>
      </c>
      <c r="AN294" t="s">
        <v>93</v>
      </c>
      <c r="AO294" t="s">
        <v>1454</v>
      </c>
      <c r="AP294" t="s">
        <v>1455</v>
      </c>
      <c r="AQ294" t="s">
        <v>74</v>
      </c>
      <c r="AR294" t="s">
        <v>1456</v>
      </c>
      <c r="AS294" t="s">
        <v>1457</v>
      </c>
      <c r="AT294" t="s">
        <v>5544</v>
      </c>
      <c r="AU294">
        <v>2017</v>
      </c>
      <c r="AV294">
        <v>122</v>
      </c>
      <c r="AW294">
        <v>9</v>
      </c>
      <c r="AX294" t="s">
        <v>74</v>
      </c>
      <c r="AY294" t="s">
        <v>74</v>
      </c>
      <c r="AZ294" t="s">
        <v>74</v>
      </c>
      <c r="BA294" t="s">
        <v>74</v>
      </c>
      <c r="BB294">
        <v>7135</v>
      </c>
      <c r="BC294">
        <v>7162</v>
      </c>
      <c r="BD294" t="s">
        <v>74</v>
      </c>
      <c r="BE294" t="s">
        <v>6108</v>
      </c>
      <c r="BF294" t="str">
        <f>HYPERLINK("http://dx.doi.org/10.1002/2017JC013162","http://dx.doi.org/10.1002/2017JC013162")</f>
        <v>http://dx.doi.org/10.1002/2017JC013162</v>
      </c>
      <c r="BG294" t="s">
        <v>74</v>
      </c>
      <c r="BH294" t="s">
        <v>74</v>
      </c>
      <c r="BI294">
        <v>28</v>
      </c>
      <c r="BJ294" t="s">
        <v>1459</v>
      </c>
      <c r="BK294" t="s">
        <v>101</v>
      </c>
      <c r="BL294" t="s">
        <v>1459</v>
      </c>
      <c r="BM294" t="s">
        <v>6091</v>
      </c>
      <c r="BN294" t="s">
        <v>74</v>
      </c>
      <c r="BO294" t="s">
        <v>164</v>
      </c>
      <c r="BP294" t="s">
        <v>74</v>
      </c>
      <c r="BQ294" t="s">
        <v>74</v>
      </c>
      <c r="BR294" t="s">
        <v>105</v>
      </c>
      <c r="BS294" t="s">
        <v>6109</v>
      </c>
      <c r="BT294" t="str">
        <f>HYPERLINK("https%3A%2F%2Fwww.webofscience.com%2Fwos%2Fwoscc%2Ffull-record%2FWOS:000413167200010","View Full Record in Web of Science")</f>
        <v>View Full Record in Web of Science</v>
      </c>
    </row>
    <row r="295" spans="1:72" x14ac:dyDescent="0.15">
      <c r="A295" t="s">
        <v>72</v>
      </c>
      <c r="B295" t="s">
        <v>6110</v>
      </c>
      <c r="C295" t="s">
        <v>74</v>
      </c>
      <c r="D295" t="s">
        <v>74</v>
      </c>
      <c r="E295" t="s">
        <v>74</v>
      </c>
      <c r="F295" t="s">
        <v>6111</v>
      </c>
      <c r="G295" t="s">
        <v>74</v>
      </c>
      <c r="H295" t="s">
        <v>74</v>
      </c>
      <c r="I295" t="s">
        <v>6112</v>
      </c>
      <c r="J295" t="s">
        <v>1441</v>
      </c>
      <c r="K295" t="s">
        <v>74</v>
      </c>
      <c r="L295" t="s">
        <v>74</v>
      </c>
      <c r="M295" t="s">
        <v>78</v>
      </c>
      <c r="N295" t="s">
        <v>79</v>
      </c>
      <c r="O295" t="s">
        <v>74</v>
      </c>
      <c r="P295" t="s">
        <v>74</v>
      </c>
      <c r="Q295" t="s">
        <v>74</v>
      </c>
      <c r="R295" t="s">
        <v>74</v>
      </c>
      <c r="S295" t="s">
        <v>74</v>
      </c>
      <c r="T295" t="s">
        <v>6113</v>
      </c>
      <c r="U295" t="s">
        <v>6114</v>
      </c>
      <c r="V295" t="s">
        <v>6115</v>
      </c>
      <c r="W295" t="s">
        <v>6116</v>
      </c>
      <c r="X295" t="s">
        <v>6117</v>
      </c>
      <c r="Y295" t="s">
        <v>6118</v>
      </c>
      <c r="Z295" t="s">
        <v>6119</v>
      </c>
      <c r="AA295" t="s">
        <v>6120</v>
      </c>
      <c r="AB295" t="s">
        <v>6121</v>
      </c>
      <c r="AC295" t="s">
        <v>6122</v>
      </c>
      <c r="AD295" t="s">
        <v>6123</v>
      </c>
      <c r="AE295" t="s">
        <v>6124</v>
      </c>
      <c r="AF295" t="s">
        <v>74</v>
      </c>
      <c r="AG295">
        <v>67</v>
      </c>
      <c r="AH295">
        <v>16</v>
      </c>
      <c r="AI295">
        <v>17</v>
      </c>
      <c r="AJ295">
        <v>0</v>
      </c>
      <c r="AK295">
        <v>13</v>
      </c>
      <c r="AL295" t="s">
        <v>91</v>
      </c>
      <c r="AM295" t="s">
        <v>92</v>
      </c>
      <c r="AN295" t="s">
        <v>93</v>
      </c>
      <c r="AO295" t="s">
        <v>1454</v>
      </c>
      <c r="AP295" t="s">
        <v>1455</v>
      </c>
      <c r="AQ295" t="s">
        <v>74</v>
      </c>
      <c r="AR295" t="s">
        <v>1456</v>
      </c>
      <c r="AS295" t="s">
        <v>1457</v>
      </c>
      <c r="AT295" t="s">
        <v>5544</v>
      </c>
      <c r="AU295">
        <v>2017</v>
      </c>
      <c r="AV295">
        <v>122</v>
      </c>
      <c r="AW295">
        <v>9</v>
      </c>
      <c r="AX295" t="s">
        <v>74</v>
      </c>
      <c r="AY295" t="s">
        <v>74</v>
      </c>
      <c r="AZ295" t="s">
        <v>74</v>
      </c>
      <c r="BA295" t="s">
        <v>74</v>
      </c>
      <c r="BB295">
        <v>7380</v>
      </c>
      <c r="BC295">
        <v>7394</v>
      </c>
      <c r="BD295" t="s">
        <v>74</v>
      </c>
      <c r="BE295" t="s">
        <v>6125</v>
      </c>
      <c r="BF295" t="str">
        <f>HYPERLINK("http://dx.doi.org/10.1002/2017JC013015","http://dx.doi.org/10.1002/2017JC013015")</f>
        <v>http://dx.doi.org/10.1002/2017JC013015</v>
      </c>
      <c r="BG295" t="s">
        <v>74</v>
      </c>
      <c r="BH295" t="s">
        <v>74</v>
      </c>
      <c r="BI295">
        <v>15</v>
      </c>
      <c r="BJ295" t="s">
        <v>1459</v>
      </c>
      <c r="BK295" t="s">
        <v>101</v>
      </c>
      <c r="BL295" t="s">
        <v>1459</v>
      </c>
      <c r="BM295" t="s">
        <v>6091</v>
      </c>
      <c r="BN295" t="s">
        <v>74</v>
      </c>
      <c r="BO295" t="s">
        <v>1793</v>
      </c>
      <c r="BP295" t="s">
        <v>74</v>
      </c>
      <c r="BQ295" t="s">
        <v>74</v>
      </c>
      <c r="BR295" t="s">
        <v>105</v>
      </c>
      <c r="BS295" t="s">
        <v>6126</v>
      </c>
      <c r="BT295" t="str">
        <f>HYPERLINK("https%3A%2F%2Fwww.webofscience.com%2Fwos%2Fwoscc%2Ffull-record%2FWOS:000413167200023","View Full Record in Web of Science")</f>
        <v>View Full Record in Web of Science</v>
      </c>
    </row>
    <row r="296" spans="1:72" x14ac:dyDescent="0.15">
      <c r="A296" t="s">
        <v>72</v>
      </c>
      <c r="B296" t="s">
        <v>6127</v>
      </c>
      <c r="C296" t="s">
        <v>74</v>
      </c>
      <c r="D296" t="s">
        <v>74</v>
      </c>
      <c r="E296" t="s">
        <v>74</v>
      </c>
      <c r="F296" t="s">
        <v>6128</v>
      </c>
      <c r="G296" t="s">
        <v>74</v>
      </c>
      <c r="H296" t="s">
        <v>74</v>
      </c>
      <c r="I296" t="s">
        <v>6129</v>
      </c>
      <c r="J296" t="s">
        <v>1441</v>
      </c>
      <c r="K296" t="s">
        <v>74</v>
      </c>
      <c r="L296" t="s">
        <v>74</v>
      </c>
      <c r="M296" t="s">
        <v>78</v>
      </c>
      <c r="N296" t="s">
        <v>79</v>
      </c>
      <c r="O296" t="s">
        <v>74</v>
      </c>
      <c r="P296" t="s">
        <v>74</v>
      </c>
      <c r="Q296" t="s">
        <v>74</v>
      </c>
      <c r="R296" t="s">
        <v>74</v>
      </c>
      <c r="S296" t="s">
        <v>74</v>
      </c>
      <c r="T296" t="s">
        <v>6130</v>
      </c>
      <c r="U296" t="s">
        <v>6131</v>
      </c>
      <c r="V296" t="s">
        <v>6132</v>
      </c>
      <c r="W296" t="s">
        <v>6133</v>
      </c>
      <c r="X296" t="s">
        <v>6134</v>
      </c>
      <c r="Y296" t="s">
        <v>6135</v>
      </c>
      <c r="Z296" t="s">
        <v>6136</v>
      </c>
      <c r="AA296" t="s">
        <v>6137</v>
      </c>
      <c r="AB296" t="s">
        <v>6138</v>
      </c>
      <c r="AC296" t="s">
        <v>6139</v>
      </c>
      <c r="AD296" t="s">
        <v>6140</v>
      </c>
      <c r="AE296" t="s">
        <v>6141</v>
      </c>
      <c r="AF296" t="s">
        <v>74</v>
      </c>
      <c r="AG296">
        <v>20</v>
      </c>
      <c r="AH296">
        <v>15</v>
      </c>
      <c r="AI296">
        <v>15</v>
      </c>
      <c r="AJ296">
        <v>0</v>
      </c>
      <c r="AK296">
        <v>12</v>
      </c>
      <c r="AL296" t="s">
        <v>91</v>
      </c>
      <c r="AM296" t="s">
        <v>92</v>
      </c>
      <c r="AN296" t="s">
        <v>93</v>
      </c>
      <c r="AO296" t="s">
        <v>1454</v>
      </c>
      <c r="AP296" t="s">
        <v>1455</v>
      </c>
      <c r="AQ296" t="s">
        <v>74</v>
      </c>
      <c r="AR296" t="s">
        <v>1456</v>
      </c>
      <c r="AS296" t="s">
        <v>1457</v>
      </c>
      <c r="AT296" t="s">
        <v>5544</v>
      </c>
      <c r="AU296">
        <v>2017</v>
      </c>
      <c r="AV296">
        <v>122</v>
      </c>
      <c r="AW296">
        <v>9</v>
      </c>
      <c r="AX296" t="s">
        <v>74</v>
      </c>
      <c r="AY296" t="s">
        <v>74</v>
      </c>
      <c r="AZ296" t="s">
        <v>74</v>
      </c>
      <c r="BA296" t="s">
        <v>74</v>
      </c>
      <c r="BB296">
        <v>7595</v>
      </c>
      <c r="BC296">
        <v>7611</v>
      </c>
      <c r="BD296" t="s">
        <v>74</v>
      </c>
      <c r="BE296" t="s">
        <v>6142</v>
      </c>
      <c r="BF296" t="str">
        <f>HYPERLINK("http://dx.doi.org/10.1002/2017JC012819","http://dx.doi.org/10.1002/2017JC012819")</f>
        <v>http://dx.doi.org/10.1002/2017JC012819</v>
      </c>
      <c r="BG296" t="s">
        <v>74</v>
      </c>
      <c r="BH296" t="s">
        <v>74</v>
      </c>
      <c r="BI296">
        <v>17</v>
      </c>
      <c r="BJ296" t="s">
        <v>1459</v>
      </c>
      <c r="BK296" t="s">
        <v>101</v>
      </c>
      <c r="BL296" t="s">
        <v>1459</v>
      </c>
      <c r="BM296" t="s">
        <v>6091</v>
      </c>
      <c r="BN296" t="s">
        <v>74</v>
      </c>
      <c r="BO296" t="s">
        <v>74</v>
      </c>
      <c r="BP296" t="s">
        <v>74</v>
      </c>
      <c r="BQ296" t="s">
        <v>74</v>
      </c>
      <c r="BR296" t="s">
        <v>105</v>
      </c>
      <c r="BS296" t="s">
        <v>6143</v>
      </c>
      <c r="BT296" t="str">
        <f>HYPERLINK("https%3A%2F%2Fwww.webofscience.com%2Fwos%2Fwoscc%2Ffull-record%2FWOS:000413167200035","View Full Record in Web of Science")</f>
        <v>View Full Record in Web of Science</v>
      </c>
    </row>
    <row r="297" spans="1:72" x14ac:dyDescent="0.15">
      <c r="A297" t="s">
        <v>72</v>
      </c>
      <c r="B297" t="s">
        <v>6144</v>
      </c>
      <c r="C297" t="s">
        <v>74</v>
      </c>
      <c r="D297" t="s">
        <v>74</v>
      </c>
      <c r="E297" t="s">
        <v>74</v>
      </c>
      <c r="F297" t="s">
        <v>6145</v>
      </c>
      <c r="G297" t="s">
        <v>74</v>
      </c>
      <c r="H297" t="s">
        <v>74</v>
      </c>
      <c r="I297" t="s">
        <v>6146</v>
      </c>
      <c r="J297" t="s">
        <v>1221</v>
      </c>
      <c r="K297" t="s">
        <v>74</v>
      </c>
      <c r="L297" t="s">
        <v>74</v>
      </c>
      <c r="M297" t="s">
        <v>78</v>
      </c>
      <c r="N297" t="s">
        <v>79</v>
      </c>
      <c r="O297" t="s">
        <v>74</v>
      </c>
      <c r="P297" t="s">
        <v>74</v>
      </c>
      <c r="Q297" t="s">
        <v>74</v>
      </c>
      <c r="R297" t="s">
        <v>74</v>
      </c>
      <c r="S297" t="s">
        <v>74</v>
      </c>
      <c r="T297" t="s">
        <v>6147</v>
      </c>
      <c r="U297" t="s">
        <v>6148</v>
      </c>
      <c r="V297" t="s">
        <v>6149</v>
      </c>
      <c r="W297" t="s">
        <v>6150</v>
      </c>
      <c r="X297" t="s">
        <v>6151</v>
      </c>
      <c r="Y297" t="s">
        <v>6152</v>
      </c>
      <c r="Z297" t="s">
        <v>6153</v>
      </c>
      <c r="AA297" t="s">
        <v>74</v>
      </c>
      <c r="AB297" t="s">
        <v>6154</v>
      </c>
      <c r="AC297" t="s">
        <v>6155</v>
      </c>
      <c r="AD297" t="s">
        <v>6156</v>
      </c>
      <c r="AE297" t="s">
        <v>6157</v>
      </c>
      <c r="AF297" t="s">
        <v>74</v>
      </c>
      <c r="AG297">
        <v>73</v>
      </c>
      <c r="AH297">
        <v>5</v>
      </c>
      <c r="AI297">
        <v>5</v>
      </c>
      <c r="AJ297">
        <v>0</v>
      </c>
      <c r="AK297">
        <v>8</v>
      </c>
      <c r="AL297" t="s">
        <v>91</v>
      </c>
      <c r="AM297" t="s">
        <v>92</v>
      </c>
      <c r="AN297" t="s">
        <v>93</v>
      </c>
      <c r="AO297" t="s">
        <v>1233</v>
      </c>
      <c r="AP297" t="s">
        <v>1234</v>
      </c>
      <c r="AQ297" t="s">
        <v>74</v>
      </c>
      <c r="AR297" t="s">
        <v>1235</v>
      </c>
      <c r="AS297" t="s">
        <v>1236</v>
      </c>
      <c r="AT297" t="s">
        <v>5544</v>
      </c>
      <c r="AU297">
        <v>2017</v>
      </c>
      <c r="AV297">
        <v>122</v>
      </c>
      <c r="AW297">
        <v>9</v>
      </c>
      <c r="AX297" t="s">
        <v>74</v>
      </c>
      <c r="AY297" t="s">
        <v>74</v>
      </c>
      <c r="AZ297" t="s">
        <v>74</v>
      </c>
      <c r="BA297" t="s">
        <v>74</v>
      </c>
      <c r="BB297">
        <v>9528</v>
      </c>
      <c r="BC297">
        <v>9544</v>
      </c>
      <c r="BD297" t="s">
        <v>74</v>
      </c>
      <c r="BE297" t="s">
        <v>6158</v>
      </c>
      <c r="BF297" t="str">
        <f>HYPERLINK("http://dx.doi.org/10.1002/2017JA024226","http://dx.doi.org/10.1002/2017JA024226")</f>
        <v>http://dx.doi.org/10.1002/2017JA024226</v>
      </c>
      <c r="BG297" t="s">
        <v>74</v>
      </c>
      <c r="BH297" t="s">
        <v>74</v>
      </c>
      <c r="BI297">
        <v>17</v>
      </c>
      <c r="BJ297" t="s">
        <v>349</v>
      </c>
      <c r="BK297" t="s">
        <v>101</v>
      </c>
      <c r="BL297" t="s">
        <v>349</v>
      </c>
      <c r="BM297" t="s">
        <v>6159</v>
      </c>
      <c r="BN297" t="s">
        <v>74</v>
      </c>
      <c r="BO297" t="s">
        <v>74</v>
      </c>
      <c r="BP297" t="s">
        <v>74</v>
      </c>
      <c r="BQ297" t="s">
        <v>74</v>
      </c>
      <c r="BR297" t="s">
        <v>105</v>
      </c>
      <c r="BS297" t="s">
        <v>6160</v>
      </c>
      <c r="BT297" t="str">
        <f>HYPERLINK("https%3A%2F%2Fwww.webofscience.com%2Fwos%2Fwoscc%2Ffull-record%2FWOS:000413491700030","View Full Record in Web of Science")</f>
        <v>View Full Record in Web of Science</v>
      </c>
    </row>
    <row r="298" spans="1:72" x14ac:dyDescent="0.15">
      <c r="A298" t="s">
        <v>72</v>
      </c>
      <c r="B298" t="s">
        <v>6161</v>
      </c>
      <c r="C298" t="s">
        <v>74</v>
      </c>
      <c r="D298" t="s">
        <v>74</v>
      </c>
      <c r="E298" t="s">
        <v>74</v>
      </c>
      <c r="F298" t="s">
        <v>6162</v>
      </c>
      <c r="G298" t="s">
        <v>74</v>
      </c>
      <c r="H298" t="s">
        <v>74</v>
      </c>
      <c r="I298" t="s">
        <v>6163</v>
      </c>
      <c r="J298" t="s">
        <v>6164</v>
      </c>
      <c r="K298" t="s">
        <v>74</v>
      </c>
      <c r="L298" t="s">
        <v>74</v>
      </c>
      <c r="M298" t="s">
        <v>78</v>
      </c>
      <c r="N298" t="s">
        <v>79</v>
      </c>
      <c r="O298" t="s">
        <v>74</v>
      </c>
      <c r="P298" t="s">
        <v>74</v>
      </c>
      <c r="Q298" t="s">
        <v>74</v>
      </c>
      <c r="R298" t="s">
        <v>74</v>
      </c>
      <c r="S298" t="s">
        <v>74</v>
      </c>
      <c r="T298" t="s">
        <v>74</v>
      </c>
      <c r="U298" t="s">
        <v>6165</v>
      </c>
      <c r="V298" t="s">
        <v>6166</v>
      </c>
      <c r="W298" t="s">
        <v>6167</v>
      </c>
      <c r="X298" t="s">
        <v>6168</v>
      </c>
      <c r="Y298" t="s">
        <v>6169</v>
      </c>
      <c r="Z298" t="s">
        <v>6170</v>
      </c>
      <c r="AA298" t="s">
        <v>6171</v>
      </c>
      <c r="AB298" t="s">
        <v>74</v>
      </c>
      <c r="AC298" t="s">
        <v>6172</v>
      </c>
      <c r="AD298" t="s">
        <v>6173</v>
      </c>
      <c r="AE298" t="s">
        <v>6174</v>
      </c>
      <c r="AF298" t="s">
        <v>74</v>
      </c>
      <c r="AG298">
        <v>46</v>
      </c>
      <c r="AH298">
        <v>11</v>
      </c>
      <c r="AI298">
        <v>11</v>
      </c>
      <c r="AJ298">
        <v>0</v>
      </c>
      <c r="AK298">
        <v>13</v>
      </c>
      <c r="AL298" t="s">
        <v>6175</v>
      </c>
      <c r="AM298" t="s">
        <v>6176</v>
      </c>
      <c r="AN298" t="s">
        <v>6177</v>
      </c>
      <c r="AO298" t="s">
        <v>6178</v>
      </c>
      <c r="AP298" t="s">
        <v>6179</v>
      </c>
      <c r="AQ298" t="s">
        <v>74</v>
      </c>
      <c r="AR298" t="s">
        <v>6180</v>
      </c>
      <c r="AS298" t="s">
        <v>6181</v>
      </c>
      <c r="AT298" t="s">
        <v>5544</v>
      </c>
      <c r="AU298">
        <v>2017</v>
      </c>
      <c r="AV298">
        <v>58</v>
      </c>
      <c r="AW298">
        <v>9</v>
      </c>
      <c r="AX298" t="s">
        <v>74</v>
      </c>
      <c r="AY298" t="s">
        <v>74</v>
      </c>
      <c r="AZ298" t="s">
        <v>74</v>
      </c>
      <c r="BA298" t="s">
        <v>74</v>
      </c>
      <c r="BB298" t="s">
        <v>74</v>
      </c>
      <c r="BC298" t="s">
        <v>74</v>
      </c>
      <c r="BD298">
        <v>93301</v>
      </c>
      <c r="BE298" t="s">
        <v>6182</v>
      </c>
      <c r="BF298" t="str">
        <f>HYPERLINK("http://dx.doi.org/10.1063/1.5000386","http://dx.doi.org/10.1063/1.5000386")</f>
        <v>http://dx.doi.org/10.1063/1.5000386</v>
      </c>
      <c r="BG298" t="s">
        <v>74</v>
      </c>
      <c r="BH298" t="s">
        <v>74</v>
      </c>
      <c r="BI298">
        <v>22</v>
      </c>
      <c r="BJ298" t="s">
        <v>6183</v>
      </c>
      <c r="BK298" t="s">
        <v>101</v>
      </c>
      <c r="BL298" t="s">
        <v>6184</v>
      </c>
      <c r="BM298" t="s">
        <v>6185</v>
      </c>
      <c r="BN298" t="s">
        <v>74</v>
      </c>
      <c r="BO298" t="s">
        <v>2274</v>
      </c>
      <c r="BP298" t="s">
        <v>74</v>
      </c>
      <c r="BQ298" t="s">
        <v>74</v>
      </c>
      <c r="BR298" t="s">
        <v>105</v>
      </c>
      <c r="BS298" t="s">
        <v>6186</v>
      </c>
      <c r="BT298" t="str">
        <f>HYPERLINK("https%3A%2F%2Fwww.webofscience.com%2Fwos%2Fwoscc%2Ffull-record%2FWOS:000412102600025","View Full Record in Web of Science")</f>
        <v>View Full Record in Web of Science</v>
      </c>
    </row>
    <row r="299" spans="1:72" x14ac:dyDescent="0.15">
      <c r="A299" t="s">
        <v>72</v>
      </c>
      <c r="B299" t="s">
        <v>6187</v>
      </c>
      <c r="C299" t="s">
        <v>74</v>
      </c>
      <c r="D299" t="s">
        <v>74</v>
      </c>
      <c r="E299" t="s">
        <v>74</v>
      </c>
      <c r="F299" t="s">
        <v>6188</v>
      </c>
      <c r="G299" t="s">
        <v>74</v>
      </c>
      <c r="H299" t="s">
        <v>74</v>
      </c>
      <c r="I299" t="s">
        <v>6189</v>
      </c>
      <c r="J299" t="s">
        <v>6190</v>
      </c>
      <c r="K299" t="s">
        <v>74</v>
      </c>
      <c r="L299" t="s">
        <v>74</v>
      </c>
      <c r="M299" t="s">
        <v>78</v>
      </c>
      <c r="N299" t="s">
        <v>79</v>
      </c>
      <c r="O299" t="s">
        <v>74</v>
      </c>
      <c r="P299" t="s">
        <v>74</v>
      </c>
      <c r="Q299" t="s">
        <v>74</v>
      </c>
      <c r="R299" t="s">
        <v>74</v>
      </c>
      <c r="S299" t="s">
        <v>74</v>
      </c>
      <c r="T299" t="s">
        <v>6191</v>
      </c>
      <c r="U299" t="s">
        <v>6192</v>
      </c>
      <c r="V299" t="s">
        <v>6193</v>
      </c>
      <c r="W299" t="s">
        <v>6194</v>
      </c>
      <c r="X299" t="s">
        <v>6195</v>
      </c>
      <c r="Y299" t="s">
        <v>6196</v>
      </c>
      <c r="Z299" t="s">
        <v>6197</v>
      </c>
      <c r="AA299" t="s">
        <v>6198</v>
      </c>
      <c r="AB299" t="s">
        <v>6199</v>
      </c>
      <c r="AC299" t="s">
        <v>6200</v>
      </c>
      <c r="AD299" t="s">
        <v>6201</v>
      </c>
      <c r="AE299" t="s">
        <v>6202</v>
      </c>
      <c r="AF299" t="s">
        <v>74</v>
      </c>
      <c r="AG299">
        <v>17</v>
      </c>
      <c r="AH299">
        <v>11</v>
      </c>
      <c r="AI299">
        <v>12</v>
      </c>
      <c r="AJ299">
        <v>2</v>
      </c>
      <c r="AK299">
        <v>16</v>
      </c>
      <c r="AL299" t="s">
        <v>502</v>
      </c>
      <c r="AM299" t="s">
        <v>372</v>
      </c>
      <c r="AN299" t="s">
        <v>503</v>
      </c>
      <c r="AO299" t="s">
        <v>6203</v>
      </c>
      <c r="AP299" t="s">
        <v>6204</v>
      </c>
      <c r="AQ299" t="s">
        <v>74</v>
      </c>
      <c r="AR299" t="s">
        <v>6205</v>
      </c>
      <c r="AS299" t="s">
        <v>6206</v>
      </c>
      <c r="AT299" t="s">
        <v>5544</v>
      </c>
      <c r="AU299">
        <v>2017</v>
      </c>
      <c r="AV299">
        <v>158</v>
      </c>
      <c r="AW299" t="s">
        <v>74</v>
      </c>
      <c r="AX299" t="s">
        <v>74</v>
      </c>
      <c r="AY299" t="s">
        <v>74</v>
      </c>
      <c r="AZ299" t="s">
        <v>74</v>
      </c>
      <c r="BA299" t="s">
        <v>74</v>
      </c>
      <c r="BB299">
        <v>416</v>
      </c>
      <c r="BC299">
        <v>423</v>
      </c>
      <c r="BD299" t="s">
        <v>74</v>
      </c>
      <c r="BE299" t="s">
        <v>6207</v>
      </c>
      <c r="BF299" t="str">
        <f>HYPERLINK("http://dx.doi.org/10.1016/j.petrol.2017.08.058","http://dx.doi.org/10.1016/j.petrol.2017.08.058")</f>
        <v>http://dx.doi.org/10.1016/j.petrol.2017.08.058</v>
      </c>
      <c r="BG299" t="s">
        <v>74</v>
      </c>
      <c r="BH299" t="s">
        <v>74</v>
      </c>
      <c r="BI299">
        <v>8</v>
      </c>
      <c r="BJ299" t="s">
        <v>6208</v>
      </c>
      <c r="BK299" t="s">
        <v>101</v>
      </c>
      <c r="BL299" t="s">
        <v>6209</v>
      </c>
      <c r="BM299" t="s">
        <v>6210</v>
      </c>
      <c r="BN299" t="s">
        <v>74</v>
      </c>
      <c r="BO299" t="s">
        <v>74</v>
      </c>
      <c r="BP299" t="s">
        <v>74</v>
      </c>
      <c r="BQ299" t="s">
        <v>74</v>
      </c>
      <c r="BR299" t="s">
        <v>105</v>
      </c>
      <c r="BS299" t="s">
        <v>6211</v>
      </c>
      <c r="BT299" t="str">
        <f>HYPERLINK("https%3A%2F%2Fwww.webofscience.com%2Fwos%2Fwoscc%2Ffull-record%2FWOS:000414179100033","View Full Record in Web of Science")</f>
        <v>View Full Record in Web of Science</v>
      </c>
    </row>
    <row r="300" spans="1:72" x14ac:dyDescent="0.15">
      <c r="A300" t="s">
        <v>72</v>
      </c>
      <c r="B300" t="s">
        <v>6212</v>
      </c>
      <c r="C300" t="s">
        <v>74</v>
      </c>
      <c r="D300" t="s">
        <v>74</v>
      </c>
      <c r="E300" t="s">
        <v>74</v>
      </c>
      <c r="F300" t="s">
        <v>6213</v>
      </c>
      <c r="G300" t="s">
        <v>74</v>
      </c>
      <c r="H300" t="s">
        <v>74</v>
      </c>
      <c r="I300" t="s">
        <v>6214</v>
      </c>
      <c r="J300" t="s">
        <v>1562</v>
      </c>
      <c r="K300" t="s">
        <v>74</v>
      </c>
      <c r="L300" t="s">
        <v>74</v>
      </c>
      <c r="M300" t="s">
        <v>78</v>
      </c>
      <c r="N300" t="s">
        <v>79</v>
      </c>
      <c r="O300" t="s">
        <v>74</v>
      </c>
      <c r="P300" t="s">
        <v>74</v>
      </c>
      <c r="Q300" t="s">
        <v>74</v>
      </c>
      <c r="R300" t="s">
        <v>74</v>
      </c>
      <c r="S300" t="s">
        <v>74</v>
      </c>
      <c r="T300" t="s">
        <v>74</v>
      </c>
      <c r="U300" t="s">
        <v>6215</v>
      </c>
      <c r="V300" t="s">
        <v>6216</v>
      </c>
      <c r="W300" t="s">
        <v>6217</v>
      </c>
      <c r="X300" t="s">
        <v>6218</v>
      </c>
      <c r="Y300" t="s">
        <v>6219</v>
      </c>
      <c r="Z300" t="s">
        <v>6220</v>
      </c>
      <c r="AA300" t="s">
        <v>6221</v>
      </c>
      <c r="AB300" t="s">
        <v>6222</v>
      </c>
      <c r="AC300" t="s">
        <v>6223</v>
      </c>
      <c r="AD300" t="s">
        <v>6224</v>
      </c>
      <c r="AE300" t="s">
        <v>6225</v>
      </c>
      <c r="AF300" t="s">
        <v>74</v>
      </c>
      <c r="AG300">
        <v>37</v>
      </c>
      <c r="AH300">
        <v>4</v>
      </c>
      <c r="AI300">
        <v>4</v>
      </c>
      <c r="AJ300">
        <v>1</v>
      </c>
      <c r="AK300">
        <v>7</v>
      </c>
      <c r="AL300" t="s">
        <v>1366</v>
      </c>
      <c r="AM300" t="s">
        <v>1367</v>
      </c>
      <c r="AN300" t="s">
        <v>1368</v>
      </c>
      <c r="AO300" t="s">
        <v>1575</v>
      </c>
      <c r="AP300" t="s">
        <v>1576</v>
      </c>
      <c r="AQ300" t="s">
        <v>74</v>
      </c>
      <c r="AR300" t="s">
        <v>1577</v>
      </c>
      <c r="AS300" t="s">
        <v>1578</v>
      </c>
      <c r="AT300" t="s">
        <v>5544</v>
      </c>
      <c r="AU300">
        <v>2017</v>
      </c>
      <c r="AV300">
        <v>47</v>
      </c>
      <c r="AW300">
        <v>9</v>
      </c>
      <c r="AX300" t="s">
        <v>74</v>
      </c>
      <c r="AY300" t="s">
        <v>74</v>
      </c>
      <c r="AZ300" t="s">
        <v>74</v>
      </c>
      <c r="BA300" t="s">
        <v>74</v>
      </c>
      <c r="BB300">
        <v>2237</v>
      </c>
      <c r="BC300">
        <v>2250</v>
      </c>
      <c r="BD300" t="s">
        <v>74</v>
      </c>
      <c r="BE300" t="s">
        <v>6226</v>
      </c>
      <c r="BF300" t="str">
        <f>HYPERLINK("http://dx.doi.org/10.1175/JPO-D-17-0072.1","http://dx.doi.org/10.1175/JPO-D-17-0072.1")</f>
        <v>http://dx.doi.org/10.1175/JPO-D-17-0072.1</v>
      </c>
      <c r="BG300" t="s">
        <v>74</v>
      </c>
      <c r="BH300" t="s">
        <v>74</v>
      </c>
      <c r="BI300">
        <v>14</v>
      </c>
      <c r="BJ300" t="s">
        <v>1459</v>
      </c>
      <c r="BK300" t="s">
        <v>101</v>
      </c>
      <c r="BL300" t="s">
        <v>1459</v>
      </c>
      <c r="BM300" t="s">
        <v>6227</v>
      </c>
      <c r="BN300" t="s">
        <v>74</v>
      </c>
      <c r="BO300" t="s">
        <v>511</v>
      </c>
      <c r="BP300" t="s">
        <v>74</v>
      </c>
      <c r="BQ300" t="s">
        <v>74</v>
      </c>
      <c r="BR300" t="s">
        <v>105</v>
      </c>
      <c r="BS300" t="s">
        <v>6228</v>
      </c>
      <c r="BT300" t="str">
        <f>HYPERLINK("https%3A%2F%2Fwww.webofscience.com%2Fwos%2Fwoscc%2Ffull-record%2FWOS:000412116100005","View Full Record in Web of Science")</f>
        <v>View Full Record in Web of Science</v>
      </c>
    </row>
    <row r="301" spans="1:72" x14ac:dyDescent="0.15">
      <c r="A301" t="s">
        <v>72</v>
      </c>
      <c r="B301" t="s">
        <v>6229</v>
      </c>
      <c r="C301" t="s">
        <v>74</v>
      </c>
      <c r="D301" t="s">
        <v>74</v>
      </c>
      <c r="E301" t="s">
        <v>74</v>
      </c>
      <c r="F301" t="s">
        <v>6230</v>
      </c>
      <c r="G301" t="s">
        <v>74</v>
      </c>
      <c r="H301" t="s">
        <v>74</v>
      </c>
      <c r="I301" t="s">
        <v>6231</v>
      </c>
      <c r="J301" t="s">
        <v>6232</v>
      </c>
      <c r="K301" t="s">
        <v>74</v>
      </c>
      <c r="L301" t="s">
        <v>74</v>
      </c>
      <c r="M301" t="s">
        <v>78</v>
      </c>
      <c r="N301" t="s">
        <v>79</v>
      </c>
      <c r="O301" t="s">
        <v>74</v>
      </c>
      <c r="P301" t="s">
        <v>74</v>
      </c>
      <c r="Q301" t="s">
        <v>74</v>
      </c>
      <c r="R301" t="s">
        <v>74</v>
      </c>
      <c r="S301" t="s">
        <v>74</v>
      </c>
      <c r="T301" t="s">
        <v>6233</v>
      </c>
      <c r="U301" t="s">
        <v>6234</v>
      </c>
      <c r="V301" t="s">
        <v>6235</v>
      </c>
      <c r="W301" t="s">
        <v>6236</v>
      </c>
      <c r="X301" t="s">
        <v>6237</v>
      </c>
      <c r="Y301" t="s">
        <v>6238</v>
      </c>
      <c r="Z301" t="s">
        <v>6239</v>
      </c>
      <c r="AA301" t="s">
        <v>6240</v>
      </c>
      <c r="AB301" t="s">
        <v>6241</v>
      </c>
      <c r="AC301" t="s">
        <v>6242</v>
      </c>
      <c r="AD301" t="s">
        <v>6243</v>
      </c>
      <c r="AE301" t="s">
        <v>6244</v>
      </c>
      <c r="AF301" t="s">
        <v>74</v>
      </c>
      <c r="AG301">
        <v>45</v>
      </c>
      <c r="AH301">
        <v>6</v>
      </c>
      <c r="AI301">
        <v>6</v>
      </c>
      <c r="AJ301">
        <v>0</v>
      </c>
      <c r="AK301">
        <v>15</v>
      </c>
      <c r="AL301" t="s">
        <v>5918</v>
      </c>
      <c r="AM301" t="s">
        <v>729</v>
      </c>
      <c r="AN301" t="s">
        <v>5919</v>
      </c>
      <c r="AO301" t="s">
        <v>6245</v>
      </c>
      <c r="AP301" t="s">
        <v>6246</v>
      </c>
      <c r="AQ301" t="s">
        <v>74</v>
      </c>
      <c r="AR301" t="s">
        <v>6247</v>
      </c>
      <c r="AS301" t="s">
        <v>6248</v>
      </c>
      <c r="AT301" t="s">
        <v>5817</v>
      </c>
      <c r="AU301">
        <v>2017</v>
      </c>
      <c r="AV301">
        <v>39</v>
      </c>
      <c r="AW301">
        <v>5</v>
      </c>
      <c r="AX301" t="s">
        <v>74</v>
      </c>
      <c r="AY301" t="s">
        <v>74</v>
      </c>
      <c r="AZ301" t="s">
        <v>74</v>
      </c>
      <c r="BA301" t="s">
        <v>74</v>
      </c>
      <c r="BB301">
        <v>795</v>
      </c>
      <c r="BC301">
        <v>802</v>
      </c>
      <c r="BD301" t="s">
        <v>74</v>
      </c>
      <c r="BE301" t="s">
        <v>6249</v>
      </c>
      <c r="BF301" t="str">
        <f>HYPERLINK("http://dx.doi.org/10.1093/plankt/fbx036","http://dx.doi.org/10.1093/plankt/fbx036")</f>
        <v>http://dx.doi.org/10.1093/plankt/fbx036</v>
      </c>
      <c r="BG301" t="s">
        <v>74</v>
      </c>
      <c r="BH301" t="s">
        <v>74</v>
      </c>
      <c r="BI301">
        <v>8</v>
      </c>
      <c r="BJ301" t="s">
        <v>2296</v>
      </c>
      <c r="BK301" t="s">
        <v>101</v>
      </c>
      <c r="BL301" t="s">
        <v>2296</v>
      </c>
      <c r="BM301" t="s">
        <v>6250</v>
      </c>
      <c r="BN301" t="s">
        <v>74</v>
      </c>
      <c r="BO301" t="s">
        <v>104</v>
      </c>
      <c r="BP301" t="s">
        <v>74</v>
      </c>
      <c r="BQ301" t="s">
        <v>74</v>
      </c>
      <c r="BR301" t="s">
        <v>105</v>
      </c>
      <c r="BS301" t="s">
        <v>6251</v>
      </c>
      <c r="BT301" t="str">
        <f>HYPERLINK("https%3A%2F%2Fwww.webofscience.com%2Fwos%2Fwoscc%2Ffull-record%2FWOS:000412300100004","View Full Record in Web of Science")</f>
        <v>View Full Record in Web of Science</v>
      </c>
    </row>
    <row r="302" spans="1:72" x14ac:dyDescent="0.15">
      <c r="A302" t="s">
        <v>72</v>
      </c>
      <c r="B302" t="s">
        <v>6252</v>
      </c>
      <c r="C302" t="s">
        <v>74</v>
      </c>
      <c r="D302" t="s">
        <v>74</v>
      </c>
      <c r="E302" t="s">
        <v>74</v>
      </c>
      <c r="F302" t="s">
        <v>6253</v>
      </c>
      <c r="G302" t="s">
        <v>74</v>
      </c>
      <c r="H302" t="s">
        <v>74</v>
      </c>
      <c r="I302" t="s">
        <v>6254</v>
      </c>
      <c r="J302" t="s">
        <v>6255</v>
      </c>
      <c r="K302" t="s">
        <v>74</v>
      </c>
      <c r="L302" t="s">
        <v>74</v>
      </c>
      <c r="M302" t="s">
        <v>78</v>
      </c>
      <c r="N302" t="s">
        <v>79</v>
      </c>
      <c r="O302" t="s">
        <v>74</v>
      </c>
      <c r="P302" t="s">
        <v>74</v>
      </c>
      <c r="Q302" t="s">
        <v>74</v>
      </c>
      <c r="R302" t="s">
        <v>74</v>
      </c>
      <c r="S302" t="s">
        <v>74</v>
      </c>
      <c r="T302" t="s">
        <v>74</v>
      </c>
      <c r="U302" t="s">
        <v>6256</v>
      </c>
      <c r="V302" t="s">
        <v>6257</v>
      </c>
      <c r="W302" t="s">
        <v>6258</v>
      </c>
      <c r="X302" t="s">
        <v>6259</v>
      </c>
      <c r="Y302" t="s">
        <v>6260</v>
      </c>
      <c r="Z302" t="s">
        <v>6261</v>
      </c>
      <c r="AA302" t="s">
        <v>6262</v>
      </c>
      <c r="AB302" t="s">
        <v>6263</v>
      </c>
      <c r="AC302" t="s">
        <v>74</v>
      </c>
      <c r="AD302" t="s">
        <v>74</v>
      </c>
      <c r="AE302" t="s">
        <v>74</v>
      </c>
      <c r="AF302" t="s">
        <v>74</v>
      </c>
      <c r="AG302">
        <v>61</v>
      </c>
      <c r="AH302">
        <v>15</v>
      </c>
      <c r="AI302">
        <v>15</v>
      </c>
      <c r="AJ302">
        <v>1</v>
      </c>
      <c r="AK302">
        <v>15</v>
      </c>
      <c r="AL302" t="s">
        <v>6264</v>
      </c>
      <c r="AM302" t="s">
        <v>6176</v>
      </c>
      <c r="AN302" t="s">
        <v>6265</v>
      </c>
      <c r="AO302" t="s">
        <v>6266</v>
      </c>
      <c r="AP302" t="s">
        <v>6267</v>
      </c>
      <c r="AQ302" t="s">
        <v>74</v>
      </c>
      <c r="AR302" t="s">
        <v>6268</v>
      </c>
      <c r="AS302" t="s">
        <v>6269</v>
      </c>
      <c r="AT302" t="s">
        <v>5544</v>
      </c>
      <c r="AU302">
        <v>2017</v>
      </c>
      <c r="AV302">
        <v>142</v>
      </c>
      <c r="AW302">
        <v>3</v>
      </c>
      <c r="AX302" t="s">
        <v>74</v>
      </c>
      <c r="AY302" t="s">
        <v>74</v>
      </c>
      <c r="AZ302" t="s">
        <v>74</v>
      </c>
      <c r="BA302" t="s">
        <v>74</v>
      </c>
      <c r="BB302">
        <v>1413</v>
      </c>
      <c r="BC302">
        <v>1427</v>
      </c>
      <c r="BD302" t="s">
        <v>74</v>
      </c>
      <c r="BE302" t="s">
        <v>6270</v>
      </c>
      <c r="BF302" t="str">
        <f>HYPERLINK("http://dx.doi.org/10.1121/1.5001056","http://dx.doi.org/10.1121/1.5001056")</f>
        <v>http://dx.doi.org/10.1121/1.5001056</v>
      </c>
      <c r="BG302" t="s">
        <v>74</v>
      </c>
      <c r="BH302" t="s">
        <v>74</v>
      </c>
      <c r="BI302">
        <v>15</v>
      </c>
      <c r="BJ302" t="s">
        <v>6271</v>
      </c>
      <c r="BK302" t="s">
        <v>101</v>
      </c>
      <c r="BL302" t="s">
        <v>6271</v>
      </c>
      <c r="BM302" t="s">
        <v>6272</v>
      </c>
      <c r="BN302">
        <v>28964059</v>
      </c>
      <c r="BO302" t="s">
        <v>74</v>
      </c>
      <c r="BP302" t="s">
        <v>74</v>
      </c>
      <c r="BQ302" t="s">
        <v>74</v>
      </c>
      <c r="BR302" t="s">
        <v>105</v>
      </c>
      <c r="BS302" t="s">
        <v>6273</v>
      </c>
      <c r="BT302" t="str">
        <f>HYPERLINK("https%3A%2F%2Fwww.webofscience.com%2Fwos%2Fwoscc%2Ffull-record%2FWOS:000412100700037","View Full Record in Web of Science")</f>
        <v>View Full Record in Web of Science</v>
      </c>
    </row>
    <row r="303" spans="1:72" x14ac:dyDescent="0.15">
      <c r="A303" t="s">
        <v>72</v>
      </c>
      <c r="B303" t="s">
        <v>6274</v>
      </c>
      <c r="C303" t="s">
        <v>74</v>
      </c>
      <c r="D303" t="s">
        <v>74</v>
      </c>
      <c r="E303" t="s">
        <v>74</v>
      </c>
      <c r="F303" t="s">
        <v>6275</v>
      </c>
      <c r="G303" t="s">
        <v>74</v>
      </c>
      <c r="H303" t="s">
        <v>74</v>
      </c>
      <c r="I303" t="s">
        <v>6276</v>
      </c>
      <c r="J303" t="s">
        <v>6277</v>
      </c>
      <c r="K303" t="s">
        <v>74</v>
      </c>
      <c r="L303" t="s">
        <v>74</v>
      </c>
      <c r="M303" t="s">
        <v>78</v>
      </c>
      <c r="N303" t="s">
        <v>79</v>
      </c>
      <c r="O303" t="s">
        <v>74</v>
      </c>
      <c r="P303" t="s">
        <v>74</v>
      </c>
      <c r="Q303" t="s">
        <v>74</v>
      </c>
      <c r="R303" t="s">
        <v>74</v>
      </c>
      <c r="S303" t="s">
        <v>74</v>
      </c>
      <c r="T303" t="s">
        <v>74</v>
      </c>
      <c r="U303" t="s">
        <v>6278</v>
      </c>
      <c r="V303" t="s">
        <v>6279</v>
      </c>
      <c r="W303" t="s">
        <v>6280</v>
      </c>
      <c r="X303" t="s">
        <v>6281</v>
      </c>
      <c r="Y303" t="s">
        <v>6282</v>
      </c>
      <c r="Z303" t="s">
        <v>6283</v>
      </c>
      <c r="AA303" t="s">
        <v>6284</v>
      </c>
      <c r="AB303" t="s">
        <v>6285</v>
      </c>
      <c r="AC303" t="s">
        <v>6286</v>
      </c>
      <c r="AD303" t="s">
        <v>6287</v>
      </c>
      <c r="AE303" t="s">
        <v>6288</v>
      </c>
      <c r="AF303" t="s">
        <v>74</v>
      </c>
      <c r="AG303">
        <v>91</v>
      </c>
      <c r="AH303">
        <v>34</v>
      </c>
      <c r="AI303">
        <v>36</v>
      </c>
      <c r="AJ303">
        <v>1</v>
      </c>
      <c r="AK303">
        <v>8</v>
      </c>
      <c r="AL303" t="s">
        <v>6289</v>
      </c>
      <c r="AM303" t="s">
        <v>6290</v>
      </c>
      <c r="AN303" t="s">
        <v>6291</v>
      </c>
      <c r="AO303" t="s">
        <v>6292</v>
      </c>
      <c r="AP303" t="s">
        <v>6293</v>
      </c>
      <c r="AQ303" t="s">
        <v>74</v>
      </c>
      <c r="AR303" t="s">
        <v>6294</v>
      </c>
      <c r="AS303" t="s">
        <v>6295</v>
      </c>
      <c r="AT303" t="s">
        <v>5544</v>
      </c>
      <c r="AU303">
        <v>2017</v>
      </c>
      <c r="AV303">
        <v>174</v>
      </c>
      <c r="AW303">
        <v>5</v>
      </c>
      <c r="AX303" t="s">
        <v>74</v>
      </c>
      <c r="AY303" t="s">
        <v>74</v>
      </c>
      <c r="AZ303" t="s">
        <v>74</v>
      </c>
      <c r="BA303" t="s">
        <v>74</v>
      </c>
      <c r="BB303">
        <v>803</v>
      </c>
      <c r="BC303">
        <v>816</v>
      </c>
      <c r="BD303" t="s">
        <v>74</v>
      </c>
      <c r="BE303" t="s">
        <v>6296</v>
      </c>
      <c r="BF303" t="str">
        <f>HYPERLINK("http://dx.doi.org/10.1144/jgs2016-152","http://dx.doi.org/10.1144/jgs2016-152")</f>
        <v>http://dx.doi.org/10.1144/jgs2016-152</v>
      </c>
      <c r="BG303" t="s">
        <v>74</v>
      </c>
      <c r="BH303" t="s">
        <v>74</v>
      </c>
      <c r="BI303">
        <v>14</v>
      </c>
      <c r="BJ303" t="s">
        <v>100</v>
      </c>
      <c r="BK303" t="s">
        <v>101</v>
      </c>
      <c r="BL303" t="s">
        <v>102</v>
      </c>
      <c r="BM303" t="s">
        <v>6297</v>
      </c>
      <c r="BN303" t="s">
        <v>74</v>
      </c>
      <c r="BO303" t="s">
        <v>74</v>
      </c>
      <c r="BP303" t="s">
        <v>74</v>
      </c>
      <c r="BQ303" t="s">
        <v>74</v>
      </c>
      <c r="BR303" t="s">
        <v>105</v>
      </c>
      <c r="BS303" t="s">
        <v>6298</v>
      </c>
      <c r="BT303" t="str">
        <f>HYPERLINK("https%3A%2F%2Fwww.webofscience.com%2Fwos%2Fwoscc%2Ffull-record%2FWOS:000412699500002","View Full Record in Web of Science")</f>
        <v>View Full Record in Web of Science</v>
      </c>
    </row>
    <row r="304" spans="1:72" x14ac:dyDescent="0.15">
      <c r="A304" t="s">
        <v>72</v>
      </c>
      <c r="B304" t="s">
        <v>6299</v>
      </c>
      <c r="C304" t="s">
        <v>74</v>
      </c>
      <c r="D304" t="s">
        <v>74</v>
      </c>
      <c r="E304" t="s">
        <v>74</v>
      </c>
      <c r="F304" t="s">
        <v>6300</v>
      </c>
      <c r="G304" t="s">
        <v>74</v>
      </c>
      <c r="H304" t="s">
        <v>74</v>
      </c>
      <c r="I304" t="s">
        <v>6301</v>
      </c>
      <c r="J304" t="s">
        <v>1303</v>
      </c>
      <c r="K304" t="s">
        <v>74</v>
      </c>
      <c r="L304" t="s">
        <v>74</v>
      </c>
      <c r="M304" t="s">
        <v>78</v>
      </c>
      <c r="N304" t="s">
        <v>79</v>
      </c>
      <c r="O304" t="s">
        <v>74</v>
      </c>
      <c r="P304" t="s">
        <v>74</v>
      </c>
      <c r="Q304" t="s">
        <v>74</v>
      </c>
      <c r="R304" t="s">
        <v>74</v>
      </c>
      <c r="S304" t="s">
        <v>74</v>
      </c>
      <c r="T304" t="s">
        <v>6302</v>
      </c>
      <c r="U304" t="s">
        <v>6303</v>
      </c>
      <c r="V304" t="s">
        <v>6304</v>
      </c>
      <c r="W304" t="s">
        <v>6305</v>
      </c>
      <c r="X304" t="s">
        <v>6306</v>
      </c>
      <c r="Y304" t="s">
        <v>6307</v>
      </c>
      <c r="Z304" t="s">
        <v>6308</v>
      </c>
      <c r="AA304" t="s">
        <v>6309</v>
      </c>
      <c r="AB304" t="s">
        <v>6310</v>
      </c>
      <c r="AC304" t="s">
        <v>6311</v>
      </c>
      <c r="AD304" t="s">
        <v>6312</v>
      </c>
      <c r="AE304" t="s">
        <v>6313</v>
      </c>
      <c r="AF304" t="s">
        <v>74</v>
      </c>
      <c r="AG304">
        <v>82</v>
      </c>
      <c r="AH304">
        <v>13</v>
      </c>
      <c r="AI304">
        <v>13</v>
      </c>
      <c r="AJ304">
        <v>0</v>
      </c>
      <c r="AK304">
        <v>17</v>
      </c>
      <c r="AL304" t="s">
        <v>728</v>
      </c>
      <c r="AM304" t="s">
        <v>729</v>
      </c>
      <c r="AN304" t="s">
        <v>730</v>
      </c>
      <c r="AO304" t="s">
        <v>1315</v>
      </c>
      <c r="AP304" t="s">
        <v>1316</v>
      </c>
      <c r="AQ304" t="s">
        <v>74</v>
      </c>
      <c r="AR304" t="s">
        <v>1317</v>
      </c>
      <c r="AS304" t="s">
        <v>1318</v>
      </c>
      <c r="AT304" t="s">
        <v>5544</v>
      </c>
      <c r="AU304">
        <v>2017</v>
      </c>
      <c r="AV304">
        <v>130</v>
      </c>
      <c r="AW304" t="s">
        <v>74</v>
      </c>
      <c r="AX304" t="s">
        <v>74</v>
      </c>
      <c r="AY304" t="s">
        <v>74</v>
      </c>
      <c r="AZ304" t="s">
        <v>74</v>
      </c>
      <c r="BA304" t="s">
        <v>74</v>
      </c>
      <c r="BB304">
        <v>264</v>
      </c>
      <c r="BC304">
        <v>274</v>
      </c>
      <c r="BD304" t="s">
        <v>74</v>
      </c>
      <c r="BE304" t="s">
        <v>6314</v>
      </c>
      <c r="BF304" t="str">
        <f>HYPERLINK("http://dx.doi.org/10.1016/j.marenvres.2017.08.003","http://dx.doi.org/10.1016/j.marenvres.2017.08.003")</f>
        <v>http://dx.doi.org/10.1016/j.marenvres.2017.08.003</v>
      </c>
      <c r="BG304" t="s">
        <v>74</v>
      </c>
      <c r="BH304" t="s">
        <v>74</v>
      </c>
      <c r="BI304">
        <v>11</v>
      </c>
      <c r="BJ304" t="s">
        <v>1320</v>
      </c>
      <c r="BK304" t="s">
        <v>101</v>
      </c>
      <c r="BL304" t="s">
        <v>1321</v>
      </c>
      <c r="BM304" t="s">
        <v>6315</v>
      </c>
      <c r="BN304">
        <v>28844394</v>
      </c>
      <c r="BO304" t="s">
        <v>74</v>
      </c>
      <c r="BP304" t="s">
        <v>74</v>
      </c>
      <c r="BQ304" t="s">
        <v>74</v>
      </c>
      <c r="BR304" t="s">
        <v>105</v>
      </c>
      <c r="BS304" t="s">
        <v>6316</v>
      </c>
      <c r="BT304" t="str">
        <f>HYPERLINK("https%3A%2F%2Fwww.webofscience.com%2Fwos%2Fwoscc%2Ffull-record%2FWOS:000413382600029","View Full Record in Web of Science")</f>
        <v>View Full Record in Web of Science</v>
      </c>
    </row>
    <row r="305" spans="1:72" x14ac:dyDescent="0.15">
      <c r="A305" t="s">
        <v>72</v>
      </c>
      <c r="B305" t="s">
        <v>6317</v>
      </c>
      <c r="C305" t="s">
        <v>74</v>
      </c>
      <c r="D305" t="s">
        <v>74</v>
      </c>
      <c r="E305" t="s">
        <v>74</v>
      </c>
      <c r="F305" t="s">
        <v>6318</v>
      </c>
      <c r="G305" t="s">
        <v>74</v>
      </c>
      <c r="H305" t="s">
        <v>74</v>
      </c>
      <c r="I305" t="s">
        <v>6319</v>
      </c>
      <c r="J305" t="s">
        <v>2096</v>
      </c>
      <c r="K305" t="s">
        <v>74</v>
      </c>
      <c r="L305" t="s">
        <v>74</v>
      </c>
      <c r="M305" t="s">
        <v>78</v>
      </c>
      <c r="N305" t="s">
        <v>79</v>
      </c>
      <c r="O305" t="s">
        <v>74</v>
      </c>
      <c r="P305" t="s">
        <v>74</v>
      </c>
      <c r="Q305" t="s">
        <v>74</v>
      </c>
      <c r="R305" t="s">
        <v>74</v>
      </c>
      <c r="S305" t="s">
        <v>74</v>
      </c>
      <c r="T305" t="s">
        <v>6320</v>
      </c>
      <c r="U305" t="s">
        <v>6321</v>
      </c>
      <c r="V305" t="s">
        <v>6322</v>
      </c>
      <c r="W305" t="s">
        <v>6323</v>
      </c>
      <c r="X305" t="s">
        <v>6324</v>
      </c>
      <c r="Y305" t="s">
        <v>6325</v>
      </c>
      <c r="Z305" t="s">
        <v>6326</v>
      </c>
      <c r="AA305" t="s">
        <v>6327</v>
      </c>
      <c r="AB305" t="s">
        <v>6328</v>
      </c>
      <c r="AC305" t="s">
        <v>6329</v>
      </c>
      <c r="AD305" t="s">
        <v>6329</v>
      </c>
      <c r="AE305" t="s">
        <v>6330</v>
      </c>
      <c r="AF305" t="s">
        <v>74</v>
      </c>
      <c r="AG305">
        <v>40</v>
      </c>
      <c r="AH305">
        <v>7</v>
      </c>
      <c r="AI305">
        <v>7</v>
      </c>
      <c r="AJ305">
        <v>1</v>
      </c>
      <c r="AK305">
        <v>3</v>
      </c>
      <c r="AL305" t="s">
        <v>502</v>
      </c>
      <c r="AM305" t="s">
        <v>372</v>
      </c>
      <c r="AN305" t="s">
        <v>503</v>
      </c>
      <c r="AO305" t="s">
        <v>2109</v>
      </c>
      <c r="AP305" t="s">
        <v>2110</v>
      </c>
      <c r="AQ305" t="s">
        <v>74</v>
      </c>
      <c r="AR305" t="s">
        <v>2111</v>
      </c>
      <c r="AS305" t="s">
        <v>2112</v>
      </c>
      <c r="AT305" t="s">
        <v>5838</v>
      </c>
      <c r="AU305">
        <v>2017</v>
      </c>
      <c r="AV305">
        <v>391</v>
      </c>
      <c r="AW305" t="s">
        <v>74</v>
      </c>
      <c r="AX305" t="s">
        <v>74</v>
      </c>
      <c r="AY305" t="s">
        <v>74</v>
      </c>
      <c r="AZ305" t="s">
        <v>74</v>
      </c>
      <c r="BA305" t="s">
        <v>74</v>
      </c>
      <c r="BB305">
        <v>13</v>
      </c>
      <c r="BC305">
        <v>19</v>
      </c>
      <c r="BD305" t="s">
        <v>74</v>
      </c>
      <c r="BE305" t="s">
        <v>6331</v>
      </c>
      <c r="BF305" t="str">
        <f>HYPERLINK("http://dx.doi.org/10.1016/j.margeo.2017.07.016","http://dx.doi.org/10.1016/j.margeo.2017.07.016")</f>
        <v>http://dx.doi.org/10.1016/j.margeo.2017.07.016</v>
      </c>
      <c r="BG305" t="s">
        <v>74</v>
      </c>
      <c r="BH305" t="s">
        <v>74</v>
      </c>
      <c r="BI305">
        <v>7</v>
      </c>
      <c r="BJ305" t="s">
        <v>2114</v>
      </c>
      <c r="BK305" t="s">
        <v>101</v>
      </c>
      <c r="BL305" t="s">
        <v>2115</v>
      </c>
      <c r="BM305" t="s">
        <v>6332</v>
      </c>
      <c r="BN305" t="s">
        <v>74</v>
      </c>
      <c r="BO305" t="s">
        <v>74</v>
      </c>
      <c r="BP305" t="s">
        <v>74</v>
      </c>
      <c r="BQ305" t="s">
        <v>74</v>
      </c>
      <c r="BR305" t="s">
        <v>105</v>
      </c>
      <c r="BS305" t="s">
        <v>6333</v>
      </c>
      <c r="BT305" t="str">
        <f>HYPERLINK("https%3A%2F%2Fwww.webofscience.com%2Fwos%2Fwoscc%2Ffull-record%2FWOS:000413384400002","View Full Record in Web of Science")</f>
        <v>View Full Record in Web of Science</v>
      </c>
    </row>
    <row r="306" spans="1:72" x14ac:dyDescent="0.15">
      <c r="A306" t="s">
        <v>72</v>
      </c>
      <c r="B306" t="s">
        <v>6334</v>
      </c>
      <c r="C306" t="s">
        <v>74</v>
      </c>
      <c r="D306" t="s">
        <v>74</v>
      </c>
      <c r="E306" t="s">
        <v>74</v>
      </c>
      <c r="F306" t="s">
        <v>6335</v>
      </c>
      <c r="G306" t="s">
        <v>74</v>
      </c>
      <c r="H306" t="s">
        <v>74</v>
      </c>
      <c r="I306" t="s">
        <v>6336</v>
      </c>
      <c r="J306" t="s">
        <v>1602</v>
      </c>
      <c r="K306" t="s">
        <v>74</v>
      </c>
      <c r="L306" t="s">
        <v>74</v>
      </c>
      <c r="M306" t="s">
        <v>78</v>
      </c>
      <c r="N306" t="s">
        <v>79</v>
      </c>
      <c r="O306" t="s">
        <v>74</v>
      </c>
      <c r="P306" t="s">
        <v>74</v>
      </c>
      <c r="Q306" t="s">
        <v>74</v>
      </c>
      <c r="R306" t="s">
        <v>74</v>
      </c>
      <c r="S306" t="s">
        <v>74</v>
      </c>
      <c r="T306" t="s">
        <v>6337</v>
      </c>
      <c r="U306" t="s">
        <v>6338</v>
      </c>
      <c r="V306" t="s">
        <v>6339</v>
      </c>
      <c r="W306" t="s">
        <v>6340</v>
      </c>
      <c r="X306" t="s">
        <v>6341</v>
      </c>
      <c r="Y306" t="s">
        <v>6342</v>
      </c>
      <c r="Z306" t="s">
        <v>6343</v>
      </c>
      <c r="AA306" t="s">
        <v>6344</v>
      </c>
      <c r="AB306" t="s">
        <v>6345</v>
      </c>
      <c r="AC306" t="s">
        <v>6346</v>
      </c>
      <c r="AD306" t="s">
        <v>6347</v>
      </c>
      <c r="AE306" t="s">
        <v>6348</v>
      </c>
      <c r="AF306" t="s">
        <v>74</v>
      </c>
      <c r="AG306">
        <v>109</v>
      </c>
      <c r="AH306">
        <v>24</v>
      </c>
      <c r="AI306">
        <v>26</v>
      </c>
      <c r="AJ306">
        <v>0</v>
      </c>
      <c r="AK306">
        <v>19</v>
      </c>
      <c r="AL306" t="s">
        <v>91</v>
      </c>
      <c r="AM306" t="s">
        <v>92</v>
      </c>
      <c r="AN306" t="s">
        <v>93</v>
      </c>
      <c r="AO306" t="s">
        <v>1615</v>
      </c>
      <c r="AP306" t="s">
        <v>1616</v>
      </c>
      <c r="AQ306" t="s">
        <v>74</v>
      </c>
      <c r="AR306" t="s">
        <v>1602</v>
      </c>
      <c r="AS306" t="s">
        <v>1617</v>
      </c>
      <c r="AT306" t="s">
        <v>5544</v>
      </c>
      <c r="AU306">
        <v>2017</v>
      </c>
      <c r="AV306">
        <v>32</v>
      </c>
      <c r="AW306">
        <v>9</v>
      </c>
      <c r="AX306" t="s">
        <v>74</v>
      </c>
      <c r="AY306" t="s">
        <v>74</v>
      </c>
      <c r="AZ306" t="s">
        <v>74</v>
      </c>
      <c r="BA306" t="s">
        <v>74</v>
      </c>
      <c r="BB306">
        <v>948</v>
      </c>
      <c r="BC306">
        <v>965</v>
      </c>
      <c r="BD306" t="s">
        <v>74</v>
      </c>
      <c r="BE306" t="s">
        <v>6349</v>
      </c>
      <c r="BF306" t="str">
        <f>HYPERLINK("http://dx.doi.org/10.1002/2017PA003095","http://dx.doi.org/10.1002/2017PA003095")</f>
        <v>http://dx.doi.org/10.1002/2017PA003095</v>
      </c>
      <c r="BG306" t="s">
        <v>74</v>
      </c>
      <c r="BH306" t="s">
        <v>74</v>
      </c>
      <c r="BI306">
        <v>18</v>
      </c>
      <c r="BJ306" t="s">
        <v>1619</v>
      </c>
      <c r="BK306" t="s">
        <v>101</v>
      </c>
      <c r="BL306" t="s">
        <v>1620</v>
      </c>
      <c r="BM306" t="s">
        <v>6350</v>
      </c>
      <c r="BN306" t="s">
        <v>74</v>
      </c>
      <c r="BO306" t="s">
        <v>74</v>
      </c>
      <c r="BP306" t="s">
        <v>74</v>
      </c>
      <c r="BQ306" t="s">
        <v>74</v>
      </c>
      <c r="BR306" t="s">
        <v>105</v>
      </c>
      <c r="BS306" t="s">
        <v>6351</v>
      </c>
      <c r="BT306" t="str">
        <f>HYPERLINK("https%3A%2F%2Fwww.webofscience.com%2Fwos%2Fwoscc%2Ffull-record%2FWOS:000412923100001","View Full Record in Web of Science")</f>
        <v>View Full Record in Web of Science</v>
      </c>
    </row>
    <row r="307" spans="1:72" x14ac:dyDescent="0.15">
      <c r="A307" t="s">
        <v>72</v>
      </c>
      <c r="B307" t="s">
        <v>6352</v>
      </c>
      <c r="C307" t="s">
        <v>74</v>
      </c>
      <c r="D307" t="s">
        <v>74</v>
      </c>
      <c r="E307" t="s">
        <v>74</v>
      </c>
      <c r="F307" t="s">
        <v>6353</v>
      </c>
      <c r="G307" t="s">
        <v>74</v>
      </c>
      <c r="H307" t="s">
        <v>74</v>
      </c>
      <c r="I307" t="s">
        <v>6354</v>
      </c>
      <c r="J307" t="s">
        <v>6355</v>
      </c>
      <c r="K307" t="s">
        <v>74</v>
      </c>
      <c r="L307" t="s">
        <v>74</v>
      </c>
      <c r="M307" t="s">
        <v>78</v>
      </c>
      <c r="N307" t="s">
        <v>79</v>
      </c>
      <c r="O307" t="s">
        <v>74</v>
      </c>
      <c r="P307" t="s">
        <v>74</v>
      </c>
      <c r="Q307" t="s">
        <v>74</v>
      </c>
      <c r="R307" t="s">
        <v>74</v>
      </c>
      <c r="S307" t="s">
        <v>74</v>
      </c>
      <c r="T307" t="s">
        <v>74</v>
      </c>
      <c r="U307" t="s">
        <v>6356</v>
      </c>
      <c r="V307" t="s">
        <v>6357</v>
      </c>
      <c r="W307" t="s">
        <v>6358</v>
      </c>
      <c r="X307" t="s">
        <v>6359</v>
      </c>
      <c r="Y307" t="s">
        <v>6360</v>
      </c>
      <c r="Z307" t="s">
        <v>6361</v>
      </c>
      <c r="AA307" t="s">
        <v>6362</v>
      </c>
      <c r="AB307" t="s">
        <v>6363</v>
      </c>
      <c r="AC307" t="s">
        <v>6364</v>
      </c>
      <c r="AD307" t="s">
        <v>6365</v>
      </c>
      <c r="AE307" t="s">
        <v>6366</v>
      </c>
      <c r="AF307" t="s">
        <v>74</v>
      </c>
      <c r="AG307">
        <v>83</v>
      </c>
      <c r="AH307">
        <v>22</v>
      </c>
      <c r="AI307">
        <v>24</v>
      </c>
      <c r="AJ307">
        <v>1</v>
      </c>
      <c r="AK307">
        <v>23</v>
      </c>
      <c r="AL307" t="s">
        <v>1270</v>
      </c>
      <c r="AM307" t="s">
        <v>209</v>
      </c>
      <c r="AN307" t="s">
        <v>1682</v>
      </c>
      <c r="AO307" t="s">
        <v>6367</v>
      </c>
      <c r="AP307" t="s">
        <v>6368</v>
      </c>
      <c r="AQ307" t="s">
        <v>74</v>
      </c>
      <c r="AR307" t="s">
        <v>6369</v>
      </c>
      <c r="AS307" t="s">
        <v>6370</v>
      </c>
      <c r="AT307" t="s">
        <v>5544</v>
      </c>
      <c r="AU307">
        <v>2017</v>
      </c>
      <c r="AV307">
        <v>53</v>
      </c>
      <c r="AW307">
        <v>5</v>
      </c>
      <c r="AX307" t="s">
        <v>74</v>
      </c>
      <c r="AY307" t="s">
        <v>74</v>
      </c>
      <c r="AZ307" t="s">
        <v>74</v>
      </c>
      <c r="BA307" t="s">
        <v>74</v>
      </c>
      <c r="BB307">
        <v>459</v>
      </c>
      <c r="BC307">
        <v>478</v>
      </c>
      <c r="BD307" t="s">
        <v>74</v>
      </c>
      <c r="BE307" t="s">
        <v>6371</v>
      </c>
      <c r="BF307" t="str">
        <f>HYPERLINK("http://dx.doi.org/10.1017/S0032247417000390","http://dx.doi.org/10.1017/S0032247417000390")</f>
        <v>http://dx.doi.org/10.1017/S0032247417000390</v>
      </c>
      <c r="BG307" t="s">
        <v>74</v>
      </c>
      <c r="BH307" t="s">
        <v>74</v>
      </c>
      <c r="BI307">
        <v>20</v>
      </c>
      <c r="BJ307" t="s">
        <v>1902</v>
      </c>
      <c r="BK307" t="s">
        <v>765</v>
      </c>
      <c r="BL307" t="s">
        <v>1048</v>
      </c>
      <c r="BM307" t="s">
        <v>6372</v>
      </c>
      <c r="BN307" t="s">
        <v>74</v>
      </c>
      <c r="BO307" t="s">
        <v>511</v>
      </c>
      <c r="BP307" t="s">
        <v>74</v>
      </c>
      <c r="BQ307" t="s">
        <v>74</v>
      </c>
      <c r="BR307" t="s">
        <v>105</v>
      </c>
      <c r="BS307" t="s">
        <v>6373</v>
      </c>
      <c r="BT307" t="str">
        <f>HYPERLINK("https%3A%2F%2Fwww.webofscience.com%2Fwos%2Fwoscc%2Ffull-record%2FWOS:000413169400001","View Full Record in Web of Science")</f>
        <v>View Full Record in Web of Science</v>
      </c>
    </row>
    <row r="308" spans="1:72" x14ac:dyDescent="0.15">
      <c r="A308" t="s">
        <v>72</v>
      </c>
      <c r="B308" t="s">
        <v>6374</v>
      </c>
      <c r="C308" t="s">
        <v>74</v>
      </c>
      <c r="D308" t="s">
        <v>74</v>
      </c>
      <c r="E308" t="s">
        <v>74</v>
      </c>
      <c r="F308" t="s">
        <v>6375</v>
      </c>
      <c r="G308" t="s">
        <v>74</v>
      </c>
      <c r="H308" t="s">
        <v>74</v>
      </c>
      <c r="I308" t="s">
        <v>6376</v>
      </c>
      <c r="J308" t="s">
        <v>6355</v>
      </c>
      <c r="K308" t="s">
        <v>74</v>
      </c>
      <c r="L308" t="s">
        <v>74</v>
      </c>
      <c r="M308" t="s">
        <v>78</v>
      </c>
      <c r="N308" t="s">
        <v>79</v>
      </c>
      <c r="O308" t="s">
        <v>74</v>
      </c>
      <c r="P308" t="s">
        <v>74</v>
      </c>
      <c r="Q308" t="s">
        <v>74</v>
      </c>
      <c r="R308" t="s">
        <v>74</v>
      </c>
      <c r="S308" t="s">
        <v>74</v>
      </c>
      <c r="T308" t="s">
        <v>74</v>
      </c>
      <c r="U308" t="s">
        <v>6377</v>
      </c>
      <c r="V308" t="s">
        <v>6378</v>
      </c>
      <c r="W308" t="s">
        <v>6379</v>
      </c>
      <c r="X308" t="s">
        <v>6380</v>
      </c>
      <c r="Y308" t="s">
        <v>6381</v>
      </c>
      <c r="Z308" t="s">
        <v>6382</v>
      </c>
      <c r="AA308" t="s">
        <v>6383</v>
      </c>
      <c r="AB308" t="s">
        <v>6384</v>
      </c>
      <c r="AC308" t="s">
        <v>6385</v>
      </c>
      <c r="AD308" t="s">
        <v>6386</v>
      </c>
      <c r="AE308" t="s">
        <v>6387</v>
      </c>
      <c r="AF308" t="s">
        <v>74</v>
      </c>
      <c r="AG308">
        <v>45</v>
      </c>
      <c r="AH308">
        <v>2</v>
      </c>
      <c r="AI308">
        <v>3</v>
      </c>
      <c r="AJ308">
        <v>2</v>
      </c>
      <c r="AK308">
        <v>33</v>
      </c>
      <c r="AL308" t="s">
        <v>1270</v>
      </c>
      <c r="AM308" t="s">
        <v>209</v>
      </c>
      <c r="AN308" t="s">
        <v>1682</v>
      </c>
      <c r="AO308" t="s">
        <v>6367</v>
      </c>
      <c r="AP308" t="s">
        <v>6368</v>
      </c>
      <c r="AQ308" t="s">
        <v>74</v>
      </c>
      <c r="AR308" t="s">
        <v>6369</v>
      </c>
      <c r="AS308" t="s">
        <v>6370</v>
      </c>
      <c r="AT308" t="s">
        <v>5544</v>
      </c>
      <c r="AU308">
        <v>2017</v>
      </c>
      <c r="AV308">
        <v>53</v>
      </c>
      <c r="AW308">
        <v>5</v>
      </c>
      <c r="AX308" t="s">
        <v>74</v>
      </c>
      <c r="AY308" t="s">
        <v>74</v>
      </c>
      <c r="AZ308" t="s">
        <v>74</v>
      </c>
      <c r="BA308" t="s">
        <v>74</v>
      </c>
      <c r="BB308">
        <v>489</v>
      </c>
      <c r="BC308">
        <v>497</v>
      </c>
      <c r="BD308" t="s">
        <v>74</v>
      </c>
      <c r="BE308" t="s">
        <v>6388</v>
      </c>
      <c r="BF308" t="str">
        <f>HYPERLINK("http://dx.doi.org/10.1017/S0032247417000419","http://dx.doi.org/10.1017/S0032247417000419")</f>
        <v>http://dx.doi.org/10.1017/S0032247417000419</v>
      </c>
      <c r="BG308" t="s">
        <v>74</v>
      </c>
      <c r="BH308" t="s">
        <v>74</v>
      </c>
      <c r="BI308">
        <v>9</v>
      </c>
      <c r="BJ308" t="s">
        <v>1902</v>
      </c>
      <c r="BK308" t="s">
        <v>765</v>
      </c>
      <c r="BL308" t="s">
        <v>1048</v>
      </c>
      <c r="BM308" t="s">
        <v>6372</v>
      </c>
      <c r="BN308" t="s">
        <v>74</v>
      </c>
      <c r="BO308" t="s">
        <v>74</v>
      </c>
      <c r="BP308" t="s">
        <v>74</v>
      </c>
      <c r="BQ308" t="s">
        <v>74</v>
      </c>
      <c r="BR308" t="s">
        <v>105</v>
      </c>
      <c r="BS308" t="s">
        <v>6389</v>
      </c>
      <c r="BT308" t="str">
        <f>HYPERLINK("https%3A%2F%2Fwww.webofscience.com%2Fwos%2Fwoscc%2Ffull-record%2FWOS:000413169400003","View Full Record in Web of Science")</f>
        <v>View Full Record in Web of Science</v>
      </c>
    </row>
    <row r="309" spans="1:72" x14ac:dyDescent="0.15">
      <c r="A309" t="s">
        <v>72</v>
      </c>
      <c r="B309" t="s">
        <v>6390</v>
      </c>
      <c r="C309" t="s">
        <v>74</v>
      </c>
      <c r="D309" t="s">
        <v>74</v>
      </c>
      <c r="E309" t="s">
        <v>74</v>
      </c>
      <c r="F309" t="s">
        <v>6391</v>
      </c>
      <c r="G309" t="s">
        <v>74</v>
      </c>
      <c r="H309" t="s">
        <v>74</v>
      </c>
      <c r="I309" t="s">
        <v>6392</v>
      </c>
      <c r="J309" t="s">
        <v>6355</v>
      </c>
      <c r="K309" t="s">
        <v>74</v>
      </c>
      <c r="L309" t="s">
        <v>74</v>
      </c>
      <c r="M309" t="s">
        <v>78</v>
      </c>
      <c r="N309" t="s">
        <v>79</v>
      </c>
      <c r="O309" t="s">
        <v>74</v>
      </c>
      <c r="P309" t="s">
        <v>74</v>
      </c>
      <c r="Q309" t="s">
        <v>74</v>
      </c>
      <c r="R309" t="s">
        <v>74</v>
      </c>
      <c r="S309" t="s">
        <v>74</v>
      </c>
      <c r="T309" t="s">
        <v>74</v>
      </c>
      <c r="U309" t="s">
        <v>6393</v>
      </c>
      <c r="V309" t="s">
        <v>6394</v>
      </c>
      <c r="W309" t="s">
        <v>6395</v>
      </c>
      <c r="X309" t="s">
        <v>1308</v>
      </c>
      <c r="Y309" t="s">
        <v>6396</v>
      </c>
      <c r="Z309" t="s">
        <v>6397</v>
      </c>
      <c r="AA309" t="s">
        <v>6398</v>
      </c>
      <c r="AB309" t="s">
        <v>6399</v>
      </c>
      <c r="AC309" t="s">
        <v>74</v>
      </c>
      <c r="AD309" t="s">
        <v>74</v>
      </c>
      <c r="AE309" t="s">
        <v>74</v>
      </c>
      <c r="AF309" t="s">
        <v>74</v>
      </c>
      <c r="AG309">
        <v>59</v>
      </c>
      <c r="AH309">
        <v>8</v>
      </c>
      <c r="AI309">
        <v>8</v>
      </c>
      <c r="AJ309">
        <v>2</v>
      </c>
      <c r="AK309">
        <v>15</v>
      </c>
      <c r="AL309" t="s">
        <v>1270</v>
      </c>
      <c r="AM309" t="s">
        <v>286</v>
      </c>
      <c r="AN309" t="s">
        <v>1271</v>
      </c>
      <c r="AO309" t="s">
        <v>6367</v>
      </c>
      <c r="AP309" t="s">
        <v>6368</v>
      </c>
      <c r="AQ309" t="s">
        <v>74</v>
      </c>
      <c r="AR309" t="s">
        <v>6369</v>
      </c>
      <c r="AS309" t="s">
        <v>6370</v>
      </c>
      <c r="AT309" t="s">
        <v>5544</v>
      </c>
      <c r="AU309">
        <v>2017</v>
      </c>
      <c r="AV309">
        <v>53</v>
      </c>
      <c r="AW309">
        <v>5</v>
      </c>
      <c r="AX309" t="s">
        <v>74</v>
      </c>
      <c r="AY309" t="s">
        <v>74</v>
      </c>
      <c r="AZ309" t="s">
        <v>74</v>
      </c>
      <c r="BA309" t="s">
        <v>74</v>
      </c>
      <c r="BB309">
        <v>534</v>
      </c>
      <c r="BC309">
        <v>549</v>
      </c>
      <c r="BD309" t="s">
        <v>74</v>
      </c>
      <c r="BE309" t="s">
        <v>6400</v>
      </c>
      <c r="BF309" t="str">
        <f>HYPERLINK("http://dx.doi.org/10.1017/S003224741700050X","http://dx.doi.org/10.1017/S003224741700050X")</f>
        <v>http://dx.doi.org/10.1017/S003224741700050X</v>
      </c>
      <c r="BG309" t="s">
        <v>74</v>
      </c>
      <c r="BH309" t="s">
        <v>74</v>
      </c>
      <c r="BI309">
        <v>16</v>
      </c>
      <c r="BJ309" t="s">
        <v>1902</v>
      </c>
      <c r="BK309" t="s">
        <v>765</v>
      </c>
      <c r="BL309" t="s">
        <v>1048</v>
      </c>
      <c r="BM309" t="s">
        <v>6372</v>
      </c>
      <c r="BN309" t="s">
        <v>74</v>
      </c>
      <c r="BO309" t="s">
        <v>74</v>
      </c>
      <c r="BP309" t="s">
        <v>74</v>
      </c>
      <c r="BQ309" t="s">
        <v>74</v>
      </c>
      <c r="BR309" t="s">
        <v>105</v>
      </c>
      <c r="BS309" t="s">
        <v>6401</v>
      </c>
      <c r="BT309" t="str">
        <f>HYPERLINK("https%3A%2F%2Fwww.webofscience.com%2Fwos%2Fwoscc%2Ffull-record%2FWOS:000413169400007","View Full Record in Web of Science")</f>
        <v>View Full Record in Web of Science</v>
      </c>
    </row>
    <row r="310" spans="1:72" x14ac:dyDescent="0.15">
      <c r="A310" t="s">
        <v>72</v>
      </c>
      <c r="B310" t="s">
        <v>6402</v>
      </c>
      <c r="C310" t="s">
        <v>74</v>
      </c>
      <c r="D310" t="s">
        <v>74</v>
      </c>
      <c r="E310" t="s">
        <v>74</v>
      </c>
      <c r="F310" t="s">
        <v>6403</v>
      </c>
      <c r="G310" t="s">
        <v>74</v>
      </c>
      <c r="H310" t="s">
        <v>74</v>
      </c>
      <c r="I310" t="s">
        <v>6404</v>
      </c>
      <c r="J310" t="s">
        <v>6405</v>
      </c>
      <c r="K310" t="s">
        <v>74</v>
      </c>
      <c r="L310" t="s">
        <v>74</v>
      </c>
      <c r="M310" t="s">
        <v>78</v>
      </c>
      <c r="N310" t="s">
        <v>79</v>
      </c>
      <c r="O310" t="s">
        <v>74</v>
      </c>
      <c r="P310" t="s">
        <v>74</v>
      </c>
      <c r="Q310" t="s">
        <v>74</v>
      </c>
      <c r="R310" t="s">
        <v>74</v>
      </c>
      <c r="S310" t="s">
        <v>74</v>
      </c>
      <c r="T310" t="s">
        <v>6406</v>
      </c>
      <c r="U310" t="s">
        <v>6407</v>
      </c>
      <c r="V310" t="s">
        <v>6408</v>
      </c>
      <c r="W310" t="s">
        <v>6409</v>
      </c>
      <c r="X310" t="s">
        <v>5986</v>
      </c>
      <c r="Y310" t="s">
        <v>6410</v>
      </c>
      <c r="Z310" t="s">
        <v>6411</v>
      </c>
      <c r="AA310" t="s">
        <v>6412</v>
      </c>
      <c r="AB310" t="s">
        <v>74</v>
      </c>
      <c r="AC310" t="s">
        <v>74</v>
      </c>
      <c r="AD310" t="s">
        <v>74</v>
      </c>
      <c r="AE310" t="s">
        <v>74</v>
      </c>
      <c r="AF310" t="s">
        <v>74</v>
      </c>
      <c r="AG310">
        <v>23</v>
      </c>
      <c r="AH310">
        <v>2</v>
      </c>
      <c r="AI310">
        <v>2</v>
      </c>
      <c r="AJ310">
        <v>0</v>
      </c>
      <c r="AK310">
        <v>2</v>
      </c>
      <c r="AL310" t="s">
        <v>5970</v>
      </c>
      <c r="AM310" t="s">
        <v>209</v>
      </c>
      <c r="AN310" t="s">
        <v>5971</v>
      </c>
      <c r="AO310" t="s">
        <v>6413</v>
      </c>
      <c r="AP310" t="s">
        <v>6414</v>
      </c>
      <c r="AQ310" t="s">
        <v>74</v>
      </c>
      <c r="AR310" t="s">
        <v>6415</v>
      </c>
      <c r="AS310" t="s">
        <v>6416</v>
      </c>
      <c r="AT310" t="s">
        <v>5544</v>
      </c>
      <c r="AU310">
        <v>2017</v>
      </c>
      <c r="AV310">
        <v>59</v>
      </c>
      <c r="AW310">
        <v>5</v>
      </c>
      <c r="AX310" t="s">
        <v>74</v>
      </c>
      <c r="AY310" t="s">
        <v>74</v>
      </c>
      <c r="AZ310" t="s">
        <v>74</v>
      </c>
      <c r="BA310" t="s">
        <v>74</v>
      </c>
      <c r="BB310">
        <v>540</v>
      </c>
      <c r="BC310">
        <v>546</v>
      </c>
      <c r="BD310" t="s">
        <v>74</v>
      </c>
      <c r="BE310" t="s">
        <v>6417</v>
      </c>
      <c r="BF310" t="str">
        <f>HYPERLINK("http://dx.doi.org/10.1134/S1066362217050174","http://dx.doi.org/10.1134/S1066362217050174")</f>
        <v>http://dx.doi.org/10.1134/S1066362217050174</v>
      </c>
      <c r="BG310" t="s">
        <v>74</v>
      </c>
      <c r="BH310" t="s">
        <v>74</v>
      </c>
      <c r="BI310">
        <v>7</v>
      </c>
      <c r="BJ310" t="s">
        <v>6418</v>
      </c>
      <c r="BK310" t="s">
        <v>3172</v>
      </c>
      <c r="BL310" t="s">
        <v>218</v>
      </c>
      <c r="BM310" t="s">
        <v>6419</v>
      </c>
      <c r="BN310" t="s">
        <v>74</v>
      </c>
      <c r="BO310" t="s">
        <v>74</v>
      </c>
      <c r="BP310" t="s">
        <v>74</v>
      </c>
      <c r="BQ310" t="s">
        <v>74</v>
      </c>
      <c r="BR310" t="s">
        <v>105</v>
      </c>
      <c r="BS310" t="s">
        <v>6420</v>
      </c>
      <c r="BT310" t="str">
        <f>HYPERLINK("https%3A%2F%2Fwww.webofscience.com%2Fwos%2Fwoscc%2Ffull-record%2FWOS:000413458000017","View Full Record in Web of Science")</f>
        <v>View Full Record in Web of Science</v>
      </c>
    </row>
    <row r="311" spans="1:72" x14ac:dyDescent="0.15">
      <c r="A311" t="s">
        <v>72</v>
      </c>
      <c r="B311" t="s">
        <v>6421</v>
      </c>
      <c r="C311" t="s">
        <v>74</v>
      </c>
      <c r="D311" t="s">
        <v>74</v>
      </c>
      <c r="E311" t="s">
        <v>74</v>
      </c>
      <c r="F311" t="s">
        <v>6422</v>
      </c>
      <c r="G311" t="s">
        <v>74</v>
      </c>
      <c r="H311" t="s">
        <v>74</v>
      </c>
      <c r="I311" t="s">
        <v>6423</v>
      </c>
      <c r="J311" t="s">
        <v>6424</v>
      </c>
      <c r="K311" t="s">
        <v>74</v>
      </c>
      <c r="L311" t="s">
        <v>74</v>
      </c>
      <c r="M311" t="s">
        <v>78</v>
      </c>
      <c r="N311" t="s">
        <v>79</v>
      </c>
      <c r="O311" t="s">
        <v>74</v>
      </c>
      <c r="P311" t="s">
        <v>74</v>
      </c>
      <c r="Q311" t="s">
        <v>74</v>
      </c>
      <c r="R311" t="s">
        <v>74</v>
      </c>
      <c r="S311" t="s">
        <v>74</v>
      </c>
      <c r="T311" t="s">
        <v>6425</v>
      </c>
      <c r="U311" t="s">
        <v>6426</v>
      </c>
      <c r="V311" t="s">
        <v>6427</v>
      </c>
      <c r="W311" t="s">
        <v>6428</v>
      </c>
      <c r="X311" t="s">
        <v>6429</v>
      </c>
      <c r="Y311" t="s">
        <v>6430</v>
      </c>
      <c r="Z311" t="s">
        <v>6431</v>
      </c>
      <c r="AA311" t="s">
        <v>6432</v>
      </c>
      <c r="AB311" t="s">
        <v>6433</v>
      </c>
      <c r="AC311" t="s">
        <v>6434</v>
      </c>
      <c r="AD311" t="s">
        <v>6435</v>
      </c>
      <c r="AE311" t="s">
        <v>6436</v>
      </c>
      <c r="AF311" t="s">
        <v>74</v>
      </c>
      <c r="AG311">
        <v>65</v>
      </c>
      <c r="AH311">
        <v>10</v>
      </c>
      <c r="AI311">
        <v>11</v>
      </c>
      <c r="AJ311">
        <v>4</v>
      </c>
      <c r="AK311">
        <v>27</v>
      </c>
      <c r="AL311" t="s">
        <v>6437</v>
      </c>
      <c r="AM311" t="s">
        <v>3486</v>
      </c>
      <c r="AN311" t="s">
        <v>3487</v>
      </c>
      <c r="AO311" t="s">
        <v>6438</v>
      </c>
      <c r="AP311" t="s">
        <v>74</v>
      </c>
      <c r="AQ311" t="s">
        <v>74</v>
      </c>
      <c r="AR311" t="s">
        <v>6439</v>
      </c>
      <c r="AS311" t="s">
        <v>6440</v>
      </c>
      <c r="AT311" t="s">
        <v>5544</v>
      </c>
      <c r="AU311">
        <v>2017</v>
      </c>
      <c r="AV311">
        <v>9</v>
      </c>
      <c r="AW311">
        <v>9</v>
      </c>
      <c r="AX311" t="s">
        <v>74</v>
      </c>
      <c r="AY311" t="s">
        <v>74</v>
      </c>
      <c r="AZ311" t="s">
        <v>74</v>
      </c>
      <c r="BA311" t="s">
        <v>74</v>
      </c>
      <c r="BB311" t="s">
        <v>74</v>
      </c>
      <c r="BC311" t="s">
        <v>74</v>
      </c>
      <c r="BD311">
        <v>934</v>
      </c>
      <c r="BE311" t="s">
        <v>6441</v>
      </c>
      <c r="BF311" t="str">
        <f>HYPERLINK("http://dx.doi.org/10.3390/rs9090934","http://dx.doi.org/10.3390/rs9090934")</f>
        <v>http://dx.doi.org/10.3390/rs9090934</v>
      </c>
      <c r="BG311" t="s">
        <v>74</v>
      </c>
      <c r="BH311" t="s">
        <v>74</v>
      </c>
      <c r="BI311">
        <v>20</v>
      </c>
      <c r="BJ311" t="s">
        <v>6442</v>
      </c>
      <c r="BK311" t="s">
        <v>101</v>
      </c>
      <c r="BL311" t="s">
        <v>6443</v>
      </c>
      <c r="BM311" t="s">
        <v>6444</v>
      </c>
      <c r="BN311" t="s">
        <v>74</v>
      </c>
      <c r="BO311" t="s">
        <v>322</v>
      </c>
      <c r="BP311" t="s">
        <v>74</v>
      </c>
      <c r="BQ311" t="s">
        <v>74</v>
      </c>
      <c r="BR311" t="s">
        <v>105</v>
      </c>
      <c r="BS311" t="s">
        <v>6445</v>
      </c>
      <c r="BT311" t="str">
        <f>HYPERLINK("https%3A%2F%2Fwww.webofscience.com%2Fwos%2Fwoscc%2Ffull-record%2FWOS:000414138700064","View Full Record in Web of Science")</f>
        <v>View Full Record in Web of Science</v>
      </c>
    </row>
    <row r="312" spans="1:72" x14ac:dyDescent="0.15">
      <c r="A312" t="s">
        <v>72</v>
      </c>
      <c r="B312" t="s">
        <v>6446</v>
      </c>
      <c r="C312" t="s">
        <v>74</v>
      </c>
      <c r="D312" t="s">
        <v>74</v>
      </c>
      <c r="E312" t="s">
        <v>74</v>
      </c>
      <c r="F312" t="s">
        <v>6447</v>
      </c>
      <c r="G312" t="s">
        <v>74</v>
      </c>
      <c r="H312" t="s">
        <v>74</v>
      </c>
      <c r="I312" t="s">
        <v>6448</v>
      </c>
      <c r="J312" t="s">
        <v>6424</v>
      </c>
      <c r="K312" t="s">
        <v>74</v>
      </c>
      <c r="L312" t="s">
        <v>74</v>
      </c>
      <c r="M312" t="s">
        <v>78</v>
      </c>
      <c r="N312" t="s">
        <v>79</v>
      </c>
      <c r="O312" t="s">
        <v>74</v>
      </c>
      <c r="P312" t="s">
        <v>74</v>
      </c>
      <c r="Q312" t="s">
        <v>74</v>
      </c>
      <c r="R312" t="s">
        <v>74</v>
      </c>
      <c r="S312" t="s">
        <v>74</v>
      </c>
      <c r="T312" t="s">
        <v>6449</v>
      </c>
      <c r="U312" t="s">
        <v>6450</v>
      </c>
      <c r="V312" t="s">
        <v>6451</v>
      </c>
      <c r="W312" t="s">
        <v>6452</v>
      </c>
      <c r="X312" t="s">
        <v>6453</v>
      </c>
      <c r="Y312" t="s">
        <v>6454</v>
      </c>
      <c r="Z312" t="s">
        <v>6455</v>
      </c>
      <c r="AA312" t="s">
        <v>6456</v>
      </c>
      <c r="AB312" t="s">
        <v>6457</v>
      </c>
      <c r="AC312" t="s">
        <v>6458</v>
      </c>
      <c r="AD312" t="s">
        <v>6459</v>
      </c>
      <c r="AE312" t="s">
        <v>6460</v>
      </c>
      <c r="AF312" t="s">
        <v>74</v>
      </c>
      <c r="AG312">
        <v>70</v>
      </c>
      <c r="AH312">
        <v>5</v>
      </c>
      <c r="AI312">
        <v>5</v>
      </c>
      <c r="AJ312">
        <v>1</v>
      </c>
      <c r="AK312">
        <v>7</v>
      </c>
      <c r="AL312" t="s">
        <v>3485</v>
      </c>
      <c r="AM312" t="s">
        <v>3486</v>
      </c>
      <c r="AN312" t="s">
        <v>3487</v>
      </c>
      <c r="AO312" t="s">
        <v>6438</v>
      </c>
      <c r="AP312" t="s">
        <v>74</v>
      </c>
      <c r="AQ312" t="s">
        <v>74</v>
      </c>
      <c r="AR312" t="s">
        <v>6439</v>
      </c>
      <c r="AS312" t="s">
        <v>6440</v>
      </c>
      <c r="AT312" t="s">
        <v>5544</v>
      </c>
      <c r="AU312">
        <v>2017</v>
      </c>
      <c r="AV312">
        <v>9</v>
      </c>
      <c r="AW312">
        <v>9</v>
      </c>
      <c r="AX312" t="s">
        <v>74</v>
      </c>
      <c r="AY312" t="s">
        <v>74</v>
      </c>
      <c r="AZ312" t="s">
        <v>74</v>
      </c>
      <c r="BA312" t="s">
        <v>74</v>
      </c>
      <c r="BB312" t="s">
        <v>74</v>
      </c>
      <c r="BC312" t="s">
        <v>74</v>
      </c>
      <c r="BD312">
        <v>891</v>
      </c>
      <c r="BE312" t="s">
        <v>6461</v>
      </c>
      <c r="BF312" t="str">
        <f>HYPERLINK("http://dx.doi.org/10.3390/rs9090891","http://dx.doi.org/10.3390/rs9090891")</f>
        <v>http://dx.doi.org/10.3390/rs9090891</v>
      </c>
      <c r="BG312" t="s">
        <v>74</v>
      </c>
      <c r="BH312" t="s">
        <v>74</v>
      </c>
      <c r="BI312">
        <v>24</v>
      </c>
      <c r="BJ312" t="s">
        <v>6442</v>
      </c>
      <c r="BK312" t="s">
        <v>101</v>
      </c>
      <c r="BL312" t="s">
        <v>6443</v>
      </c>
      <c r="BM312" t="s">
        <v>6444</v>
      </c>
      <c r="BN312" t="s">
        <v>74</v>
      </c>
      <c r="BO312" t="s">
        <v>3495</v>
      </c>
      <c r="BP312" t="s">
        <v>74</v>
      </c>
      <c r="BQ312" t="s">
        <v>74</v>
      </c>
      <c r="BR312" t="s">
        <v>105</v>
      </c>
      <c r="BS312" t="s">
        <v>6462</v>
      </c>
      <c r="BT312" t="str">
        <f>HYPERLINK("https%3A%2F%2Fwww.webofscience.com%2Fwos%2Fwoscc%2Ffull-record%2FWOS:000414138700021","View Full Record in Web of Science")</f>
        <v>View Full Record in Web of Science</v>
      </c>
    </row>
    <row r="313" spans="1:72" x14ac:dyDescent="0.15">
      <c r="A313" t="s">
        <v>72</v>
      </c>
      <c r="B313" t="s">
        <v>6463</v>
      </c>
      <c r="C313" t="s">
        <v>74</v>
      </c>
      <c r="D313" t="s">
        <v>74</v>
      </c>
      <c r="E313" t="s">
        <v>74</v>
      </c>
      <c r="F313" t="s">
        <v>6464</v>
      </c>
      <c r="G313" t="s">
        <v>74</v>
      </c>
      <c r="H313" t="s">
        <v>74</v>
      </c>
      <c r="I313" t="s">
        <v>6465</v>
      </c>
      <c r="J313" t="s">
        <v>6466</v>
      </c>
      <c r="K313" t="s">
        <v>74</v>
      </c>
      <c r="L313" t="s">
        <v>74</v>
      </c>
      <c r="M313" t="s">
        <v>78</v>
      </c>
      <c r="N313" t="s">
        <v>79</v>
      </c>
      <c r="O313" t="s">
        <v>74</v>
      </c>
      <c r="P313" t="s">
        <v>74</v>
      </c>
      <c r="Q313" t="s">
        <v>74</v>
      </c>
      <c r="R313" t="s">
        <v>74</v>
      </c>
      <c r="S313" t="s">
        <v>74</v>
      </c>
      <c r="T313" t="s">
        <v>6467</v>
      </c>
      <c r="U313" t="s">
        <v>74</v>
      </c>
      <c r="V313" t="s">
        <v>6468</v>
      </c>
      <c r="W313" t="s">
        <v>6469</v>
      </c>
      <c r="X313" t="s">
        <v>1308</v>
      </c>
      <c r="Y313" t="s">
        <v>6470</v>
      </c>
      <c r="Z313" t="s">
        <v>6471</v>
      </c>
      <c r="AA313" t="s">
        <v>6472</v>
      </c>
      <c r="AB313" t="s">
        <v>6473</v>
      </c>
      <c r="AC313" t="s">
        <v>6474</v>
      </c>
      <c r="AD313" t="s">
        <v>6474</v>
      </c>
      <c r="AE313" t="s">
        <v>6475</v>
      </c>
      <c r="AF313" t="s">
        <v>74</v>
      </c>
      <c r="AG313">
        <v>10</v>
      </c>
      <c r="AH313">
        <v>0</v>
      </c>
      <c r="AI313">
        <v>0</v>
      </c>
      <c r="AJ313">
        <v>0</v>
      </c>
      <c r="AK313">
        <v>4</v>
      </c>
      <c r="AL313" t="s">
        <v>6437</v>
      </c>
      <c r="AM313" t="s">
        <v>3486</v>
      </c>
      <c r="AN313" t="s">
        <v>3487</v>
      </c>
      <c r="AO313" t="s">
        <v>6476</v>
      </c>
      <c r="AP313" t="s">
        <v>74</v>
      </c>
      <c r="AQ313" t="s">
        <v>74</v>
      </c>
      <c r="AR313" t="s">
        <v>6466</v>
      </c>
      <c r="AS313" t="s">
        <v>6477</v>
      </c>
      <c r="AT313" t="s">
        <v>5544</v>
      </c>
      <c r="AU313">
        <v>2017</v>
      </c>
      <c r="AV313">
        <v>6</v>
      </c>
      <c r="AW313">
        <v>3</v>
      </c>
      <c r="AX313" t="s">
        <v>74</v>
      </c>
      <c r="AY313" t="s">
        <v>74</v>
      </c>
      <c r="AZ313" t="s">
        <v>74</v>
      </c>
      <c r="BA313" t="s">
        <v>74</v>
      </c>
      <c r="BB313" t="s">
        <v>74</v>
      </c>
      <c r="BC313" t="s">
        <v>74</v>
      </c>
      <c r="BD313">
        <v>35</v>
      </c>
      <c r="BE313" t="s">
        <v>6478</v>
      </c>
      <c r="BF313" t="str">
        <f>HYPERLINK("http://dx.doi.org/10.3390/resources6030035","http://dx.doi.org/10.3390/resources6030035")</f>
        <v>http://dx.doi.org/10.3390/resources6030035</v>
      </c>
      <c r="BG313" t="s">
        <v>74</v>
      </c>
      <c r="BH313" t="s">
        <v>74</v>
      </c>
      <c r="BI313">
        <v>10</v>
      </c>
      <c r="BJ313" t="s">
        <v>6479</v>
      </c>
      <c r="BK313" t="s">
        <v>3172</v>
      </c>
      <c r="BL313" t="s">
        <v>6480</v>
      </c>
      <c r="BM313" t="s">
        <v>6481</v>
      </c>
      <c r="BN313" t="s">
        <v>74</v>
      </c>
      <c r="BO313" t="s">
        <v>1131</v>
      </c>
      <c r="BP313" t="s">
        <v>74</v>
      </c>
      <c r="BQ313" t="s">
        <v>74</v>
      </c>
      <c r="BR313" t="s">
        <v>105</v>
      </c>
      <c r="BS313" t="s">
        <v>6482</v>
      </c>
      <c r="BT313" t="str">
        <f>HYPERLINK("https%3A%2F%2Fwww.webofscience.com%2Fwos%2Fwoscc%2Ffull-record%2FWOS:000412505500013","View Full Record in Web of Science")</f>
        <v>View Full Record in Web of Science</v>
      </c>
    </row>
    <row r="314" spans="1:72" x14ac:dyDescent="0.15">
      <c r="A314" t="s">
        <v>72</v>
      </c>
      <c r="B314" t="s">
        <v>6483</v>
      </c>
      <c r="C314" t="s">
        <v>74</v>
      </c>
      <c r="D314" t="s">
        <v>74</v>
      </c>
      <c r="E314" t="s">
        <v>74</v>
      </c>
      <c r="F314" t="s">
        <v>6484</v>
      </c>
      <c r="G314" t="s">
        <v>74</v>
      </c>
      <c r="H314" t="s">
        <v>74</v>
      </c>
      <c r="I314" t="s">
        <v>6485</v>
      </c>
      <c r="J314" t="s">
        <v>3751</v>
      </c>
      <c r="K314" t="s">
        <v>74</v>
      </c>
      <c r="L314" t="s">
        <v>74</v>
      </c>
      <c r="M314" t="s">
        <v>78</v>
      </c>
      <c r="N314" t="s">
        <v>79</v>
      </c>
      <c r="O314" t="s">
        <v>74</v>
      </c>
      <c r="P314" t="s">
        <v>74</v>
      </c>
      <c r="Q314" t="s">
        <v>74</v>
      </c>
      <c r="R314" t="s">
        <v>74</v>
      </c>
      <c r="S314" t="s">
        <v>74</v>
      </c>
      <c r="T314" t="s">
        <v>74</v>
      </c>
      <c r="U314" t="s">
        <v>6486</v>
      </c>
      <c r="V314" t="s">
        <v>6487</v>
      </c>
      <c r="W314" t="s">
        <v>6488</v>
      </c>
      <c r="X314" t="s">
        <v>6489</v>
      </c>
      <c r="Y314" t="s">
        <v>6490</v>
      </c>
      <c r="Z314" t="s">
        <v>6491</v>
      </c>
      <c r="AA314" t="s">
        <v>6492</v>
      </c>
      <c r="AB314" t="s">
        <v>6493</v>
      </c>
      <c r="AC314" t="s">
        <v>6494</v>
      </c>
      <c r="AD314" t="s">
        <v>6495</v>
      </c>
      <c r="AE314" t="s">
        <v>6496</v>
      </c>
      <c r="AF314" t="s">
        <v>74</v>
      </c>
      <c r="AG314">
        <v>66</v>
      </c>
      <c r="AH314">
        <v>41</v>
      </c>
      <c r="AI314">
        <v>44</v>
      </c>
      <c r="AJ314">
        <v>2</v>
      </c>
      <c r="AK314">
        <v>20</v>
      </c>
      <c r="AL314" t="s">
        <v>3763</v>
      </c>
      <c r="AM314" t="s">
        <v>92</v>
      </c>
      <c r="AN314" t="s">
        <v>3764</v>
      </c>
      <c r="AO314" t="s">
        <v>3765</v>
      </c>
      <c r="AP314" t="s">
        <v>74</v>
      </c>
      <c r="AQ314" t="s">
        <v>74</v>
      </c>
      <c r="AR314" t="s">
        <v>3766</v>
      </c>
      <c r="AS314" t="s">
        <v>3767</v>
      </c>
      <c r="AT314" t="s">
        <v>5544</v>
      </c>
      <c r="AU314">
        <v>2017</v>
      </c>
      <c r="AV314">
        <v>3</v>
      </c>
      <c r="AW314">
        <v>9</v>
      </c>
      <c r="AX314" t="s">
        <v>74</v>
      </c>
      <c r="AY314" t="s">
        <v>74</v>
      </c>
      <c r="AZ314" t="s">
        <v>74</v>
      </c>
      <c r="BA314" t="s">
        <v>74</v>
      </c>
      <c r="BB314" t="s">
        <v>74</v>
      </c>
      <c r="BC314" t="s">
        <v>74</v>
      </c>
      <c r="BD314" t="s">
        <v>6497</v>
      </c>
      <c r="BE314" t="s">
        <v>6498</v>
      </c>
      <c r="BF314" t="str">
        <f>HYPERLINK("http://dx.doi.org/10.1126/sciadv.1701362","http://dx.doi.org/10.1126/sciadv.1701362")</f>
        <v>http://dx.doi.org/10.1126/sciadv.1701362</v>
      </c>
      <c r="BG314" t="s">
        <v>74</v>
      </c>
      <c r="BH314" t="s">
        <v>74</v>
      </c>
      <c r="BI314">
        <v>8</v>
      </c>
      <c r="BJ314" t="s">
        <v>190</v>
      </c>
      <c r="BK314" t="s">
        <v>101</v>
      </c>
      <c r="BL314" t="s">
        <v>191</v>
      </c>
      <c r="BM314" t="s">
        <v>6499</v>
      </c>
      <c r="BN314">
        <v>28948224</v>
      </c>
      <c r="BO314" t="s">
        <v>6500</v>
      </c>
      <c r="BP314" t="s">
        <v>74</v>
      </c>
      <c r="BQ314" t="s">
        <v>74</v>
      </c>
      <c r="BR314" t="s">
        <v>105</v>
      </c>
      <c r="BS314" t="s">
        <v>6501</v>
      </c>
      <c r="BT314" t="str">
        <f>HYPERLINK("https%3A%2F%2Fwww.webofscience.com%2Fwos%2Fwoscc%2Ffull-record%2FWOS:000411592600054","View Full Record in Web of Science")</f>
        <v>View Full Record in Web of Science</v>
      </c>
    </row>
    <row r="315" spans="1:72" x14ac:dyDescent="0.15">
      <c r="A315" t="s">
        <v>72</v>
      </c>
      <c r="B315" t="s">
        <v>6502</v>
      </c>
      <c r="C315" t="s">
        <v>74</v>
      </c>
      <c r="D315" t="s">
        <v>74</v>
      </c>
      <c r="E315" t="s">
        <v>74</v>
      </c>
      <c r="F315" t="s">
        <v>6503</v>
      </c>
      <c r="G315" t="s">
        <v>74</v>
      </c>
      <c r="H315" t="s">
        <v>74</v>
      </c>
      <c r="I315" t="s">
        <v>6504</v>
      </c>
      <c r="J315" t="s">
        <v>6505</v>
      </c>
      <c r="K315" t="s">
        <v>74</v>
      </c>
      <c r="L315" t="s">
        <v>74</v>
      </c>
      <c r="M315" t="s">
        <v>78</v>
      </c>
      <c r="N315" t="s">
        <v>79</v>
      </c>
      <c r="O315" t="s">
        <v>74</v>
      </c>
      <c r="P315" t="s">
        <v>74</v>
      </c>
      <c r="Q315" t="s">
        <v>74</v>
      </c>
      <c r="R315" t="s">
        <v>74</v>
      </c>
      <c r="S315" t="s">
        <v>74</v>
      </c>
      <c r="T315" t="s">
        <v>6506</v>
      </c>
      <c r="U315" t="s">
        <v>6507</v>
      </c>
      <c r="V315" t="s">
        <v>6508</v>
      </c>
      <c r="W315" t="s">
        <v>6509</v>
      </c>
      <c r="X315" t="s">
        <v>6510</v>
      </c>
      <c r="Y315" t="s">
        <v>6511</v>
      </c>
      <c r="Z315" t="s">
        <v>6512</v>
      </c>
      <c r="AA315" t="s">
        <v>6513</v>
      </c>
      <c r="AB315" t="s">
        <v>6514</v>
      </c>
      <c r="AC315" t="s">
        <v>6515</v>
      </c>
      <c r="AD315" t="s">
        <v>6516</v>
      </c>
      <c r="AE315" t="s">
        <v>6517</v>
      </c>
      <c r="AF315" t="s">
        <v>74</v>
      </c>
      <c r="AG315">
        <v>88</v>
      </c>
      <c r="AH315">
        <v>76</v>
      </c>
      <c r="AI315">
        <v>81</v>
      </c>
      <c r="AJ315">
        <v>0</v>
      </c>
      <c r="AK315">
        <v>14</v>
      </c>
      <c r="AL315" t="s">
        <v>3485</v>
      </c>
      <c r="AM315" t="s">
        <v>3486</v>
      </c>
      <c r="AN315" t="s">
        <v>3487</v>
      </c>
      <c r="AO315" t="s">
        <v>74</v>
      </c>
      <c r="AP315" t="s">
        <v>6518</v>
      </c>
      <c r="AQ315" t="s">
        <v>74</v>
      </c>
      <c r="AR315" t="s">
        <v>6519</v>
      </c>
      <c r="AS315" t="s">
        <v>6520</v>
      </c>
      <c r="AT315" t="s">
        <v>5544</v>
      </c>
      <c r="AU315">
        <v>2017</v>
      </c>
      <c r="AV315">
        <v>19</v>
      </c>
      <c r="AW315">
        <v>9</v>
      </c>
      <c r="AX315" t="s">
        <v>74</v>
      </c>
      <c r="AY315" t="s">
        <v>74</v>
      </c>
      <c r="AZ315" t="s">
        <v>74</v>
      </c>
      <c r="BA315" t="s">
        <v>74</v>
      </c>
      <c r="BB315" t="s">
        <v>74</v>
      </c>
      <c r="BC315" t="s">
        <v>74</v>
      </c>
      <c r="BD315">
        <v>437</v>
      </c>
      <c r="BE315" t="s">
        <v>6521</v>
      </c>
      <c r="BF315" t="str">
        <f>HYPERLINK("http://dx.doi.org/10.3390/e19090437","http://dx.doi.org/10.3390/e19090437")</f>
        <v>http://dx.doi.org/10.3390/e19090437</v>
      </c>
      <c r="BG315" t="s">
        <v>74</v>
      </c>
      <c r="BH315" t="s">
        <v>74</v>
      </c>
      <c r="BI315">
        <v>21</v>
      </c>
      <c r="BJ315" t="s">
        <v>6522</v>
      </c>
      <c r="BK315" t="s">
        <v>765</v>
      </c>
      <c r="BL315" t="s">
        <v>6184</v>
      </c>
      <c r="BM315" t="s">
        <v>6523</v>
      </c>
      <c r="BN315" t="s">
        <v>74</v>
      </c>
      <c r="BO315" t="s">
        <v>4439</v>
      </c>
      <c r="BP315" t="s">
        <v>74</v>
      </c>
      <c r="BQ315" t="s">
        <v>74</v>
      </c>
      <c r="BR315" t="s">
        <v>105</v>
      </c>
      <c r="BS315" t="s">
        <v>6524</v>
      </c>
      <c r="BT315" t="str">
        <f>HYPERLINK("https%3A%2F%2Fwww.webofscience.com%2Fwos%2Fwoscc%2Ffull-record%2FWOS:000411527100009","View Full Record in Web of Science")</f>
        <v>View Full Record in Web of Science</v>
      </c>
    </row>
    <row r="316" spans="1:72" x14ac:dyDescent="0.15">
      <c r="A316" t="s">
        <v>72</v>
      </c>
      <c r="B316" t="s">
        <v>6525</v>
      </c>
      <c r="C316" t="s">
        <v>74</v>
      </c>
      <c r="D316" t="s">
        <v>74</v>
      </c>
      <c r="E316" t="s">
        <v>74</v>
      </c>
      <c r="F316" t="s">
        <v>6526</v>
      </c>
      <c r="G316" t="s">
        <v>74</v>
      </c>
      <c r="H316" t="s">
        <v>74</v>
      </c>
      <c r="I316" t="s">
        <v>6527</v>
      </c>
      <c r="J316" t="s">
        <v>6528</v>
      </c>
      <c r="K316" t="s">
        <v>74</v>
      </c>
      <c r="L316" t="s">
        <v>74</v>
      </c>
      <c r="M316" t="s">
        <v>78</v>
      </c>
      <c r="N316" t="s">
        <v>79</v>
      </c>
      <c r="O316" t="s">
        <v>74</v>
      </c>
      <c r="P316" t="s">
        <v>74</v>
      </c>
      <c r="Q316" t="s">
        <v>74</v>
      </c>
      <c r="R316" t="s">
        <v>74</v>
      </c>
      <c r="S316" t="s">
        <v>74</v>
      </c>
      <c r="T316" t="s">
        <v>6529</v>
      </c>
      <c r="U316" t="s">
        <v>6530</v>
      </c>
      <c r="V316" t="s">
        <v>6531</v>
      </c>
      <c r="W316" t="s">
        <v>6532</v>
      </c>
      <c r="X316" t="s">
        <v>6533</v>
      </c>
      <c r="Y316" t="s">
        <v>6534</v>
      </c>
      <c r="Z316" t="s">
        <v>6535</v>
      </c>
      <c r="AA316" t="s">
        <v>6536</v>
      </c>
      <c r="AB316" t="s">
        <v>6537</v>
      </c>
      <c r="AC316" t="s">
        <v>6538</v>
      </c>
      <c r="AD316" t="s">
        <v>6539</v>
      </c>
      <c r="AE316" t="s">
        <v>6540</v>
      </c>
      <c r="AF316" t="s">
        <v>74</v>
      </c>
      <c r="AG316">
        <v>19</v>
      </c>
      <c r="AH316">
        <v>3</v>
      </c>
      <c r="AI316">
        <v>3</v>
      </c>
      <c r="AJ316">
        <v>0</v>
      </c>
      <c r="AK316">
        <v>2</v>
      </c>
      <c r="AL316" t="s">
        <v>502</v>
      </c>
      <c r="AM316" t="s">
        <v>372</v>
      </c>
      <c r="AN316" t="s">
        <v>503</v>
      </c>
      <c r="AO316" t="s">
        <v>6541</v>
      </c>
      <c r="AP316" t="s">
        <v>6542</v>
      </c>
      <c r="AQ316" t="s">
        <v>74</v>
      </c>
      <c r="AR316" t="s">
        <v>6543</v>
      </c>
      <c r="AS316" t="s">
        <v>6544</v>
      </c>
      <c r="AT316" t="s">
        <v>5544</v>
      </c>
      <c r="AU316">
        <v>2017</v>
      </c>
      <c r="AV316">
        <v>85</v>
      </c>
      <c r="AW316" t="s">
        <v>74</v>
      </c>
      <c r="AX316" t="s">
        <v>74</v>
      </c>
      <c r="AY316" t="s">
        <v>74</v>
      </c>
      <c r="AZ316" t="s">
        <v>74</v>
      </c>
      <c r="BA316" t="s">
        <v>74</v>
      </c>
      <c r="BB316">
        <v>92</v>
      </c>
      <c r="BC316">
        <v>98</v>
      </c>
      <c r="BD316" t="s">
        <v>74</v>
      </c>
      <c r="BE316" t="s">
        <v>6545</v>
      </c>
      <c r="BF316" t="str">
        <f>HYPERLINK("http://dx.doi.org/10.1016/j.infrared.2017.05.015","http://dx.doi.org/10.1016/j.infrared.2017.05.015")</f>
        <v>http://dx.doi.org/10.1016/j.infrared.2017.05.015</v>
      </c>
      <c r="BG316" t="s">
        <v>74</v>
      </c>
      <c r="BH316" t="s">
        <v>74</v>
      </c>
      <c r="BI316">
        <v>7</v>
      </c>
      <c r="BJ316" t="s">
        <v>6546</v>
      </c>
      <c r="BK316" t="s">
        <v>101</v>
      </c>
      <c r="BL316" t="s">
        <v>6547</v>
      </c>
      <c r="BM316" t="s">
        <v>6548</v>
      </c>
      <c r="BN316" t="s">
        <v>74</v>
      </c>
      <c r="BO316" t="s">
        <v>74</v>
      </c>
      <c r="BP316" t="s">
        <v>74</v>
      </c>
      <c r="BQ316" t="s">
        <v>74</v>
      </c>
      <c r="BR316" t="s">
        <v>105</v>
      </c>
      <c r="BS316" t="s">
        <v>6549</v>
      </c>
      <c r="BT316" t="str">
        <f>HYPERLINK("https%3A%2F%2Fwww.webofscience.com%2Fwos%2Fwoscc%2Ffull-record%2FWOS:000411546800013","View Full Record in Web of Science")</f>
        <v>View Full Record in Web of Science</v>
      </c>
    </row>
    <row r="317" spans="1:72" x14ac:dyDescent="0.15">
      <c r="A317" t="s">
        <v>72</v>
      </c>
      <c r="B317" t="s">
        <v>6550</v>
      </c>
      <c r="C317" t="s">
        <v>74</v>
      </c>
      <c r="D317" t="s">
        <v>74</v>
      </c>
      <c r="E317" t="s">
        <v>74</v>
      </c>
      <c r="F317" t="s">
        <v>6551</v>
      </c>
      <c r="G317" t="s">
        <v>74</v>
      </c>
      <c r="H317" t="s">
        <v>74</v>
      </c>
      <c r="I317" t="s">
        <v>6552</v>
      </c>
      <c r="J317" t="s">
        <v>6553</v>
      </c>
      <c r="K317" t="s">
        <v>74</v>
      </c>
      <c r="L317" t="s">
        <v>74</v>
      </c>
      <c r="M317" t="s">
        <v>78</v>
      </c>
      <c r="N317" t="s">
        <v>5758</v>
      </c>
      <c r="O317" t="s">
        <v>74</v>
      </c>
      <c r="P317" t="s">
        <v>74</v>
      </c>
      <c r="Q317" t="s">
        <v>74</v>
      </c>
      <c r="R317" t="s">
        <v>74</v>
      </c>
      <c r="S317" t="s">
        <v>74</v>
      </c>
      <c r="T317" t="s">
        <v>74</v>
      </c>
      <c r="U317" t="s">
        <v>74</v>
      </c>
      <c r="V317" t="s">
        <v>74</v>
      </c>
      <c r="W317" t="s">
        <v>6554</v>
      </c>
      <c r="X317" t="s">
        <v>6555</v>
      </c>
      <c r="Y317" t="s">
        <v>6556</v>
      </c>
      <c r="Z317" t="s">
        <v>74</v>
      </c>
      <c r="AA317" t="s">
        <v>74</v>
      </c>
      <c r="AB317" t="s">
        <v>74</v>
      </c>
      <c r="AC317" t="s">
        <v>74</v>
      </c>
      <c r="AD317" t="s">
        <v>74</v>
      </c>
      <c r="AE317" t="s">
        <v>74</v>
      </c>
      <c r="AF317" t="s">
        <v>74</v>
      </c>
      <c r="AG317">
        <v>1</v>
      </c>
      <c r="AH317">
        <v>0</v>
      </c>
      <c r="AI317">
        <v>0</v>
      </c>
      <c r="AJ317">
        <v>0</v>
      </c>
      <c r="AK317">
        <v>0</v>
      </c>
      <c r="AL317" t="s">
        <v>2393</v>
      </c>
      <c r="AM317" t="s">
        <v>2394</v>
      </c>
      <c r="AN317" t="s">
        <v>2395</v>
      </c>
      <c r="AO317" t="s">
        <v>6557</v>
      </c>
      <c r="AP317" t="s">
        <v>6558</v>
      </c>
      <c r="AQ317" t="s">
        <v>74</v>
      </c>
      <c r="AR317" t="s">
        <v>6553</v>
      </c>
      <c r="AS317" t="s">
        <v>6559</v>
      </c>
      <c r="AT317" t="s">
        <v>5544</v>
      </c>
      <c r="AU317">
        <v>2017</v>
      </c>
      <c r="AV317">
        <v>108</v>
      </c>
      <c r="AW317">
        <v>3</v>
      </c>
      <c r="AX317" t="s">
        <v>74</v>
      </c>
      <c r="AY317" t="s">
        <v>74</v>
      </c>
      <c r="AZ317" t="s">
        <v>74</v>
      </c>
      <c r="BA317" t="s">
        <v>74</v>
      </c>
      <c r="BB317">
        <v>731</v>
      </c>
      <c r="BC317">
        <v>732</v>
      </c>
      <c r="BD317" t="s">
        <v>74</v>
      </c>
      <c r="BE317" t="s">
        <v>6560</v>
      </c>
      <c r="BF317" t="str">
        <f>HYPERLINK("http://dx.doi.org/10.1086/693836","http://dx.doi.org/10.1086/693836")</f>
        <v>http://dx.doi.org/10.1086/693836</v>
      </c>
      <c r="BG317" t="s">
        <v>74</v>
      </c>
      <c r="BH317" t="s">
        <v>74</v>
      </c>
      <c r="BI317">
        <v>3</v>
      </c>
      <c r="BJ317" t="s">
        <v>6561</v>
      </c>
      <c r="BK317" t="s">
        <v>6562</v>
      </c>
      <c r="BL317" t="s">
        <v>6563</v>
      </c>
      <c r="BM317" t="s">
        <v>6564</v>
      </c>
      <c r="BN317" t="s">
        <v>74</v>
      </c>
      <c r="BO317" t="s">
        <v>74</v>
      </c>
      <c r="BP317" t="s">
        <v>74</v>
      </c>
      <c r="BQ317" t="s">
        <v>74</v>
      </c>
      <c r="BR317" t="s">
        <v>105</v>
      </c>
      <c r="BS317" t="s">
        <v>6565</v>
      </c>
      <c r="BT317" t="str">
        <f>HYPERLINK("https%3A%2F%2Fwww.webofscience.com%2Fwos%2Fwoscc%2Ffull-record%2FWOS:000411180900062","View Full Record in Web of Science")</f>
        <v>View Full Record in Web of Science</v>
      </c>
    </row>
    <row r="318" spans="1:72" x14ac:dyDescent="0.15">
      <c r="A318" t="s">
        <v>72</v>
      </c>
      <c r="B318" t="s">
        <v>6566</v>
      </c>
      <c r="C318" t="s">
        <v>74</v>
      </c>
      <c r="D318" t="s">
        <v>74</v>
      </c>
      <c r="E318" t="s">
        <v>74</v>
      </c>
      <c r="F318" t="s">
        <v>6567</v>
      </c>
      <c r="G318" t="s">
        <v>74</v>
      </c>
      <c r="H318" t="s">
        <v>74</v>
      </c>
      <c r="I318" t="s">
        <v>6568</v>
      </c>
      <c r="J318" t="s">
        <v>6569</v>
      </c>
      <c r="K318" t="s">
        <v>74</v>
      </c>
      <c r="L318" t="s">
        <v>74</v>
      </c>
      <c r="M318" t="s">
        <v>6570</v>
      </c>
      <c r="N318" t="s">
        <v>79</v>
      </c>
      <c r="O318" t="s">
        <v>74</v>
      </c>
      <c r="P318" t="s">
        <v>74</v>
      </c>
      <c r="Q318" t="s">
        <v>74</v>
      </c>
      <c r="R318" t="s">
        <v>74</v>
      </c>
      <c r="S318" t="s">
        <v>74</v>
      </c>
      <c r="T318" t="s">
        <v>6571</v>
      </c>
      <c r="U318" t="s">
        <v>6572</v>
      </c>
      <c r="V318" t="s">
        <v>6573</v>
      </c>
      <c r="W318" t="s">
        <v>6574</v>
      </c>
      <c r="X318" t="s">
        <v>6575</v>
      </c>
      <c r="Y318" t="s">
        <v>6576</v>
      </c>
      <c r="Z318" t="s">
        <v>6577</v>
      </c>
      <c r="AA318" t="s">
        <v>6578</v>
      </c>
      <c r="AB318" t="s">
        <v>74</v>
      </c>
      <c r="AC318" t="s">
        <v>74</v>
      </c>
      <c r="AD318" t="s">
        <v>74</v>
      </c>
      <c r="AE318" t="s">
        <v>74</v>
      </c>
      <c r="AF318" t="s">
        <v>74</v>
      </c>
      <c r="AG318">
        <v>30</v>
      </c>
      <c r="AH318">
        <v>3</v>
      </c>
      <c r="AI318">
        <v>3</v>
      </c>
      <c r="AJ318">
        <v>0</v>
      </c>
      <c r="AK318">
        <v>5</v>
      </c>
      <c r="AL318" t="s">
        <v>6579</v>
      </c>
      <c r="AM318" t="s">
        <v>6580</v>
      </c>
      <c r="AN318" t="s">
        <v>6581</v>
      </c>
      <c r="AO318" t="s">
        <v>6582</v>
      </c>
      <c r="AP318" t="s">
        <v>6583</v>
      </c>
      <c r="AQ318" t="s">
        <v>74</v>
      </c>
      <c r="AR318" t="s">
        <v>6584</v>
      </c>
      <c r="AS318" t="s">
        <v>6585</v>
      </c>
      <c r="AT318" t="s">
        <v>5544</v>
      </c>
      <c r="AU318">
        <v>2017</v>
      </c>
      <c r="AV318">
        <v>45</v>
      </c>
      <c r="AW318">
        <v>4</v>
      </c>
      <c r="AX318" t="s">
        <v>74</v>
      </c>
      <c r="AY318" t="s">
        <v>74</v>
      </c>
      <c r="AZ318" t="s">
        <v>74</v>
      </c>
      <c r="BA318" t="s">
        <v>74</v>
      </c>
      <c r="BB318">
        <v>787</v>
      </c>
      <c r="BC318">
        <v>796</v>
      </c>
      <c r="BD318" t="s">
        <v>74</v>
      </c>
      <c r="BE318" t="s">
        <v>6586</v>
      </c>
      <c r="BF318" t="str">
        <f>HYPERLINK("http://dx.doi.org/10.3856/vol45-issue4-fulltext-14","http://dx.doi.org/10.3856/vol45-issue4-fulltext-14")</f>
        <v>http://dx.doi.org/10.3856/vol45-issue4-fulltext-14</v>
      </c>
      <c r="BG318" t="s">
        <v>74</v>
      </c>
      <c r="BH318" t="s">
        <v>74</v>
      </c>
      <c r="BI318">
        <v>10</v>
      </c>
      <c r="BJ318" t="s">
        <v>4008</v>
      </c>
      <c r="BK318" t="s">
        <v>101</v>
      </c>
      <c r="BL318" t="s">
        <v>4008</v>
      </c>
      <c r="BM318" t="s">
        <v>6587</v>
      </c>
      <c r="BN318" t="s">
        <v>74</v>
      </c>
      <c r="BO318" t="s">
        <v>6588</v>
      </c>
      <c r="BP318" t="s">
        <v>74</v>
      </c>
      <c r="BQ318" t="s">
        <v>74</v>
      </c>
      <c r="BR318" t="s">
        <v>105</v>
      </c>
      <c r="BS318" t="s">
        <v>6589</v>
      </c>
      <c r="BT318" t="str">
        <f>HYPERLINK("https%3A%2F%2Fwww.webofscience.com%2Fwos%2Fwoscc%2Ffull-record%2FWOS:000410546100014","View Full Record in Web of Science")</f>
        <v>View Full Record in Web of Science</v>
      </c>
    </row>
    <row r="319" spans="1:72" x14ac:dyDescent="0.15">
      <c r="A319" t="s">
        <v>72</v>
      </c>
      <c r="B319" t="s">
        <v>6590</v>
      </c>
      <c r="C319" t="s">
        <v>74</v>
      </c>
      <c r="D319" t="s">
        <v>74</v>
      </c>
      <c r="E319" t="s">
        <v>74</v>
      </c>
      <c r="F319" t="s">
        <v>6591</v>
      </c>
      <c r="G319" t="s">
        <v>74</v>
      </c>
      <c r="H319" t="s">
        <v>74</v>
      </c>
      <c r="I319" t="s">
        <v>6592</v>
      </c>
      <c r="J319" t="s">
        <v>6593</v>
      </c>
      <c r="K319" t="s">
        <v>74</v>
      </c>
      <c r="L319" t="s">
        <v>74</v>
      </c>
      <c r="M319" t="s">
        <v>78</v>
      </c>
      <c r="N319" t="s">
        <v>79</v>
      </c>
      <c r="O319" t="s">
        <v>74</v>
      </c>
      <c r="P319" t="s">
        <v>74</v>
      </c>
      <c r="Q319" t="s">
        <v>74</v>
      </c>
      <c r="R319" t="s">
        <v>74</v>
      </c>
      <c r="S319" t="s">
        <v>74</v>
      </c>
      <c r="T319" t="s">
        <v>6594</v>
      </c>
      <c r="U319" t="s">
        <v>6595</v>
      </c>
      <c r="V319" t="s">
        <v>6596</v>
      </c>
      <c r="W319" t="s">
        <v>6597</v>
      </c>
      <c r="X319" t="s">
        <v>6598</v>
      </c>
      <c r="Y319" t="s">
        <v>6599</v>
      </c>
      <c r="Z319" t="s">
        <v>6600</v>
      </c>
      <c r="AA319" t="s">
        <v>74</v>
      </c>
      <c r="AB319" t="s">
        <v>74</v>
      </c>
      <c r="AC319" t="s">
        <v>6601</v>
      </c>
      <c r="AD319" t="s">
        <v>6602</v>
      </c>
      <c r="AE319" t="s">
        <v>6603</v>
      </c>
      <c r="AF319" t="s">
        <v>74</v>
      </c>
      <c r="AG319">
        <v>97</v>
      </c>
      <c r="AH319">
        <v>7</v>
      </c>
      <c r="AI319">
        <v>7</v>
      </c>
      <c r="AJ319">
        <v>0</v>
      </c>
      <c r="AK319">
        <v>16</v>
      </c>
      <c r="AL319" t="s">
        <v>728</v>
      </c>
      <c r="AM319" t="s">
        <v>729</v>
      </c>
      <c r="AN319" t="s">
        <v>730</v>
      </c>
      <c r="AO319" t="s">
        <v>6604</v>
      </c>
      <c r="AP319" t="s">
        <v>6605</v>
      </c>
      <c r="AQ319" t="s">
        <v>74</v>
      </c>
      <c r="AR319" t="s">
        <v>6606</v>
      </c>
      <c r="AS319" t="s">
        <v>6607</v>
      </c>
      <c r="AT319" t="s">
        <v>5544</v>
      </c>
      <c r="AU319">
        <v>2017</v>
      </c>
      <c r="AV319">
        <v>86</v>
      </c>
      <c r="AW319" t="s">
        <v>74</v>
      </c>
      <c r="AX319" t="s">
        <v>74</v>
      </c>
      <c r="AY319" t="s">
        <v>74</v>
      </c>
      <c r="AZ319" t="s">
        <v>74</v>
      </c>
      <c r="BA319" t="s">
        <v>74</v>
      </c>
      <c r="BB319">
        <v>798</v>
      </c>
      <c r="BC319">
        <v>811</v>
      </c>
      <c r="BD319" t="s">
        <v>74</v>
      </c>
      <c r="BE319" t="s">
        <v>6608</v>
      </c>
      <c r="BF319" t="str">
        <f>HYPERLINK("http://dx.doi.org/10.1016/j.marpetgeo.2017.06.037","http://dx.doi.org/10.1016/j.marpetgeo.2017.06.037")</f>
        <v>http://dx.doi.org/10.1016/j.marpetgeo.2017.06.037</v>
      </c>
      <c r="BG319" t="s">
        <v>74</v>
      </c>
      <c r="BH319" t="s">
        <v>74</v>
      </c>
      <c r="BI319">
        <v>14</v>
      </c>
      <c r="BJ319" t="s">
        <v>100</v>
      </c>
      <c r="BK319" t="s">
        <v>101</v>
      </c>
      <c r="BL319" t="s">
        <v>102</v>
      </c>
      <c r="BM319" t="s">
        <v>6609</v>
      </c>
      <c r="BN319" t="s">
        <v>74</v>
      </c>
      <c r="BO319" t="s">
        <v>74</v>
      </c>
      <c r="BP319" t="s">
        <v>74</v>
      </c>
      <c r="BQ319" t="s">
        <v>74</v>
      </c>
      <c r="BR319" t="s">
        <v>105</v>
      </c>
      <c r="BS319" t="s">
        <v>6610</v>
      </c>
      <c r="BT319" t="str">
        <f>HYPERLINK("https%3A%2F%2Fwww.webofscience.com%2Fwos%2Fwoscc%2Ffull-record%2FWOS:000411296600049","View Full Record in Web of Science")</f>
        <v>View Full Record in Web of Science</v>
      </c>
    </row>
    <row r="320" spans="1:72" x14ac:dyDescent="0.15">
      <c r="A320" t="s">
        <v>72</v>
      </c>
      <c r="B320" t="s">
        <v>6611</v>
      </c>
      <c r="C320" t="s">
        <v>74</v>
      </c>
      <c r="D320" t="s">
        <v>74</v>
      </c>
      <c r="E320" t="s">
        <v>74</v>
      </c>
      <c r="F320" t="s">
        <v>6612</v>
      </c>
      <c r="G320" t="s">
        <v>74</v>
      </c>
      <c r="H320" t="s">
        <v>74</v>
      </c>
      <c r="I320" t="s">
        <v>6613</v>
      </c>
      <c r="J320" t="s">
        <v>6614</v>
      </c>
      <c r="K320" t="s">
        <v>74</v>
      </c>
      <c r="L320" t="s">
        <v>74</v>
      </c>
      <c r="M320" t="s">
        <v>78</v>
      </c>
      <c r="N320" t="s">
        <v>79</v>
      </c>
      <c r="O320" t="s">
        <v>74</v>
      </c>
      <c r="P320" t="s">
        <v>74</v>
      </c>
      <c r="Q320" t="s">
        <v>74</v>
      </c>
      <c r="R320" t="s">
        <v>74</v>
      </c>
      <c r="S320" t="s">
        <v>74</v>
      </c>
      <c r="T320" t="s">
        <v>74</v>
      </c>
      <c r="U320" t="s">
        <v>6615</v>
      </c>
      <c r="V320" t="s">
        <v>6616</v>
      </c>
      <c r="W320" t="s">
        <v>6617</v>
      </c>
      <c r="X320" t="s">
        <v>6618</v>
      </c>
      <c r="Y320" t="s">
        <v>6619</v>
      </c>
      <c r="Z320" t="s">
        <v>6620</v>
      </c>
      <c r="AA320" t="s">
        <v>74</v>
      </c>
      <c r="AB320" t="s">
        <v>6621</v>
      </c>
      <c r="AC320" t="s">
        <v>6622</v>
      </c>
      <c r="AD320" t="s">
        <v>6623</v>
      </c>
      <c r="AE320" t="s">
        <v>6624</v>
      </c>
      <c r="AF320" t="s">
        <v>74</v>
      </c>
      <c r="AG320">
        <v>77</v>
      </c>
      <c r="AH320">
        <v>3</v>
      </c>
      <c r="AI320">
        <v>3</v>
      </c>
      <c r="AJ320">
        <v>0</v>
      </c>
      <c r="AK320">
        <v>3</v>
      </c>
      <c r="AL320" t="s">
        <v>6625</v>
      </c>
      <c r="AM320" t="s">
        <v>6626</v>
      </c>
      <c r="AN320" t="s">
        <v>6627</v>
      </c>
      <c r="AO320" t="s">
        <v>6628</v>
      </c>
      <c r="AP320" t="s">
        <v>74</v>
      </c>
      <c r="AQ320" t="s">
        <v>74</v>
      </c>
      <c r="AR320" t="s">
        <v>6629</v>
      </c>
      <c r="AS320" t="s">
        <v>6630</v>
      </c>
      <c r="AT320" t="s">
        <v>5544</v>
      </c>
      <c r="AU320">
        <v>2017</v>
      </c>
      <c r="AV320">
        <v>83</v>
      </c>
      <c r="AW320">
        <v>3</v>
      </c>
      <c r="AX320" t="s">
        <v>74</v>
      </c>
      <c r="AY320" t="s">
        <v>74</v>
      </c>
      <c r="AZ320" t="s">
        <v>74</v>
      </c>
      <c r="BA320" t="s">
        <v>74</v>
      </c>
      <c r="BB320">
        <v>631</v>
      </c>
      <c r="BC320">
        <v>644</v>
      </c>
      <c r="BD320" t="s">
        <v>74</v>
      </c>
      <c r="BE320" t="s">
        <v>6631</v>
      </c>
      <c r="BF320" t="str">
        <f>HYPERLINK("http://dx.doi.org/10.16943/ptinsa/2017/49028","http://dx.doi.org/10.16943/ptinsa/2017/49028")</f>
        <v>http://dx.doi.org/10.16943/ptinsa/2017/49028</v>
      </c>
      <c r="BG320" t="s">
        <v>74</v>
      </c>
      <c r="BH320" t="s">
        <v>74</v>
      </c>
      <c r="BI320">
        <v>14</v>
      </c>
      <c r="BJ320" t="s">
        <v>190</v>
      </c>
      <c r="BK320" t="s">
        <v>3172</v>
      </c>
      <c r="BL320" t="s">
        <v>191</v>
      </c>
      <c r="BM320" t="s">
        <v>6632</v>
      </c>
      <c r="BN320" t="s">
        <v>74</v>
      </c>
      <c r="BO320" t="s">
        <v>104</v>
      </c>
      <c r="BP320" t="s">
        <v>74</v>
      </c>
      <c r="BQ320" t="s">
        <v>74</v>
      </c>
      <c r="BR320" t="s">
        <v>105</v>
      </c>
      <c r="BS320" t="s">
        <v>6633</v>
      </c>
      <c r="BT320" t="str">
        <f>HYPERLINK("https%3A%2F%2Fwww.webofscience.com%2Fwos%2Fwoscc%2Ffull-record%2FWOS:000411129100009","View Full Record in Web of Science")</f>
        <v>View Full Record in Web of Science</v>
      </c>
    </row>
    <row r="321" spans="1:72" x14ac:dyDescent="0.15">
      <c r="A321" t="s">
        <v>72</v>
      </c>
      <c r="B321" t="s">
        <v>6634</v>
      </c>
      <c r="C321" t="s">
        <v>74</v>
      </c>
      <c r="D321" t="s">
        <v>74</v>
      </c>
      <c r="E321" t="s">
        <v>74</v>
      </c>
      <c r="F321" t="s">
        <v>6635</v>
      </c>
      <c r="G321" t="s">
        <v>74</v>
      </c>
      <c r="H321" t="s">
        <v>74</v>
      </c>
      <c r="I321" t="s">
        <v>6636</v>
      </c>
      <c r="J321" t="s">
        <v>6637</v>
      </c>
      <c r="K321" t="s">
        <v>74</v>
      </c>
      <c r="L321" t="s">
        <v>74</v>
      </c>
      <c r="M321" t="s">
        <v>78</v>
      </c>
      <c r="N321" t="s">
        <v>79</v>
      </c>
      <c r="O321" t="s">
        <v>74</v>
      </c>
      <c r="P321" t="s">
        <v>74</v>
      </c>
      <c r="Q321" t="s">
        <v>74</v>
      </c>
      <c r="R321" t="s">
        <v>74</v>
      </c>
      <c r="S321" t="s">
        <v>74</v>
      </c>
      <c r="T321" t="s">
        <v>6638</v>
      </c>
      <c r="U321" t="s">
        <v>6639</v>
      </c>
      <c r="V321" t="s">
        <v>6640</v>
      </c>
      <c r="W321" t="s">
        <v>6641</v>
      </c>
      <c r="X321" t="s">
        <v>6642</v>
      </c>
      <c r="Y321" t="s">
        <v>6643</v>
      </c>
      <c r="Z321" t="s">
        <v>6644</v>
      </c>
      <c r="AA321" t="s">
        <v>6645</v>
      </c>
      <c r="AB321" t="s">
        <v>6646</v>
      </c>
      <c r="AC321" t="s">
        <v>6647</v>
      </c>
      <c r="AD321" t="s">
        <v>6648</v>
      </c>
      <c r="AE321" t="s">
        <v>6649</v>
      </c>
      <c r="AF321" t="s">
        <v>74</v>
      </c>
      <c r="AG321">
        <v>121</v>
      </c>
      <c r="AH321">
        <v>41</v>
      </c>
      <c r="AI321">
        <v>45</v>
      </c>
      <c r="AJ321">
        <v>1</v>
      </c>
      <c r="AK321">
        <v>31</v>
      </c>
      <c r="AL321" t="s">
        <v>6650</v>
      </c>
      <c r="AM321" t="s">
        <v>6651</v>
      </c>
      <c r="AN321" t="s">
        <v>6652</v>
      </c>
      <c r="AO321" t="s">
        <v>6653</v>
      </c>
      <c r="AP321" t="s">
        <v>74</v>
      </c>
      <c r="AQ321" t="s">
        <v>74</v>
      </c>
      <c r="AR321" t="s">
        <v>6654</v>
      </c>
      <c r="AS321" t="s">
        <v>6655</v>
      </c>
      <c r="AT321" t="s">
        <v>5544</v>
      </c>
      <c r="AU321">
        <v>2017</v>
      </c>
      <c r="AV321">
        <v>40</v>
      </c>
      <c r="AW321">
        <v>6</v>
      </c>
      <c r="AX321" t="s">
        <v>74</v>
      </c>
      <c r="AY321" t="s">
        <v>74</v>
      </c>
      <c r="AZ321" t="s">
        <v>74</v>
      </c>
      <c r="BA321" t="s">
        <v>74</v>
      </c>
      <c r="BB321">
        <v>357</v>
      </c>
      <c r="BC321">
        <v>369</v>
      </c>
      <c r="BD321" t="s">
        <v>74</v>
      </c>
      <c r="BE321" t="s">
        <v>6656</v>
      </c>
      <c r="BF321" t="str">
        <f>HYPERLINK("http://dx.doi.org/10.1016/j.syapm.2017.05.007","http://dx.doi.org/10.1016/j.syapm.2017.05.007")</f>
        <v>http://dx.doi.org/10.1016/j.syapm.2017.05.007</v>
      </c>
      <c r="BG321" t="s">
        <v>74</v>
      </c>
      <c r="BH321" t="s">
        <v>74</v>
      </c>
      <c r="BI321">
        <v>13</v>
      </c>
      <c r="BJ321" t="s">
        <v>6657</v>
      </c>
      <c r="BK321" t="s">
        <v>101</v>
      </c>
      <c r="BL321" t="s">
        <v>6657</v>
      </c>
      <c r="BM321" t="s">
        <v>6658</v>
      </c>
      <c r="BN321">
        <v>28705596</v>
      </c>
      <c r="BO321" t="s">
        <v>1691</v>
      </c>
      <c r="BP321" t="s">
        <v>74</v>
      </c>
      <c r="BQ321" t="s">
        <v>74</v>
      </c>
      <c r="BR321" t="s">
        <v>105</v>
      </c>
      <c r="BS321" t="s">
        <v>6659</v>
      </c>
      <c r="BT321" t="str">
        <f>HYPERLINK("https%3A%2F%2Fwww.webofscience.com%2Fwos%2Fwoscc%2Ffull-record%2FWOS:000411539100006","View Full Record in Web of Science")</f>
        <v>View Full Record in Web of Science</v>
      </c>
    </row>
    <row r="322" spans="1:72" x14ac:dyDescent="0.15">
      <c r="A322" t="s">
        <v>72</v>
      </c>
      <c r="B322" t="s">
        <v>6660</v>
      </c>
      <c r="C322" t="s">
        <v>74</v>
      </c>
      <c r="D322" t="s">
        <v>74</v>
      </c>
      <c r="E322" t="s">
        <v>74</v>
      </c>
      <c r="F322" t="s">
        <v>6661</v>
      </c>
      <c r="G322" t="s">
        <v>74</v>
      </c>
      <c r="H322" t="s">
        <v>74</v>
      </c>
      <c r="I322" t="s">
        <v>6662</v>
      </c>
      <c r="J322" t="s">
        <v>6663</v>
      </c>
      <c r="K322" t="s">
        <v>74</v>
      </c>
      <c r="L322" t="s">
        <v>74</v>
      </c>
      <c r="M322" t="s">
        <v>78</v>
      </c>
      <c r="N322" t="s">
        <v>79</v>
      </c>
      <c r="O322" t="s">
        <v>74</v>
      </c>
      <c r="P322" t="s">
        <v>74</v>
      </c>
      <c r="Q322" t="s">
        <v>74</v>
      </c>
      <c r="R322" t="s">
        <v>74</v>
      </c>
      <c r="S322" t="s">
        <v>74</v>
      </c>
      <c r="T322" t="s">
        <v>6664</v>
      </c>
      <c r="U322" t="s">
        <v>6665</v>
      </c>
      <c r="V322" t="s">
        <v>6666</v>
      </c>
      <c r="W322" t="s">
        <v>6667</v>
      </c>
      <c r="X322" t="s">
        <v>6668</v>
      </c>
      <c r="Y322" t="s">
        <v>6669</v>
      </c>
      <c r="Z322" t="s">
        <v>6670</v>
      </c>
      <c r="AA322" t="s">
        <v>6671</v>
      </c>
      <c r="AB322" t="s">
        <v>6672</v>
      </c>
      <c r="AC322" t="s">
        <v>6673</v>
      </c>
      <c r="AD322" t="s">
        <v>6674</v>
      </c>
      <c r="AE322" t="s">
        <v>6675</v>
      </c>
      <c r="AF322" t="s">
        <v>74</v>
      </c>
      <c r="AG322">
        <v>39</v>
      </c>
      <c r="AH322">
        <v>15</v>
      </c>
      <c r="AI322">
        <v>21</v>
      </c>
      <c r="AJ322">
        <v>1</v>
      </c>
      <c r="AK322">
        <v>34</v>
      </c>
      <c r="AL322" t="s">
        <v>5970</v>
      </c>
      <c r="AM322" t="s">
        <v>209</v>
      </c>
      <c r="AN322" t="s">
        <v>5971</v>
      </c>
      <c r="AO322" t="s">
        <v>6676</v>
      </c>
      <c r="AP322" t="s">
        <v>6677</v>
      </c>
      <c r="AQ322" t="s">
        <v>74</v>
      </c>
      <c r="AR322" t="s">
        <v>6678</v>
      </c>
      <c r="AS322" t="s">
        <v>6679</v>
      </c>
      <c r="AT322" t="s">
        <v>5544</v>
      </c>
      <c r="AU322">
        <v>2017</v>
      </c>
      <c r="AV322">
        <v>50</v>
      </c>
      <c r="AW322">
        <v>9</v>
      </c>
      <c r="AX322" t="s">
        <v>74</v>
      </c>
      <c r="AY322" t="s">
        <v>74</v>
      </c>
      <c r="AZ322" t="s">
        <v>74</v>
      </c>
      <c r="BA322" t="s">
        <v>74</v>
      </c>
      <c r="BB322">
        <v>1086</v>
      </c>
      <c r="BC322">
        <v>1097</v>
      </c>
      <c r="BD322" t="s">
        <v>74</v>
      </c>
      <c r="BE322" t="s">
        <v>6680</v>
      </c>
      <c r="BF322" t="str">
        <f>HYPERLINK("http://dx.doi.org/10.1134/S1064229317070079","http://dx.doi.org/10.1134/S1064229317070079")</f>
        <v>http://dx.doi.org/10.1134/S1064229317070079</v>
      </c>
      <c r="BG322" t="s">
        <v>74</v>
      </c>
      <c r="BH322" t="s">
        <v>74</v>
      </c>
      <c r="BI322">
        <v>12</v>
      </c>
      <c r="BJ322" t="s">
        <v>6681</v>
      </c>
      <c r="BK322" t="s">
        <v>101</v>
      </c>
      <c r="BL322" t="s">
        <v>6682</v>
      </c>
      <c r="BM322" t="s">
        <v>6683</v>
      </c>
      <c r="BN322" t="s">
        <v>74</v>
      </c>
      <c r="BO322" t="s">
        <v>74</v>
      </c>
      <c r="BP322" t="s">
        <v>74</v>
      </c>
      <c r="BQ322" t="s">
        <v>74</v>
      </c>
      <c r="BR322" t="s">
        <v>105</v>
      </c>
      <c r="BS322" t="s">
        <v>6684</v>
      </c>
      <c r="BT322" t="str">
        <f>HYPERLINK("https%3A%2F%2Fwww.webofscience.com%2Fwos%2Fwoscc%2Ffull-record%2FWOS:000411106900010","View Full Record in Web of Science")</f>
        <v>View Full Record in Web of Science</v>
      </c>
    </row>
    <row r="323" spans="1:72" x14ac:dyDescent="0.15">
      <c r="A323" t="s">
        <v>72</v>
      </c>
      <c r="B323" t="s">
        <v>6685</v>
      </c>
      <c r="C323" t="s">
        <v>74</v>
      </c>
      <c r="D323" t="s">
        <v>74</v>
      </c>
      <c r="E323" t="s">
        <v>74</v>
      </c>
      <c r="F323" t="s">
        <v>6686</v>
      </c>
      <c r="G323" t="s">
        <v>74</v>
      </c>
      <c r="H323" t="s">
        <v>74</v>
      </c>
      <c r="I323" t="s">
        <v>6687</v>
      </c>
      <c r="J323" t="s">
        <v>2256</v>
      </c>
      <c r="K323" t="s">
        <v>74</v>
      </c>
      <c r="L323" t="s">
        <v>74</v>
      </c>
      <c r="M323" t="s">
        <v>78</v>
      </c>
      <c r="N323" t="s">
        <v>79</v>
      </c>
      <c r="O323" t="s">
        <v>74</v>
      </c>
      <c r="P323" t="s">
        <v>74</v>
      </c>
      <c r="Q323" t="s">
        <v>74</v>
      </c>
      <c r="R323" t="s">
        <v>74</v>
      </c>
      <c r="S323" t="s">
        <v>74</v>
      </c>
      <c r="T323" t="s">
        <v>6688</v>
      </c>
      <c r="U323" t="s">
        <v>6689</v>
      </c>
      <c r="V323" t="s">
        <v>6690</v>
      </c>
      <c r="W323" t="s">
        <v>6691</v>
      </c>
      <c r="X323" t="s">
        <v>6692</v>
      </c>
      <c r="Y323" t="s">
        <v>6693</v>
      </c>
      <c r="Z323" t="s">
        <v>6694</v>
      </c>
      <c r="AA323" t="s">
        <v>6695</v>
      </c>
      <c r="AB323" t="s">
        <v>6696</v>
      </c>
      <c r="AC323" t="s">
        <v>6697</v>
      </c>
      <c r="AD323" t="s">
        <v>6698</v>
      </c>
      <c r="AE323" t="s">
        <v>6699</v>
      </c>
      <c r="AF323" t="s">
        <v>74</v>
      </c>
      <c r="AG323">
        <v>48</v>
      </c>
      <c r="AH323">
        <v>12</v>
      </c>
      <c r="AI323">
        <v>12</v>
      </c>
      <c r="AJ323">
        <v>0</v>
      </c>
      <c r="AK323">
        <v>12</v>
      </c>
      <c r="AL323" t="s">
        <v>1981</v>
      </c>
      <c r="AM323" t="s">
        <v>729</v>
      </c>
      <c r="AN323" t="s">
        <v>1982</v>
      </c>
      <c r="AO323" t="s">
        <v>2269</v>
      </c>
      <c r="AP323" t="s">
        <v>74</v>
      </c>
      <c r="AQ323" t="s">
        <v>74</v>
      </c>
      <c r="AR323" t="s">
        <v>2270</v>
      </c>
      <c r="AS323" t="s">
        <v>2271</v>
      </c>
      <c r="AT323" t="s">
        <v>5838</v>
      </c>
      <c r="AU323">
        <v>2017</v>
      </c>
      <c r="AV323">
        <v>171</v>
      </c>
      <c r="AW323" t="s">
        <v>74</v>
      </c>
      <c r="AX323" t="s">
        <v>74</v>
      </c>
      <c r="AY323" t="s">
        <v>74</v>
      </c>
      <c r="AZ323" t="s">
        <v>74</v>
      </c>
      <c r="BA323" t="s">
        <v>74</v>
      </c>
      <c r="BB323">
        <v>73</v>
      </c>
      <c r="BC323">
        <v>84</v>
      </c>
      <c r="BD323" t="s">
        <v>74</v>
      </c>
      <c r="BE323" t="s">
        <v>6700</v>
      </c>
      <c r="BF323" t="str">
        <f>HYPERLINK("http://dx.doi.org/10.1016/j.quascirev.2017.07.003","http://dx.doi.org/10.1016/j.quascirev.2017.07.003")</f>
        <v>http://dx.doi.org/10.1016/j.quascirev.2017.07.003</v>
      </c>
      <c r="BG323" t="s">
        <v>74</v>
      </c>
      <c r="BH323" t="s">
        <v>74</v>
      </c>
      <c r="BI323">
        <v>12</v>
      </c>
      <c r="BJ323" t="s">
        <v>319</v>
      </c>
      <c r="BK323" t="s">
        <v>765</v>
      </c>
      <c r="BL323" t="s">
        <v>320</v>
      </c>
      <c r="BM323" t="s">
        <v>6701</v>
      </c>
      <c r="BN323" t="s">
        <v>74</v>
      </c>
      <c r="BO323" t="s">
        <v>193</v>
      </c>
      <c r="BP323" t="s">
        <v>74</v>
      </c>
      <c r="BQ323" t="s">
        <v>74</v>
      </c>
      <c r="BR323" t="s">
        <v>105</v>
      </c>
      <c r="BS323" t="s">
        <v>6702</v>
      </c>
      <c r="BT323" t="str">
        <f>HYPERLINK("https%3A%2F%2Fwww.webofscience.com%2Fwos%2Fwoscc%2Ffull-record%2FWOS:000410869400006","View Full Record in Web of Science")</f>
        <v>View Full Record in Web of Science</v>
      </c>
    </row>
    <row r="324" spans="1:72" x14ac:dyDescent="0.15">
      <c r="A324" t="s">
        <v>72</v>
      </c>
      <c r="B324" t="s">
        <v>6703</v>
      </c>
      <c r="C324" t="s">
        <v>74</v>
      </c>
      <c r="D324" t="s">
        <v>74</v>
      </c>
      <c r="E324" t="s">
        <v>74</v>
      </c>
      <c r="F324" t="s">
        <v>6704</v>
      </c>
      <c r="G324" t="s">
        <v>74</v>
      </c>
      <c r="H324" t="s">
        <v>74</v>
      </c>
      <c r="I324" t="s">
        <v>6705</v>
      </c>
      <c r="J324" t="s">
        <v>2445</v>
      </c>
      <c r="K324" t="s">
        <v>74</v>
      </c>
      <c r="L324" t="s">
        <v>74</v>
      </c>
      <c r="M324" t="s">
        <v>78</v>
      </c>
      <c r="N324" t="s">
        <v>79</v>
      </c>
      <c r="O324" t="s">
        <v>74</v>
      </c>
      <c r="P324" t="s">
        <v>74</v>
      </c>
      <c r="Q324" t="s">
        <v>74</v>
      </c>
      <c r="R324" t="s">
        <v>74</v>
      </c>
      <c r="S324" t="s">
        <v>74</v>
      </c>
      <c r="T324" t="s">
        <v>6706</v>
      </c>
      <c r="U324" t="s">
        <v>6707</v>
      </c>
      <c r="V324" t="s">
        <v>6708</v>
      </c>
      <c r="W324" t="s">
        <v>6709</v>
      </c>
      <c r="X324" t="s">
        <v>6710</v>
      </c>
      <c r="Y324" t="s">
        <v>6711</v>
      </c>
      <c r="Z324" t="s">
        <v>6712</v>
      </c>
      <c r="AA324" t="s">
        <v>6713</v>
      </c>
      <c r="AB324" t="s">
        <v>74</v>
      </c>
      <c r="AC324" t="s">
        <v>6714</v>
      </c>
      <c r="AD324" t="s">
        <v>6715</v>
      </c>
      <c r="AE324" t="s">
        <v>6716</v>
      </c>
      <c r="AF324" t="s">
        <v>74</v>
      </c>
      <c r="AG324">
        <v>87</v>
      </c>
      <c r="AH324">
        <v>0</v>
      </c>
      <c r="AI324">
        <v>1</v>
      </c>
      <c r="AJ324">
        <v>1</v>
      </c>
      <c r="AK324">
        <v>15</v>
      </c>
      <c r="AL324" t="s">
        <v>728</v>
      </c>
      <c r="AM324" t="s">
        <v>729</v>
      </c>
      <c r="AN324" t="s">
        <v>730</v>
      </c>
      <c r="AO324" t="s">
        <v>2458</v>
      </c>
      <c r="AP324" t="s">
        <v>2459</v>
      </c>
      <c r="AQ324" t="s">
        <v>74</v>
      </c>
      <c r="AR324" t="s">
        <v>2460</v>
      </c>
      <c r="AS324" t="s">
        <v>2461</v>
      </c>
      <c r="AT324" t="s">
        <v>5544</v>
      </c>
      <c r="AU324">
        <v>2017</v>
      </c>
      <c r="AV324">
        <v>117</v>
      </c>
      <c r="AW324" t="s">
        <v>74</v>
      </c>
      <c r="AX324" t="s">
        <v>74</v>
      </c>
      <c r="AY324" t="s">
        <v>74</v>
      </c>
      <c r="AZ324" t="s">
        <v>74</v>
      </c>
      <c r="BA324" t="s">
        <v>74</v>
      </c>
      <c r="BB324">
        <v>12</v>
      </c>
      <c r="BC324">
        <v>27</v>
      </c>
      <c r="BD324" t="s">
        <v>74</v>
      </c>
      <c r="BE324" t="s">
        <v>6717</v>
      </c>
      <c r="BF324" t="str">
        <f>HYPERLINK("http://dx.doi.org/10.1016/j.ocemod.2017.06.006","http://dx.doi.org/10.1016/j.ocemod.2017.06.006")</f>
        <v>http://dx.doi.org/10.1016/j.ocemod.2017.06.006</v>
      </c>
      <c r="BG324" t="s">
        <v>74</v>
      </c>
      <c r="BH324" t="s">
        <v>74</v>
      </c>
      <c r="BI324">
        <v>16</v>
      </c>
      <c r="BJ324" t="s">
        <v>2463</v>
      </c>
      <c r="BK324" t="s">
        <v>101</v>
      </c>
      <c r="BL324" t="s">
        <v>2463</v>
      </c>
      <c r="BM324" t="s">
        <v>6718</v>
      </c>
      <c r="BN324" t="s">
        <v>74</v>
      </c>
      <c r="BO324" t="s">
        <v>74</v>
      </c>
      <c r="BP324" t="s">
        <v>74</v>
      </c>
      <c r="BQ324" t="s">
        <v>74</v>
      </c>
      <c r="BR324" t="s">
        <v>105</v>
      </c>
      <c r="BS324" t="s">
        <v>6719</v>
      </c>
      <c r="BT324" t="str">
        <f>HYPERLINK("https%3A%2F%2Fwww.webofscience.com%2Fwos%2Fwoscc%2Ffull-record%2FWOS:000410800500002","View Full Record in Web of Science")</f>
        <v>View Full Record in Web of Science</v>
      </c>
    </row>
    <row r="325" spans="1:72" x14ac:dyDescent="0.15">
      <c r="A325" t="s">
        <v>72</v>
      </c>
      <c r="B325" t="s">
        <v>6720</v>
      </c>
      <c r="C325" t="s">
        <v>74</v>
      </c>
      <c r="D325" t="s">
        <v>74</v>
      </c>
      <c r="E325" t="s">
        <v>74</v>
      </c>
      <c r="F325" t="s">
        <v>6721</v>
      </c>
      <c r="G325" t="s">
        <v>74</v>
      </c>
      <c r="H325" t="s">
        <v>74</v>
      </c>
      <c r="I325" t="s">
        <v>6722</v>
      </c>
      <c r="J325" t="s">
        <v>2445</v>
      </c>
      <c r="K325" t="s">
        <v>74</v>
      </c>
      <c r="L325" t="s">
        <v>74</v>
      </c>
      <c r="M325" t="s">
        <v>78</v>
      </c>
      <c r="N325" t="s">
        <v>79</v>
      </c>
      <c r="O325" t="s">
        <v>74</v>
      </c>
      <c r="P325" t="s">
        <v>74</v>
      </c>
      <c r="Q325" t="s">
        <v>74</v>
      </c>
      <c r="R325" t="s">
        <v>74</v>
      </c>
      <c r="S325" t="s">
        <v>74</v>
      </c>
      <c r="T325" t="s">
        <v>6723</v>
      </c>
      <c r="U325" t="s">
        <v>6724</v>
      </c>
      <c r="V325" t="s">
        <v>6725</v>
      </c>
      <c r="W325" t="s">
        <v>6726</v>
      </c>
      <c r="X325" t="s">
        <v>6727</v>
      </c>
      <c r="Y325" t="s">
        <v>6728</v>
      </c>
      <c r="Z325" t="s">
        <v>6729</v>
      </c>
      <c r="AA325" t="s">
        <v>6730</v>
      </c>
      <c r="AB325" t="s">
        <v>6731</v>
      </c>
      <c r="AC325" t="s">
        <v>6732</v>
      </c>
      <c r="AD325" t="s">
        <v>6733</v>
      </c>
      <c r="AE325" t="s">
        <v>6734</v>
      </c>
      <c r="AF325" t="s">
        <v>74</v>
      </c>
      <c r="AG325">
        <v>40</v>
      </c>
      <c r="AH325">
        <v>18</v>
      </c>
      <c r="AI325">
        <v>20</v>
      </c>
      <c r="AJ325">
        <v>0</v>
      </c>
      <c r="AK325">
        <v>22</v>
      </c>
      <c r="AL325" t="s">
        <v>728</v>
      </c>
      <c r="AM325" t="s">
        <v>729</v>
      </c>
      <c r="AN325" t="s">
        <v>730</v>
      </c>
      <c r="AO325" t="s">
        <v>2458</v>
      </c>
      <c r="AP325" t="s">
        <v>2459</v>
      </c>
      <c r="AQ325" t="s">
        <v>74</v>
      </c>
      <c r="AR325" t="s">
        <v>2460</v>
      </c>
      <c r="AS325" t="s">
        <v>2461</v>
      </c>
      <c r="AT325" t="s">
        <v>5544</v>
      </c>
      <c r="AU325">
        <v>2017</v>
      </c>
      <c r="AV325">
        <v>117</v>
      </c>
      <c r="AW325" t="s">
        <v>74</v>
      </c>
      <c r="AX325" t="s">
        <v>74</v>
      </c>
      <c r="AY325" t="s">
        <v>74</v>
      </c>
      <c r="AZ325" t="s">
        <v>74</v>
      </c>
      <c r="BA325" t="s">
        <v>74</v>
      </c>
      <c r="BB325">
        <v>88</v>
      </c>
      <c r="BC325">
        <v>96</v>
      </c>
      <c r="BD325" t="s">
        <v>74</v>
      </c>
      <c r="BE325" t="s">
        <v>6735</v>
      </c>
      <c r="BF325" t="str">
        <f>HYPERLINK("http://dx.doi.org/10.1016/j.ocemod.2017.07.003","http://dx.doi.org/10.1016/j.ocemod.2017.07.003")</f>
        <v>http://dx.doi.org/10.1016/j.ocemod.2017.07.003</v>
      </c>
      <c r="BG325" t="s">
        <v>74</v>
      </c>
      <c r="BH325" t="s">
        <v>74</v>
      </c>
      <c r="BI325">
        <v>9</v>
      </c>
      <c r="BJ325" t="s">
        <v>2463</v>
      </c>
      <c r="BK325" t="s">
        <v>101</v>
      </c>
      <c r="BL325" t="s">
        <v>2463</v>
      </c>
      <c r="BM325" t="s">
        <v>6718</v>
      </c>
      <c r="BN325" t="s">
        <v>74</v>
      </c>
      <c r="BO325" t="s">
        <v>1375</v>
      </c>
      <c r="BP325" t="s">
        <v>74</v>
      </c>
      <c r="BQ325" t="s">
        <v>74</v>
      </c>
      <c r="BR325" t="s">
        <v>105</v>
      </c>
      <c r="BS325" t="s">
        <v>6736</v>
      </c>
      <c r="BT325" t="str">
        <f>HYPERLINK("https%3A%2F%2Fwww.webofscience.com%2Fwos%2Fwoscc%2Ffull-record%2FWOS:000410800500007","View Full Record in Web of Science")</f>
        <v>View Full Record in Web of Science</v>
      </c>
    </row>
    <row r="326" spans="1:72" x14ac:dyDescent="0.15">
      <c r="A326" t="s">
        <v>72</v>
      </c>
      <c r="B326" t="s">
        <v>6737</v>
      </c>
      <c r="C326" t="s">
        <v>74</v>
      </c>
      <c r="D326" t="s">
        <v>74</v>
      </c>
      <c r="E326" t="s">
        <v>74</v>
      </c>
      <c r="F326" t="s">
        <v>6738</v>
      </c>
      <c r="G326" t="s">
        <v>74</v>
      </c>
      <c r="H326" t="s">
        <v>74</v>
      </c>
      <c r="I326" t="s">
        <v>6739</v>
      </c>
      <c r="J326" t="s">
        <v>2576</v>
      </c>
      <c r="K326" t="s">
        <v>74</v>
      </c>
      <c r="L326" t="s">
        <v>74</v>
      </c>
      <c r="M326" t="s">
        <v>78</v>
      </c>
      <c r="N326" t="s">
        <v>79</v>
      </c>
      <c r="O326" t="s">
        <v>74</v>
      </c>
      <c r="P326" t="s">
        <v>74</v>
      </c>
      <c r="Q326" t="s">
        <v>74</v>
      </c>
      <c r="R326" t="s">
        <v>74</v>
      </c>
      <c r="S326" t="s">
        <v>74</v>
      </c>
      <c r="T326" t="s">
        <v>6740</v>
      </c>
      <c r="U326" t="s">
        <v>6741</v>
      </c>
      <c r="V326" t="s">
        <v>6742</v>
      </c>
      <c r="W326" t="s">
        <v>6743</v>
      </c>
      <c r="X326" t="s">
        <v>6744</v>
      </c>
      <c r="Y326" t="s">
        <v>6745</v>
      </c>
      <c r="Z326" t="s">
        <v>1702</v>
      </c>
      <c r="AA326" t="s">
        <v>6746</v>
      </c>
      <c r="AB326" t="s">
        <v>6747</v>
      </c>
      <c r="AC326" t="s">
        <v>6748</v>
      </c>
      <c r="AD326" t="s">
        <v>6749</v>
      </c>
      <c r="AE326" t="s">
        <v>6750</v>
      </c>
      <c r="AF326" t="s">
        <v>74</v>
      </c>
      <c r="AG326">
        <v>25</v>
      </c>
      <c r="AH326">
        <v>3</v>
      </c>
      <c r="AI326">
        <v>3</v>
      </c>
      <c r="AJ326">
        <v>1</v>
      </c>
      <c r="AK326">
        <v>20</v>
      </c>
      <c r="AL326" t="s">
        <v>208</v>
      </c>
      <c r="AM326" t="s">
        <v>209</v>
      </c>
      <c r="AN326" t="s">
        <v>210</v>
      </c>
      <c r="AO326" t="s">
        <v>2587</v>
      </c>
      <c r="AP326" t="s">
        <v>2588</v>
      </c>
      <c r="AQ326" t="s">
        <v>74</v>
      </c>
      <c r="AR326" t="s">
        <v>2589</v>
      </c>
      <c r="AS326" t="s">
        <v>2590</v>
      </c>
      <c r="AT326" t="s">
        <v>5544</v>
      </c>
      <c r="AU326">
        <v>2017</v>
      </c>
      <c r="AV326">
        <v>40</v>
      </c>
      <c r="AW326">
        <v>9</v>
      </c>
      <c r="AX326" t="s">
        <v>74</v>
      </c>
      <c r="AY326" t="s">
        <v>74</v>
      </c>
      <c r="AZ326" t="s">
        <v>74</v>
      </c>
      <c r="BA326" t="s">
        <v>74</v>
      </c>
      <c r="BB326">
        <v>1699</v>
      </c>
      <c r="BC326">
        <v>1705</v>
      </c>
      <c r="BD326" t="s">
        <v>74</v>
      </c>
      <c r="BE326" t="s">
        <v>6751</v>
      </c>
      <c r="BF326" t="str">
        <f>HYPERLINK("http://dx.doi.org/10.1007/s00300-017-2093-4","http://dx.doi.org/10.1007/s00300-017-2093-4")</f>
        <v>http://dx.doi.org/10.1007/s00300-017-2093-4</v>
      </c>
      <c r="BG326" t="s">
        <v>74</v>
      </c>
      <c r="BH326" t="s">
        <v>74</v>
      </c>
      <c r="BI326">
        <v>7</v>
      </c>
      <c r="BJ326" t="s">
        <v>2592</v>
      </c>
      <c r="BK326" t="s">
        <v>101</v>
      </c>
      <c r="BL326" t="s">
        <v>2593</v>
      </c>
      <c r="BM326" t="s">
        <v>6752</v>
      </c>
      <c r="BN326" t="s">
        <v>74</v>
      </c>
      <c r="BO326" t="s">
        <v>74</v>
      </c>
      <c r="BP326" t="s">
        <v>74</v>
      </c>
      <c r="BQ326" t="s">
        <v>74</v>
      </c>
      <c r="BR326" t="s">
        <v>105</v>
      </c>
      <c r="BS326" t="s">
        <v>6753</v>
      </c>
      <c r="BT326" t="str">
        <f>HYPERLINK("https%3A%2F%2Fwww.webofscience.com%2Fwos%2Fwoscc%2Ffull-record%2FWOS:000410258900001","View Full Record in Web of Science")</f>
        <v>View Full Record in Web of Science</v>
      </c>
    </row>
    <row r="327" spans="1:72" x14ac:dyDescent="0.15">
      <c r="A327" t="s">
        <v>72</v>
      </c>
      <c r="B327" t="s">
        <v>6754</v>
      </c>
      <c r="C327" t="s">
        <v>74</v>
      </c>
      <c r="D327" t="s">
        <v>74</v>
      </c>
      <c r="E327" t="s">
        <v>74</v>
      </c>
      <c r="F327" t="s">
        <v>6755</v>
      </c>
      <c r="G327" t="s">
        <v>74</v>
      </c>
      <c r="H327" t="s">
        <v>74</v>
      </c>
      <c r="I327" t="s">
        <v>6756</v>
      </c>
      <c r="J327" t="s">
        <v>2576</v>
      </c>
      <c r="K327" t="s">
        <v>74</v>
      </c>
      <c r="L327" t="s">
        <v>74</v>
      </c>
      <c r="M327" t="s">
        <v>78</v>
      </c>
      <c r="N327" t="s">
        <v>79</v>
      </c>
      <c r="O327" t="s">
        <v>74</v>
      </c>
      <c r="P327" t="s">
        <v>74</v>
      </c>
      <c r="Q327" t="s">
        <v>74</v>
      </c>
      <c r="R327" t="s">
        <v>74</v>
      </c>
      <c r="S327" t="s">
        <v>74</v>
      </c>
      <c r="T327" t="s">
        <v>6757</v>
      </c>
      <c r="U327" t="s">
        <v>6758</v>
      </c>
      <c r="V327" t="s">
        <v>6759</v>
      </c>
      <c r="W327" t="s">
        <v>6760</v>
      </c>
      <c r="X327" t="s">
        <v>748</v>
      </c>
      <c r="Y327" t="s">
        <v>6761</v>
      </c>
      <c r="Z327" t="s">
        <v>6762</v>
      </c>
      <c r="AA327" t="s">
        <v>74</v>
      </c>
      <c r="AB327" t="s">
        <v>6763</v>
      </c>
      <c r="AC327" t="s">
        <v>6764</v>
      </c>
      <c r="AD327" t="s">
        <v>6765</v>
      </c>
      <c r="AE327" t="s">
        <v>6766</v>
      </c>
      <c r="AF327" t="s">
        <v>74</v>
      </c>
      <c r="AG327">
        <v>95</v>
      </c>
      <c r="AH327">
        <v>6</v>
      </c>
      <c r="AI327">
        <v>7</v>
      </c>
      <c r="AJ327">
        <v>1</v>
      </c>
      <c r="AK327">
        <v>21</v>
      </c>
      <c r="AL327" t="s">
        <v>208</v>
      </c>
      <c r="AM327" t="s">
        <v>209</v>
      </c>
      <c r="AN327" t="s">
        <v>2659</v>
      </c>
      <c r="AO327" t="s">
        <v>2587</v>
      </c>
      <c r="AP327" t="s">
        <v>2588</v>
      </c>
      <c r="AQ327" t="s">
        <v>74</v>
      </c>
      <c r="AR327" t="s">
        <v>2589</v>
      </c>
      <c r="AS327" t="s">
        <v>2590</v>
      </c>
      <c r="AT327" t="s">
        <v>5544</v>
      </c>
      <c r="AU327">
        <v>2017</v>
      </c>
      <c r="AV327">
        <v>40</v>
      </c>
      <c r="AW327">
        <v>9</v>
      </c>
      <c r="AX327" t="s">
        <v>74</v>
      </c>
      <c r="AY327" t="s">
        <v>74</v>
      </c>
      <c r="AZ327" t="s">
        <v>74</v>
      </c>
      <c r="BA327" t="s">
        <v>74</v>
      </c>
      <c r="BB327">
        <v>1739</v>
      </c>
      <c r="BC327">
        <v>1753</v>
      </c>
      <c r="BD327" t="s">
        <v>74</v>
      </c>
      <c r="BE327" t="s">
        <v>6767</v>
      </c>
      <c r="BF327" t="str">
        <f>HYPERLINK("http://dx.doi.org/10.1007/s00300-017-2096-1","http://dx.doi.org/10.1007/s00300-017-2096-1")</f>
        <v>http://dx.doi.org/10.1007/s00300-017-2096-1</v>
      </c>
      <c r="BG327" t="s">
        <v>74</v>
      </c>
      <c r="BH327" t="s">
        <v>74</v>
      </c>
      <c r="BI327">
        <v>15</v>
      </c>
      <c r="BJ327" t="s">
        <v>2592</v>
      </c>
      <c r="BK327" t="s">
        <v>101</v>
      </c>
      <c r="BL327" t="s">
        <v>2593</v>
      </c>
      <c r="BM327" t="s">
        <v>6752</v>
      </c>
      <c r="BN327" t="s">
        <v>74</v>
      </c>
      <c r="BO327" t="s">
        <v>74</v>
      </c>
      <c r="BP327" t="s">
        <v>74</v>
      </c>
      <c r="BQ327" t="s">
        <v>74</v>
      </c>
      <c r="BR327" t="s">
        <v>105</v>
      </c>
      <c r="BS327" t="s">
        <v>6768</v>
      </c>
      <c r="BT327" t="str">
        <f>HYPERLINK("https%3A%2F%2Fwww.webofscience.com%2Fwos%2Fwoscc%2Ffull-record%2FWOS:000410258900004","View Full Record in Web of Science")</f>
        <v>View Full Record in Web of Science</v>
      </c>
    </row>
    <row r="328" spans="1:72" x14ac:dyDescent="0.15">
      <c r="A328" t="s">
        <v>72</v>
      </c>
      <c r="B328" t="s">
        <v>6769</v>
      </c>
      <c r="C328" t="s">
        <v>74</v>
      </c>
      <c r="D328" t="s">
        <v>74</v>
      </c>
      <c r="E328" t="s">
        <v>74</v>
      </c>
      <c r="F328" t="s">
        <v>6770</v>
      </c>
      <c r="G328" t="s">
        <v>74</v>
      </c>
      <c r="H328" t="s">
        <v>74</v>
      </c>
      <c r="I328" t="s">
        <v>6771</v>
      </c>
      <c r="J328" t="s">
        <v>2576</v>
      </c>
      <c r="K328" t="s">
        <v>74</v>
      </c>
      <c r="L328" t="s">
        <v>74</v>
      </c>
      <c r="M328" t="s">
        <v>78</v>
      </c>
      <c r="N328" t="s">
        <v>79</v>
      </c>
      <c r="O328" t="s">
        <v>74</v>
      </c>
      <c r="P328" t="s">
        <v>74</v>
      </c>
      <c r="Q328" t="s">
        <v>74</v>
      </c>
      <c r="R328" t="s">
        <v>74</v>
      </c>
      <c r="S328" t="s">
        <v>74</v>
      </c>
      <c r="T328" t="s">
        <v>6772</v>
      </c>
      <c r="U328" t="s">
        <v>6773</v>
      </c>
      <c r="V328" t="s">
        <v>6774</v>
      </c>
      <c r="W328" t="s">
        <v>6775</v>
      </c>
      <c r="X328" t="s">
        <v>6776</v>
      </c>
      <c r="Y328" t="s">
        <v>6777</v>
      </c>
      <c r="Z328" t="s">
        <v>6778</v>
      </c>
      <c r="AA328" t="s">
        <v>6779</v>
      </c>
      <c r="AB328" t="s">
        <v>6780</v>
      </c>
      <c r="AC328" t="s">
        <v>6781</v>
      </c>
      <c r="AD328" t="s">
        <v>6782</v>
      </c>
      <c r="AE328" t="s">
        <v>6783</v>
      </c>
      <c r="AF328" t="s">
        <v>74</v>
      </c>
      <c r="AG328">
        <v>29</v>
      </c>
      <c r="AH328">
        <v>16</v>
      </c>
      <c r="AI328">
        <v>17</v>
      </c>
      <c r="AJ328">
        <v>1</v>
      </c>
      <c r="AK328">
        <v>21</v>
      </c>
      <c r="AL328" t="s">
        <v>208</v>
      </c>
      <c r="AM328" t="s">
        <v>209</v>
      </c>
      <c r="AN328" t="s">
        <v>210</v>
      </c>
      <c r="AO328" t="s">
        <v>2587</v>
      </c>
      <c r="AP328" t="s">
        <v>2588</v>
      </c>
      <c r="AQ328" t="s">
        <v>74</v>
      </c>
      <c r="AR328" t="s">
        <v>2589</v>
      </c>
      <c r="AS328" t="s">
        <v>2590</v>
      </c>
      <c r="AT328" t="s">
        <v>5544</v>
      </c>
      <c r="AU328">
        <v>2017</v>
      </c>
      <c r="AV328">
        <v>40</v>
      </c>
      <c r="AW328">
        <v>9</v>
      </c>
      <c r="AX328" t="s">
        <v>74</v>
      </c>
      <c r="AY328" t="s">
        <v>74</v>
      </c>
      <c r="AZ328" t="s">
        <v>74</v>
      </c>
      <c r="BA328" t="s">
        <v>74</v>
      </c>
      <c r="BB328">
        <v>1755</v>
      </c>
      <c r="BC328">
        <v>1760</v>
      </c>
      <c r="BD328" t="s">
        <v>74</v>
      </c>
      <c r="BE328" t="s">
        <v>6784</v>
      </c>
      <c r="BF328" t="str">
        <f>HYPERLINK("http://dx.doi.org/10.1007/s00300-017-2099-y","http://dx.doi.org/10.1007/s00300-017-2099-y")</f>
        <v>http://dx.doi.org/10.1007/s00300-017-2099-y</v>
      </c>
      <c r="BG328" t="s">
        <v>74</v>
      </c>
      <c r="BH328" t="s">
        <v>74</v>
      </c>
      <c r="BI328">
        <v>6</v>
      </c>
      <c r="BJ328" t="s">
        <v>2592</v>
      </c>
      <c r="BK328" t="s">
        <v>101</v>
      </c>
      <c r="BL328" t="s">
        <v>2593</v>
      </c>
      <c r="BM328" t="s">
        <v>6752</v>
      </c>
      <c r="BN328" t="s">
        <v>74</v>
      </c>
      <c r="BO328" t="s">
        <v>74</v>
      </c>
      <c r="BP328" t="s">
        <v>74</v>
      </c>
      <c r="BQ328" t="s">
        <v>74</v>
      </c>
      <c r="BR328" t="s">
        <v>105</v>
      </c>
      <c r="BS328" t="s">
        <v>6785</v>
      </c>
      <c r="BT328" t="str">
        <f>HYPERLINK("https%3A%2F%2Fwww.webofscience.com%2Fwos%2Fwoscc%2Ffull-record%2FWOS:000410258900005","View Full Record in Web of Science")</f>
        <v>View Full Record in Web of Science</v>
      </c>
    </row>
    <row r="329" spans="1:72" x14ac:dyDescent="0.15">
      <c r="A329" t="s">
        <v>72</v>
      </c>
      <c r="B329" t="s">
        <v>6786</v>
      </c>
      <c r="C329" t="s">
        <v>74</v>
      </c>
      <c r="D329" t="s">
        <v>74</v>
      </c>
      <c r="E329" t="s">
        <v>74</v>
      </c>
      <c r="F329" t="s">
        <v>6787</v>
      </c>
      <c r="G329" t="s">
        <v>74</v>
      </c>
      <c r="H329" t="s">
        <v>74</v>
      </c>
      <c r="I329" t="s">
        <v>6788</v>
      </c>
      <c r="J329" t="s">
        <v>2576</v>
      </c>
      <c r="K329" t="s">
        <v>74</v>
      </c>
      <c r="L329" t="s">
        <v>74</v>
      </c>
      <c r="M329" t="s">
        <v>78</v>
      </c>
      <c r="N329" t="s">
        <v>79</v>
      </c>
      <c r="O329" t="s">
        <v>74</v>
      </c>
      <c r="P329" t="s">
        <v>74</v>
      </c>
      <c r="Q329" t="s">
        <v>74</v>
      </c>
      <c r="R329" t="s">
        <v>74</v>
      </c>
      <c r="S329" t="s">
        <v>74</v>
      </c>
      <c r="T329" t="s">
        <v>6789</v>
      </c>
      <c r="U329" t="s">
        <v>6790</v>
      </c>
      <c r="V329" t="s">
        <v>6791</v>
      </c>
      <c r="W329" t="s">
        <v>6792</v>
      </c>
      <c r="X329" t="s">
        <v>6793</v>
      </c>
      <c r="Y329" t="s">
        <v>6794</v>
      </c>
      <c r="Z329" t="s">
        <v>6795</v>
      </c>
      <c r="AA329" t="s">
        <v>6796</v>
      </c>
      <c r="AB329" t="s">
        <v>6797</v>
      </c>
      <c r="AC329" t="s">
        <v>6798</v>
      </c>
      <c r="AD329" t="s">
        <v>6799</v>
      </c>
      <c r="AE329" t="s">
        <v>6800</v>
      </c>
      <c r="AF329" t="s">
        <v>74</v>
      </c>
      <c r="AG329">
        <v>65</v>
      </c>
      <c r="AH329">
        <v>14</v>
      </c>
      <c r="AI329">
        <v>14</v>
      </c>
      <c r="AJ329">
        <v>0</v>
      </c>
      <c r="AK329">
        <v>35</v>
      </c>
      <c r="AL329" t="s">
        <v>208</v>
      </c>
      <c r="AM329" t="s">
        <v>209</v>
      </c>
      <c r="AN329" t="s">
        <v>2659</v>
      </c>
      <c r="AO329" t="s">
        <v>2587</v>
      </c>
      <c r="AP329" t="s">
        <v>2588</v>
      </c>
      <c r="AQ329" t="s">
        <v>74</v>
      </c>
      <c r="AR329" t="s">
        <v>2589</v>
      </c>
      <c r="AS329" t="s">
        <v>2590</v>
      </c>
      <c r="AT329" t="s">
        <v>5544</v>
      </c>
      <c r="AU329">
        <v>2017</v>
      </c>
      <c r="AV329">
        <v>40</v>
      </c>
      <c r="AW329">
        <v>9</v>
      </c>
      <c r="AX329" t="s">
        <v>74</v>
      </c>
      <c r="AY329" t="s">
        <v>74</v>
      </c>
      <c r="AZ329" t="s">
        <v>74</v>
      </c>
      <c r="BA329" t="s">
        <v>74</v>
      </c>
      <c r="BB329">
        <v>1761</v>
      </c>
      <c r="BC329">
        <v>1775</v>
      </c>
      <c r="BD329" t="s">
        <v>74</v>
      </c>
      <c r="BE329" t="s">
        <v>6801</v>
      </c>
      <c r="BF329" t="str">
        <f>HYPERLINK("http://dx.doi.org/10.1007/s00300-017-2100-9","http://dx.doi.org/10.1007/s00300-017-2100-9")</f>
        <v>http://dx.doi.org/10.1007/s00300-017-2100-9</v>
      </c>
      <c r="BG329" t="s">
        <v>74</v>
      </c>
      <c r="BH329" t="s">
        <v>74</v>
      </c>
      <c r="BI329">
        <v>15</v>
      </c>
      <c r="BJ329" t="s">
        <v>2592</v>
      </c>
      <c r="BK329" t="s">
        <v>101</v>
      </c>
      <c r="BL329" t="s">
        <v>2593</v>
      </c>
      <c r="BM329" t="s">
        <v>6752</v>
      </c>
      <c r="BN329" t="s">
        <v>74</v>
      </c>
      <c r="BO329" t="s">
        <v>74</v>
      </c>
      <c r="BP329" t="s">
        <v>74</v>
      </c>
      <c r="BQ329" t="s">
        <v>74</v>
      </c>
      <c r="BR329" t="s">
        <v>105</v>
      </c>
      <c r="BS329" t="s">
        <v>6802</v>
      </c>
      <c r="BT329" t="str">
        <f>HYPERLINK("https%3A%2F%2Fwww.webofscience.com%2Fwos%2Fwoscc%2Ffull-record%2FWOS:000410258900006","View Full Record in Web of Science")</f>
        <v>View Full Record in Web of Science</v>
      </c>
    </row>
    <row r="330" spans="1:72" x14ac:dyDescent="0.15">
      <c r="A330" t="s">
        <v>72</v>
      </c>
      <c r="B330" t="s">
        <v>6803</v>
      </c>
      <c r="C330" t="s">
        <v>74</v>
      </c>
      <c r="D330" t="s">
        <v>74</v>
      </c>
      <c r="E330" t="s">
        <v>74</v>
      </c>
      <c r="F330" t="s">
        <v>6804</v>
      </c>
      <c r="G330" t="s">
        <v>74</v>
      </c>
      <c r="H330" t="s">
        <v>74</v>
      </c>
      <c r="I330" t="s">
        <v>6805</v>
      </c>
      <c r="J330" t="s">
        <v>2576</v>
      </c>
      <c r="K330" t="s">
        <v>74</v>
      </c>
      <c r="L330" t="s">
        <v>74</v>
      </c>
      <c r="M330" t="s">
        <v>78</v>
      </c>
      <c r="N330" t="s">
        <v>79</v>
      </c>
      <c r="O330" t="s">
        <v>74</v>
      </c>
      <c r="P330" t="s">
        <v>74</v>
      </c>
      <c r="Q330" t="s">
        <v>74</v>
      </c>
      <c r="R330" t="s">
        <v>74</v>
      </c>
      <c r="S330" t="s">
        <v>74</v>
      </c>
      <c r="T330" t="s">
        <v>6806</v>
      </c>
      <c r="U330" t="s">
        <v>6807</v>
      </c>
      <c r="V330" t="s">
        <v>6808</v>
      </c>
      <c r="W330" t="s">
        <v>6809</v>
      </c>
      <c r="X330" t="s">
        <v>6810</v>
      </c>
      <c r="Y330" t="s">
        <v>6811</v>
      </c>
      <c r="Z330" t="s">
        <v>6812</v>
      </c>
      <c r="AA330" t="s">
        <v>6813</v>
      </c>
      <c r="AB330" t="s">
        <v>6814</v>
      </c>
      <c r="AC330" t="s">
        <v>6815</v>
      </c>
      <c r="AD330" t="s">
        <v>6816</v>
      </c>
      <c r="AE330" t="s">
        <v>6817</v>
      </c>
      <c r="AF330" t="s">
        <v>74</v>
      </c>
      <c r="AG330">
        <v>41</v>
      </c>
      <c r="AH330">
        <v>21</v>
      </c>
      <c r="AI330">
        <v>26</v>
      </c>
      <c r="AJ330">
        <v>0</v>
      </c>
      <c r="AK330">
        <v>26</v>
      </c>
      <c r="AL330" t="s">
        <v>208</v>
      </c>
      <c r="AM330" t="s">
        <v>209</v>
      </c>
      <c r="AN330" t="s">
        <v>210</v>
      </c>
      <c r="AO330" t="s">
        <v>2587</v>
      </c>
      <c r="AP330" t="s">
        <v>2588</v>
      </c>
      <c r="AQ330" t="s">
        <v>74</v>
      </c>
      <c r="AR330" t="s">
        <v>2589</v>
      </c>
      <c r="AS330" t="s">
        <v>2590</v>
      </c>
      <c r="AT330" t="s">
        <v>5544</v>
      </c>
      <c r="AU330">
        <v>2017</v>
      </c>
      <c r="AV330">
        <v>40</v>
      </c>
      <c r="AW330">
        <v>9</v>
      </c>
      <c r="AX330" t="s">
        <v>74</v>
      </c>
      <c r="AY330" t="s">
        <v>74</v>
      </c>
      <c r="AZ330" t="s">
        <v>74</v>
      </c>
      <c r="BA330" t="s">
        <v>74</v>
      </c>
      <c r="BB330">
        <v>1787</v>
      </c>
      <c r="BC330">
        <v>1803</v>
      </c>
      <c r="BD330" t="s">
        <v>74</v>
      </c>
      <c r="BE330" t="s">
        <v>6818</v>
      </c>
      <c r="BF330" t="str">
        <f>HYPERLINK("http://dx.doi.org/10.1007/s00300-017-2102-7","http://dx.doi.org/10.1007/s00300-017-2102-7")</f>
        <v>http://dx.doi.org/10.1007/s00300-017-2102-7</v>
      </c>
      <c r="BG330" t="s">
        <v>74</v>
      </c>
      <c r="BH330" t="s">
        <v>74</v>
      </c>
      <c r="BI330">
        <v>17</v>
      </c>
      <c r="BJ330" t="s">
        <v>2592</v>
      </c>
      <c r="BK330" t="s">
        <v>101</v>
      </c>
      <c r="BL330" t="s">
        <v>2593</v>
      </c>
      <c r="BM330" t="s">
        <v>6752</v>
      </c>
      <c r="BN330" t="s">
        <v>74</v>
      </c>
      <c r="BO330" t="s">
        <v>74</v>
      </c>
      <c r="BP330" t="s">
        <v>74</v>
      </c>
      <c r="BQ330" t="s">
        <v>74</v>
      </c>
      <c r="BR330" t="s">
        <v>105</v>
      </c>
      <c r="BS330" t="s">
        <v>6819</v>
      </c>
      <c r="BT330" t="str">
        <f>HYPERLINK("https%3A%2F%2Fwww.webofscience.com%2Fwos%2Fwoscc%2Ffull-record%2FWOS:000410258900008","View Full Record in Web of Science")</f>
        <v>View Full Record in Web of Science</v>
      </c>
    </row>
    <row r="331" spans="1:72" x14ac:dyDescent="0.15">
      <c r="A331" t="s">
        <v>72</v>
      </c>
      <c r="B331" t="s">
        <v>6820</v>
      </c>
      <c r="C331" t="s">
        <v>74</v>
      </c>
      <c r="D331" t="s">
        <v>74</v>
      </c>
      <c r="E331" t="s">
        <v>74</v>
      </c>
      <c r="F331" t="s">
        <v>6821</v>
      </c>
      <c r="G331" t="s">
        <v>74</v>
      </c>
      <c r="H331" t="s">
        <v>74</v>
      </c>
      <c r="I331" t="s">
        <v>6822</v>
      </c>
      <c r="J331" t="s">
        <v>2576</v>
      </c>
      <c r="K331" t="s">
        <v>74</v>
      </c>
      <c r="L331" t="s">
        <v>74</v>
      </c>
      <c r="M331" t="s">
        <v>78</v>
      </c>
      <c r="N331" t="s">
        <v>79</v>
      </c>
      <c r="O331" t="s">
        <v>74</v>
      </c>
      <c r="P331" t="s">
        <v>74</v>
      </c>
      <c r="Q331" t="s">
        <v>74</v>
      </c>
      <c r="R331" t="s">
        <v>74</v>
      </c>
      <c r="S331" t="s">
        <v>74</v>
      </c>
      <c r="T331" t="s">
        <v>6823</v>
      </c>
      <c r="U331" t="s">
        <v>6824</v>
      </c>
      <c r="V331" t="s">
        <v>6825</v>
      </c>
      <c r="W331" t="s">
        <v>6826</v>
      </c>
      <c r="X331" t="s">
        <v>6827</v>
      </c>
      <c r="Y331" t="s">
        <v>6828</v>
      </c>
      <c r="Z331" t="s">
        <v>6829</v>
      </c>
      <c r="AA331" t="s">
        <v>6830</v>
      </c>
      <c r="AB331" t="s">
        <v>6831</v>
      </c>
      <c r="AC331" t="s">
        <v>6832</v>
      </c>
      <c r="AD331" t="s">
        <v>6832</v>
      </c>
      <c r="AE331" t="s">
        <v>6833</v>
      </c>
      <c r="AF331" t="s">
        <v>74</v>
      </c>
      <c r="AG331">
        <v>34</v>
      </c>
      <c r="AH331">
        <v>10</v>
      </c>
      <c r="AI331">
        <v>12</v>
      </c>
      <c r="AJ331">
        <v>2</v>
      </c>
      <c r="AK331">
        <v>9</v>
      </c>
      <c r="AL331" t="s">
        <v>208</v>
      </c>
      <c r="AM331" t="s">
        <v>209</v>
      </c>
      <c r="AN331" t="s">
        <v>210</v>
      </c>
      <c r="AO331" t="s">
        <v>2587</v>
      </c>
      <c r="AP331" t="s">
        <v>2588</v>
      </c>
      <c r="AQ331" t="s">
        <v>74</v>
      </c>
      <c r="AR331" t="s">
        <v>2589</v>
      </c>
      <c r="AS331" t="s">
        <v>2590</v>
      </c>
      <c r="AT331" t="s">
        <v>5544</v>
      </c>
      <c r="AU331">
        <v>2017</v>
      </c>
      <c r="AV331">
        <v>40</v>
      </c>
      <c r="AW331">
        <v>9</v>
      </c>
      <c r="AX331" t="s">
        <v>74</v>
      </c>
      <c r="AY331" t="s">
        <v>74</v>
      </c>
      <c r="AZ331" t="s">
        <v>74</v>
      </c>
      <c r="BA331" t="s">
        <v>74</v>
      </c>
      <c r="BB331">
        <v>1893</v>
      </c>
      <c r="BC331">
        <v>1897</v>
      </c>
      <c r="BD331" t="s">
        <v>74</v>
      </c>
      <c r="BE331" t="s">
        <v>6834</v>
      </c>
      <c r="BF331" t="str">
        <f>HYPERLINK("http://dx.doi.org/10.1007/s00300-016-2069-9","http://dx.doi.org/10.1007/s00300-016-2069-9")</f>
        <v>http://dx.doi.org/10.1007/s00300-016-2069-9</v>
      </c>
      <c r="BG331" t="s">
        <v>74</v>
      </c>
      <c r="BH331" t="s">
        <v>74</v>
      </c>
      <c r="BI331">
        <v>5</v>
      </c>
      <c r="BJ331" t="s">
        <v>2592</v>
      </c>
      <c r="BK331" t="s">
        <v>101</v>
      </c>
      <c r="BL331" t="s">
        <v>2593</v>
      </c>
      <c r="BM331" t="s">
        <v>6752</v>
      </c>
      <c r="BN331" t="s">
        <v>74</v>
      </c>
      <c r="BO331" t="s">
        <v>74</v>
      </c>
      <c r="BP331" t="s">
        <v>74</v>
      </c>
      <c r="BQ331" t="s">
        <v>74</v>
      </c>
      <c r="BR331" t="s">
        <v>105</v>
      </c>
      <c r="BS331" t="s">
        <v>6835</v>
      </c>
      <c r="BT331" t="str">
        <f>HYPERLINK("https%3A%2F%2Fwww.webofscience.com%2Fwos%2Fwoscc%2Ffull-record%2FWOS:000410258900015","View Full Record in Web of Science")</f>
        <v>View Full Record in Web of Science</v>
      </c>
    </row>
    <row r="332" spans="1:72" x14ac:dyDescent="0.15">
      <c r="A332" t="s">
        <v>72</v>
      </c>
      <c r="B332" t="s">
        <v>6836</v>
      </c>
      <c r="C332" t="s">
        <v>74</v>
      </c>
      <c r="D332" t="s">
        <v>74</v>
      </c>
      <c r="E332" t="s">
        <v>74</v>
      </c>
      <c r="F332" t="s">
        <v>6837</v>
      </c>
      <c r="G332" t="s">
        <v>74</v>
      </c>
      <c r="H332" t="s">
        <v>74</v>
      </c>
      <c r="I332" t="s">
        <v>6838</v>
      </c>
      <c r="J332" t="s">
        <v>2576</v>
      </c>
      <c r="K332" t="s">
        <v>74</v>
      </c>
      <c r="L332" t="s">
        <v>74</v>
      </c>
      <c r="M332" t="s">
        <v>78</v>
      </c>
      <c r="N332" t="s">
        <v>79</v>
      </c>
      <c r="O332" t="s">
        <v>74</v>
      </c>
      <c r="P332" t="s">
        <v>74</v>
      </c>
      <c r="Q332" t="s">
        <v>74</v>
      </c>
      <c r="R332" t="s">
        <v>74</v>
      </c>
      <c r="S332" t="s">
        <v>74</v>
      </c>
      <c r="T332" t="s">
        <v>6839</v>
      </c>
      <c r="U332" t="s">
        <v>6840</v>
      </c>
      <c r="V332" t="s">
        <v>6841</v>
      </c>
      <c r="W332" t="s">
        <v>6842</v>
      </c>
      <c r="X332" t="s">
        <v>6843</v>
      </c>
      <c r="Y332" t="s">
        <v>6844</v>
      </c>
      <c r="Z332" t="s">
        <v>6845</v>
      </c>
      <c r="AA332" t="s">
        <v>74</v>
      </c>
      <c r="AB332" t="s">
        <v>6846</v>
      </c>
      <c r="AC332" t="s">
        <v>6847</v>
      </c>
      <c r="AD332" t="s">
        <v>6847</v>
      </c>
      <c r="AE332" t="s">
        <v>6848</v>
      </c>
      <c r="AF332" t="s">
        <v>74</v>
      </c>
      <c r="AG332">
        <v>22</v>
      </c>
      <c r="AH332">
        <v>5</v>
      </c>
      <c r="AI332">
        <v>5</v>
      </c>
      <c r="AJ332">
        <v>0</v>
      </c>
      <c r="AK332">
        <v>24</v>
      </c>
      <c r="AL332" t="s">
        <v>208</v>
      </c>
      <c r="AM332" t="s">
        <v>209</v>
      </c>
      <c r="AN332" t="s">
        <v>210</v>
      </c>
      <c r="AO332" t="s">
        <v>2587</v>
      </c>
      <c r="AP332" t="s">
        <v>2588</v>
      </c>
      <c r="AQ332" t="s">
        <v>74</v>
      </c>
      <c r="AR332" t="s">
        <v>2589</v>
      </c>
      <c r="AS332" t="s">
        <v>2590</v>
      </c>
      <c r="AT332" t="s">
        <v>5544</v>
      </c>
      <c r="AU332">
        <v>2017</v>
      </c>
      <c r="AV332">
        <v>40</v>
      </c>
      <c r="AW332">
        <v>9</v>
      </c>
      <c r="AX332" t="s">
        <v>74</v>
      </c>
      <c r="AY332" t="s">
        <v>74</v>
      </c>
      <c r="AZ332" t="s">
        <v>74</v>
      </c>
      <c r="BA332" t="s">
        <v>74</v>
      </c>
      <c r="BB332">
        <v>1907</v>
      </c>
      <c r="BC332">
        <v>1911</v>
      </c>
      <c r="BD332" t="s">
        <v>74</v>
      </c>
      <c r="BE332" t="s">
        <v>6849</v>
      </c>
      <c r="BF332" t="str">
        <f>HYPERLINK("http://dx.doi.org/10.1007/s00300-017-2080-9","http://dx.doi.org/10.1007/s00300-017-2080-9")</f>
        <v>http://dx.doi.org/10.1007/s00300-017-2080-9</v>
      </c>
      <c r="BG332" t="s">
        <v>74</v>
      </c>
      <c r="BH332" t="s">
        <v>74</v>
      </c>
      <c r="BI332">
        <v>5</v>
      </c>
      <c r="BJ332" t="s">
        <v>2592</v>
      </c>
      <c r="BK332" t="s">
        <v>101</v>
      </c>
      <c r="BL332" t="s">
        <v>2593</v>
      </c>
      <c r="BM332" t="s">
        <v>6752</v>
      </c>
      <c r="BN332" t="s">
        <v>74</v>
      </c>
      <c r="BO332" t="s">
        <v>74</v>
      </c>
      <c r="BP332" t="s">
        <v>74</v>
      </c>
      <c r="BQ332" t="s">
        <v>74</v>
      </c>
      <c r="BR332" t="s">
        <v>105</v>
      </c>
      <c r="BS332" t="s">
        <v>6850</v>
      </c>
      <c r="BT332" t="str">
        <f>HYPERLINK("https%3A%2F%2Fwww.webofscience.com%2Fwos%2Fwoscc%2Ffull-record%2FWOS:000410258900018","View Full Record in Web of Science")</f>
        <v>View Full Record in Web of Science</v>
      </c>
    </row>
    <row r="333" spans="1:72" x14ac:dyDescent="0.15">
      <c r="A333" t="s">
        <v>72</v>
      </c>
      <c r="B333" t="s">
        <v>6851</v>
      </c>
      <c r="C333" t="s">
        <v>74</v>
      </c>
      <c r="D333" t="s">
        <v>74</v>
      </c>
      <c r="E333" t="s">
        <v>74</v>
      </c>
      <c r="F333" t="s">
        <v>6852</v>
      </c>
      <c r="G333" t="s">
        <v>74</v>
      </c>
      <c r="H333" t="s">
        <v>74</v>
      </c>
      <c r="I333" t="s">
        <v>6853</v>
      </c>
      <c r="J333" t="s">
        <v>2576</v>
      </c>
      <c r="K333" t="s">
        <v>74</v>
      </c>
      <c r="L333" t="s">
        <v>74</v>
      </c>
      <c r="M333" t="s">
        <v>78</v>
      </c>
      <c r="N333" t="s">
        <v>79</v>
      </c>
      <c r="O333" t="s">
        <v>74</v>
      </c>
      <c r="P333" t="s">
        <v>74</v>
      </c>
      <c r="Q333" t="s">
        <v>74</v>
      </c>
      <c r="R333" t="s">
        <v>74</v>
      </c>
      <c r="S333" t="s">
        <v>74</v>
      </c>
      <c r="T333" t="s">
        <v>6854</v>
      </c>
      <c r="U333" t="s">
        <v>6855</v>
      </c>
      <c r="V333" t="s">
        <v>6856</v>
      </c>
      <c r="W333" t="s">
        <v>6857</v>
      </c>
      <c r="X333" t="s">
        <v>6858</v>
      </c>
      <c r="Y333" t="s">
        <v>6859</v>
      </c>
      <c r="Z333" t="s">
        <v>6860</v>
      </c>
      <c r="AA333" t="s">
        <v>6861</v>
      </c>
      <c r="AB333" t="s">
        <v>6862</v>
      </c>
      <c r="AC333" t="s">
        <v>6863</v>
      </c>
      <c r="AD333" t="s">
        <v>6864</v>
      </c>
      <c r="AE333" t="s">
        <v>6865</v>
      </c>
      <c r="AF333" t="s">
        <v>74</v>
      </c>
      <c r="AG333">
        <v>11</v>
      </c>
      <c r="AH333">
        <v>4</v>
      </c>
      <c r="AI333">
        <v>9</v>
      </c>
      <c r="AJ333">
        <v>2</v>
      </c>
      <c r="AK333">
        <v>21</v>
      </c>
      <c r="AL333" t="s">
        <v>208</v>
      </c>
      <c r="AM333" t="s">
        <v>209</v>
      </c>
      <c r="AN333" t="s">
        <v>210</v>
      </c>
      <c r="AO333" t="s">
        <v>2587</v>
      </c>
      <c r="AP333" t="s">
        <v>2588</v>
      </c>
      <c r="AQ333" t="s">
        <v>74</v>
      </c>
      <c r="AR333" t="s">
        <v>2589</v>
      </c>
      <c r="AS333" t="s">
        <v>2590</v>
      </c>
      <c r="AT333" t="s">
        <v>5544</v>
      </c>
      <c r="AU333">
        <v>2017</v>
      </c>
      <c r="AV333">
        <v>40</v>
      </c>
      <c r="AW333">
        <v>9</v>
      </c>
      <c r="AX333" t="s">
        <v>74</v>
      </c>
      <c r="AY333" t="s">
        <v>74</v>
      </c>
      <c r="AZ333" t="s">
        <v>74</v>
      </c>
      <c r="BA333" t="s">
        <v>74</v>
      </c>
      <c r="BB333">
        <v>1913</v>
      </c>
      <c r="BC333">
        <v>1917</v>
      </c>
      <c r="BD333" t="s">
        <v>74</v>
      </c>
      <c r="BE333" t="s">
        <v>6866</v>
      </c>
      <c r="BF333" t="str">
        <f>HYPERLINK("http://dx.doi.org/10.1007/s00300-017-2089-0","http://dx.doi.org/10.1007/s00300-017-2089-0")</f>
        <v>http://dx.doi.org/10.1007/s00300-017-2089-0</v>
      </c>
      <c r="BG333" t="s">
        <v>74</v>
      </c>
      <c r="BH333" t="s">
        <v>74</v>
      </c>
      <c r="BI333">
        <v>5</v>
      </c>
      <c r="BJ333" t="s">
        <v>2592</v>
      </c>
      <c r="BK333" t="s">
        <v>101</v>
      </c>
      <c r="BL333" t="s">
        <v>2593</v>
      </c>
      <c r="BM333" t="s">
        <v>6752</v>
      </c>
      <c r="BN333" t="s">
        <v>74</v>
      </c>
      <c r="BO333" t="s">
        <v>74</v>
      </c>
      <c r="BP333" t="s">
        <v>74</v>
      </c>
      <c r="BQ333" t="s">
        <v>74</v>
      </c>
      <c r="BR333" t="s">
        <v>105</v>
      </c>
      <c r="BS333" t="s">
        <v>6867</v>
      </c>
      <c r="BT333" t="str">
        <f>HYPERLINK("https%3A%2F%2Fwww.webofscience.com%2Fwos%2Fwoscc%2Ffull-record%2FWOS:000410258900019","View Full Record in Web of Science")</f>
        <v>View Full Record in Web of Science</v>
      </c>
    </row>
    <row r="334" spans="1:72" x14ac:dyDescent="0.15">
      <c r="A334" t="s">
        <v>72</v>
      </c>
      <c r="B334" t="s">
        <v>6868</v>
      </c>
      <c r="C334" t="s">
        <v>74</v>
      </c>
      <c r="D334" t="s">
        <v>74</v>
      </c>
      <c r="E334" t="s">
        <v>74</v>
      </c>
      <c r="F334" t="s">
        <v>6869</v>
      </c>
      <c r="G334" t="s">
        <v>74</v>
      </c>
      <c r="H334" t="s">
        <v>74</v>
      </c>
      <c r="I334" t="s">
        <v>6870</v>
      </c>
      <c r="J334" t="s">
        <v>2576</v>
      </c>
      <c r="K334" t="s">
        <v>74</v>
      </c>
      <c r="L334" t="s">
        <v>74</v>
      </c>
      <c r="M334" t="s">
        <v>78</v>
      </c>
      <c r="N334" t="s">
        <v>79</v>
      </c>
      <c r="O334" t="s">
        <v>74</v>
      </c>
      <c r="P334" t="s">
        <v>74</v>
      </c>
      <c r="Q334" t="s">
        <v>74</v>
      </c>
      <c r="R334" t="s">
        <v>74</v>
      </c>
      <c r="S334" t="s">
        <v>74</v>
      </c>
      <c r="T334" t="s">
        <v>6871</v>
      </c>
      <c r="U334" t="s">
        <v>6872</v>
      </c>
      <c r="V334" t="s">
        <v>6873</v>
      </c>
      <c r="W334" t="s">
        <v>6874</v>
      </c>
      <c r="X334" t="s">
        <v>6875</v>
      </c>
      <c r="Y334" t="s">
        <v>6876</v>
      </c>
      <c r="Z334" t="s">
        <v>6877</v>
      </c>
      <c r="AA334" t="s">
        <v>6878</v>
      </c>
      <c r="AB334" t="s">
        <v>6879</v>
      </c>
      <c r="AC334" t="s">
        <v>6880</v>
      </c>
      <c r="AD334" t="s">
        <v>6881</v>
      </c>
      <c r="AE334" t="s">
        <v>6882</v>
      </c>
      <c r="AF334" t="s">
        <v>74</v>
      </c>
      <c r="AG334">
        <v>12</v>
      </c>
      <c r="AH334">
        <v>3</v>
      </c>
      <c r="AI334">
        <v>5</v>
      </c>
      <c r="AJ334">
        <v>2</v>
      </c>
      <c r="AK334">
        <v>8</v>
      </c>
      <c r="AL334" t="s">
        <v>208</v>
      </c>
      <c r="AM334" t="s">
        <v>209</v>
      </c>
      <c r="AN334" t="s">
        <v>210</v>
      </c>
      <c r="AO334" t="s">
        <v>2587</v>
      </c>
      <c r="AP334" t="s">
        <v>2588</v>
      </c>
      <c r="AQ334" t="s">
        <v>74</v>
      </c>
      <c r="AR334" t="s">
        <v>2589</v>
      </c>
      <c r="AS334" t="s">
        <v>2590</v>
      </c>
      <c r="AT334" t="s">
        <v>5544</v>
      </c>
      <c r="AU334">
        <v>2017</v>
      </c>
      <c r="AV334">
        <v>40</v>
      </c>
      <c r="AW334">
        <v>9</v>
      </c>
      <c r="AX334" t="s">
        <v>74</v>
      </c>
      <c r="AY334" t="s">
        <v>74</v>
      </c>
      <c r="AZ334" t="s">
        <v>74</v>
      </c>
      <c r="BA334" t="s">
        <v>74</v>
      </c>
      <c r="BB334">
        <v>1919</v>
      </c>
      <c r="BC334">
        <v>1921</v>
      </c>
      <c r="BD334" t="s">
        <v>74</v>
      </c>
      <c r="BE334" t="s">
        <v>6883</v>
      </c>
      <c r="BF334" t="str">
        <f>HYPERLINK("http://dx.doi.org/10.1007/s00300-017-2098-z","http://dx.doi.org/10.1007/s00300-017-2098-z")</f>
        <v>http://dx.doi.org/10.1007/s00300-017-2098-z</v>
      </c>
      <c r="BG334" t="s">
        <v>74</v>
      </c>
      <c r="BH334" t="s">
        <v>74</v>
      </c>
      <c r="BI334">
        <v>3</v>
      </c>
      <c r="BJ334" t="s">
        <v>2592</v>
      </c>
      <c r="BK334" t="s">
        <v>101</v>
      </c>
      <c r="BL334" t="s">
        <v>2593</v>
      </c>
      <c r="BM334" t="s">
        <v>6752</v>
      </c>
      <c r="BN334" t="s">
        <v>74</v>
      </c>
      <c r="BO334" t="s">
        <v>74</v>
      </c>
      <c r="BP334" t="s">
        <v>74</v>
      </c>
      <c r="BQ334" t="s">
        <v>74</v>
      </c>
      <c r="BR334" t="s">
        <v>105</v>
      </c>
      <c r="BS334" t="s">
        <v>6884</v>
      </c>
      <c r="BT334" t="str">
        <f>HYPERLINK("https%3A%2F%2Fwww.webofscience.com%2Fwos%2Fwoscc%2Ffull-record%2FWOS:000410258900020","View Full Record in Web of Science")</f>
        <v>View Full Record in Web of Science</v>
      </c>
    </row>
    <row r="335" spans="1:72" x14ac:dyDescent="0.15">
      <c r="A335" t="s">
        <v>72</v>
      </c>
      <c r="B335" t="s">
        <v>6885</v>
      </c>
      <c r="C335" t="s">
        <v>74</v>
      </c>
      <c r="D335" t="s">
        <v>74</v>
      </c>
      <c r="E335" t="s">
        <v>74</v>
      </c>
      <c r="F335" t="s">
        <v>6886</v>
      </c>
      <c r="G335" t="s">
        <v>74</v>
      </c>
      <c r="H335" t="s">
        <v>74</v>
      </c>
      <c r="I335" t="s">
        <v>6887</v>
      </c>
      <c r="J335" t="s">
        <v>6888</v>
      </c>
      <c r="K335" t="s">
        <v>74</v>
      </c>
      <c r="L335" t="s">
        <v>74</v>
      </c>
      <c r="M335" t="s">
        <v>78</v>
      </c>
      <c r="N335" t="s">
        <v>79</v>
      </c>
      <c r="O335" t="s">
        <v>74</v>
      </c>
      <c r="P335" t="s">
        <v>74</v>
      </c>
      <c r="Q335" t="s">
        <v>74</v>
      </c>
      <c r="R335" t="s">
        <v>74</v>
      </c>
      <c r="S335" t="s">
        <v>74</v>
      </c>
      <c r="T335" t="s">
        <v>6889</v>
      </c>
      <c r="U335" t="s">
        <v>6890</v>
      </c>
      <c r="V335" t="s">
        <v>6891</v>
      </c>
      <c r="W335" t="s">
        <v>6892</v>
      </c>
      <c r="X335" t="s">
        <v>6893</v>
      </c>
      <c r="Y335" t="s">
        <v>6894</v>
      </c>
      <c r="Z335" t="s">
        <v>6895</v>
      </c>
      <c r="AA335" t="s">
        <v>6896</v>
      </c>
      <c r="AB335" t="s">
        <v>6897</v>
      </c>
      <c r="AC335" t="s">
        <v>6898</v>
      </c>
      <c r="AD335" t="s">
        <v>6899</v>
      </c>
      <c r="AE335" t="s">
        <v>6900</v>
      </c>
      <c r="AF335" t="s">
        <v>74</v>
      </c>
      <c r="AG335">
        <v>32</v>
      </c>
      <c r="AH335">
        <v>16</v>
      </c>
      <c r="AI335">
        <v>19</v>
      </c>
      <c r="AJ335">
        <v>3</v>
      </c>
      <c r="AK335">
        <v>59</v>
      </c>
      <c r="AL335" t="s">
        <v>6901</v>
      </c>
      <c r="AM335" t="s">
        <v>6626</v>
      </c>
      <c r="AN335" t="s">
        <v>6902</v>
      </c>
      <c r="AO335" t="s">
        <v>6903</v>
      </c>
      <c r="AP335" t="s">
        <v>6904</v>
      </c>
      <c r="AQ335" t="s">
        <v>74</v>
      </c>
      <c r="AR335" t="s">
        <v>6905</v>
      </c>
      <c r="AS335" t="s">
        <v>6906</v>
      </c>
      <c r="AT335" t="s">
        <v>5544</v>
      </c>
      <c r="AU335">
        <v>2017</v>
      </c>
      <c r="AV335">
        <v>54</v>
      </c>
      <c r="AW335">
        <v>10</v>
      </c>
      <c r="AX335" t="s">
        <v>74</v>
      </c>
      <c r="AY335" t="s">
        <v>74</v>
      </c>
      <c r="AZ335" t="s">
        <v>74</v>
      </c>
      <c r="BA335" t="s">
        <v>74</v>
      </c>
      <c r="BB335">
        <v>3065</v>
      </c>
      <c r="BC335">
        <v>3072</v>
      </c>
      <c r="BD335" t="s">
        <v>74</v>
      </c>
      <c r="BE335" t="s">
        <v>6907</v>
      </c>
      <c r="BF335" t="str">
        <f>HYPERLINK("http://dx.doi.org/10.1007/s13197-017-2742-1","http://dx.doi.org/10.1007/s13197-017-2742-1")</f>
        <v>http://dx.doi.org/10.1007/s13197-017-2742-1</v>
      </c>
      <c r="BG335" t="s">
        <v>74</v>
      </c>
      <c r="BH335" t="s">
        <v>74</v>
      </c>
      <c r="BI335">
        <v>8</v>
      </c>
      <c r="BJ335" t="s">
        <v>3903</v>
      </c>
      <c r="BK335" t="s">
        <v>101</v>
      </c>
      <c r="BL335" t="s">
        <v>3903</v>
      </c>
      <c r="BM335" t="s">
        <v>6908</v>
      </c>
      <c r="BN335">
        <v>28974791</v>
      </c>
      <c r="BO335" t="s">
        <v>1170</v>
      </c>
      <c r="BP335" t="s">
        <v>74</v>
      </c>
      <c r="BQ335" t="s">
        <v>74</v>
      </c>
      <c r="BR335" t="s">
        <v>105</v>
      </c>
      <c r="BS335" t="s">
        <v>6909</v>
      </c>
      <c r="BT335" t="str">
        <f>HYPERLINK("https%3A%2F%2Fwww.webofscience.com%2Fwos%2Fwoscc%2Ffull-record%2FWOS:000410851700008","View Full Record in Web of Science")</f>
        <v>View Full Record in Web of Science</v>
      </c>
    </row>
    <row r="336" spans="1:72" x14ac:dyDescent="0.15">
      <c r="A336" t="s">
        <v>72</v>
      </c>
      <c r="B336" t="s">
        <v>6910</v>
      </c>
      <c r="C336" t="s">
        <v>74</v>
      </c>
      <c r="D336" t="s">
        <v>74</v>
      </c>
      <c r="E336" t="s">
        <v>74</v>
      </c>
      <c r="F336" t="s">
        <v>6911</v>
      </c>
      <c r="G336" t="s">
        <v>74</v>
      </c>
      <c r="H336" t="s">
        <v>74</v>
      </c>
      <c r="I336" t="s">
        <v>6912</v>
      </c>
      <c r="J336" t="s">
        <v>6913</v>
      </c>
      <c r="K336" t="s">
        <v>74</v>
      </c>
      <c r="L336" t="s">
        <v>74</v>
      </c>
      <c r="M336" t="s">
        <v>78</v>
      </c>
      <c r="N336" t="s">
        <v>79</v>
      </c>
      <c r="O336" t="s">
        <v>74</v>
      </c>
      <c r="P336" t="s">
        <v>74</v>
      </c>
      <c r="Q336" t="s">
        <v>74</v>
      </c>
      <c r="R336" t="s">
        <v>74</v>
      </c>
      <c r="S336" t="s">
        <v>74</v>
      </c>
      <c r="T336" t="s">
        <v>6914</v>
      </c>
      <c r="U336" t="s">
        <v>6915</v>
      </c>
      <c r="V336" t="s">
        <v>6916</v>
      </c>
      <c r="W336" t="s">
        <v>6917</v>
      </c>
      <c r="X336" t="s">
        <v>1958</v>
      </c>
      <c r="Y336" t="s">
        <v>6918</v>
      </c>
      <c r="Z336" t="s">
        <v>2286</v>
      </c>
      <c r="AA336" t="s">
        <v>6919</v>
      </c>
      <c r="AB336" t="s">
        <v>6920</v>
      </c>
      <c r="AC336" t="s">
        <v>6921</v>
      </c>
      <c r="AD336" t="s">
        <v>6921</v>
      </c>
      <c r="AE336" t="s">
        <v>6922</v>
      </c>
      <c r="AF336" t="s">
        <v>74</v>
      </c>
      <c r="AG336">
        <v>41</v>
      </c>
      <c r="AH336">
        <v>2</v>
      </c>
      <c r="AI336">
        <v>2</v>
      </c>
      <c r="AJ336">
        <v>1</v>
      </c>
      <c r="AK336">
        <v>12</v>
      </c>
      <c r="AL336" t="s">
        <v>6923</v>
      </c>
      <c r="AM336" t="s">
        <v>6924</v>
      </c>
      <c r="AN336" t="s">
        <v>6925</v>
      </c>
      <c r="AO336" t="s">
        <v>6926</v>
      </c>
      <c r="AP336" t="s">
        <v>6927</v>
      </c>
      <c r="AQ336" t="s">
        <v>74</v>
      </c>
      <c r="AR336" t="s">
        <v>6928</v>
      </c>
      <c r="AS336" t="s">
        <v>6929</v>
      </c>
      <c r="AT336" t="s">
        <v>5544</v>
      </c>
      <c r="AU336">
        <v>2017</v>
      </c>
      <c r="AV336">
        <v>38</v>
      </c>
      <c r="AW336">
        <v>3</v>
      </c>
      <c r="AX336" t="s">
        <v>74</v>
      </c>
      <c r="AY336" t="s">
        <v>74</v>
      </c>
      <c r="AZ336" t="s">
        <v>74</v>
      </c>
      <c r="BA336" t="s">
        <v>74</v>
      </c>
      <c r="BB336">
        <v>375</v>
      </c>
      <c r="BC336">
        <v>392</v>
      </c>
      <c r="BD336" t="s">
        <v>74</v>
      </c>
      <c r="BE336" t="s">
        <v>6930</v>
      </c>
      <c r="BF336" t="str">
        <f>HYPERLINK("http://dx.doi.org/10.1515/popore-2017-0014","http://dx.doi.org/10.1515/popore-2017-0014")</f>
        <v>http://dx.doi.org/10.1515/popore-2017-0014</v>
      </c>
      <c r="BG336" t="s">
        <v>74</v>
      </c>
      <c r="BH336" t="s">
        <v>74</v>
      </c>
      <c r="BI336">
        <v>18</v>
      </c>
      <c r="BJ336" t="s">
        <v>5317</v>
      </c>
      <c r="BK336" t="s">
        <v>101</v>
      </c>
      <c r="BL336" t="s">
        <v>5318</v>
      </c>
      <c r="BM336" t="s">
        <v>6931</v>
      </c>
      <c r="BN336" t="s">
        <v>74</v>
      </c>
      <c r="BO336" t="s">
        <v>322</v>
      </c>
      <c r="BP336" t="s">
        <v>74</v>
      </c>
      <c r="BQ336" t="s">
        <v>74</v>
      </c>
      <c r="BR336" t="s">
        <v>105</v>
      </c>
      <c r="BS336" t="s">
        <v>6932</v>
      </c>
      <c r="BT336" t="str">
        <f>HYPERLINK("https%3A%2F%2Fwww.webofscience.com%2Fwos%2Fwoscc%2Ffull-record%2FWOS:000410832900006","View Full Record in Web of Science")</f>
        <v>View Full Record in Web of Science</v>
      </c>
    </row>
    <row r="337" spans="1:72" x14ac:dyDescent="0.15">
      <c r="A337" t="s">
        <v>72</v>
      </c>
      <c r="B337" t="s">
        <v>6933</v>
      </c>
      <c r="C337" t="s">
        <v>74</v>
      </c>
      <c r="D337" t="s">
        <v>74</v>
      </c>
      <c r="E337" t="s">
        <v>74</v>
      </c>
      <c r="F337" t="s">
        <v>6934</v>
      </c>
      <c r="G337" t="s">
        <v>74</v>
      </c>
      <c r="H337" t="s">
        <v>74</v>
      </c>
      <c r="I337" t="s">
        <v>6935</v>
      </c>
      <c r="J337" t="s">
        <v>6913</v>
      </c>
      <c r="K337" t="s">
        <v>74</v>
      </c>
      <c r="L337" t="s">
        <v>74</v>
      </c>
      <c r="M337" t="s">
        <v>78</v>
      </c>
      <c r="N337" t="s">
        <v>79</v>
      </c>
      <c r="O337" t="s">
        <v>74</v>
      </c>
      <c r="P337" t="s">
        <v>74</v>
      </c>
      <c r="Q337" t="s">
        <v>74</v>
      </c>
      <c r="R337" t="s">
        <v>74</v>
      </c>
      <c r="S337" t="s">
        <v>74</v>
      </c>
      <c r="T337" t="s">
        <v>6936</v>
      </c>
      <c r="U337" t="s">
        <v>6937</v>
      </c>
      <c r="V337" t="s">
        <v>6938</v>
      </c>
      <c r="W337" t="s">
        <v>6939</v>
      </c>
      <c r="X337" t="s">
        <v>6940</v>
      </c>
      <c r="Y337" t="s">
        <v>6941</v>
      </c>
      <c r="Z337" t="s">
        <v>6942</v>
      </c>
      <c r="AA337" t="s">
        <v>6943</v>
      </c>
      <c r="AB337" t="s">
        <v>6944</v>
      </c>
      <c r="AC337" t="s">
        <v>6945</v>
      </c>
      <c r="AD337" t="s">
        <v>6946</v>
      </c>
      <c r="AE337" t="s">
        <v>6947</v>
      </c>
      <c r="AF337" t="s">
        <v>74</v>
      </c>
      <c r="AG337">
        <v>60</v>
      </c>
      <c r="AH337">
        <v>5</v>
      </c>
      <c r="AI337">
        <v>6</v>
      </c>
      <c r="AJ337">
        <v>1</v>
      </c>
      <c r="AK337">
        <v>12</v>
      </c>
      <c r="AL337" t="s">
        <v>6923</v>
      </c>
      <c r="AM337" t="s">
        <v>6924</v>
      </c>
      <c r="AN337" t="s">
        <v>6925</v>
      </c>
      <c r="AO337" t="s">
        <v>6926</v>
      </c>
      <c r="AP337" t="s">
        <v>6927</v>
      </c>
      <c r="AQ337" t="s">
        <v>74</v>
      </c>
      <c r="AR337" t="s">
        <v>6928</v>
      </c>
      <c r="AS337" t="s">
        <v>6929</v>
      </c>
      <c r="AT337" t="s">
        <v>5544</v>
      </c>
      <c r="AU337">
        <v>2017</v>
      </c>
      <c r="AV337">
        <v>38</v>
      </c>
      <c r="AW337">
        <v>3</v>
      </c>
      <c r="AX337" t="s">
        <v>74</v>
      </c>
      <c r="AY337" t="s">
        <v>74</v>
      </c>
      <c r="AZ337" t="s">
        <v>74</v>
      </c>
      <c r="BA337" t="s">
        <v>74</v>
      </c>
      <c r="BB337">
        <v>393</v>
      </c>
      <c r="BC337">
        <v>408</v>
      </c>
      <c r="BD337" t="s">
        <v>74</v>
      </c>
      <c r="BE337" t="s">
        <v>6948</v>
      </c>
      <c r="BF337" t="str">
        <f>HYPERLINK("http://dx.doi.org/10.1515/popore-2017-0015","http://dx.doi.org/10.1515/popore-2017-0015")</f>
        <v>http://dx.doi.org/10.1515/popore-2017-0015</v>
      </c>
      <c r="BG337" t="s">
        <v>74</v>
      </c>
      <c r="BH337" t="s">
        <v>74</v>
      </c>
      <c r="BI337">
        <v>16</v>
      </c>
      <c r="BJ337" t="s">
        <v>5317</v>
      </c>
      <c r="BK337" t="s">
        <v>101</v>
      </c>
      <c r="BL337" t="s">
        <v>5318</v>
      </c>
      <c r="BM337" t="s">
        <v>6931</v>
      </c>
      <c r="BN337" t="s">
        <v>74</v>
      </c>
      <c r="BO337" t="s">
        <v>322</v>
      </c>
      <c r="BP337" t="s">
        <v>74</v>
      </c>
      <c r="BQ337" t="s">
        <v>74</v>
      </c>
      <c r="BR337" t="s">
        <v>105</v>
      </c>
      <c r="BS337" t="s">
        <v>6949</v>
      </c>
      <c r="BT337" t="str">
        <f>HYPERLINK("https%3A%2F%2Fwww.webofscience.com%2Fwos%2Fwoscc%2Ffull-record%2FWOS:000410832900007","View Full Record in Web of Science")</f>
        <v>View Full Record in Web of Science</v>
      </c>
    </row>
    <row r="338" spans="1:72" x14ac:dyDescent="0.15">
      <c r="A338" t="s">
        <v>72</v>
      </c>
      <c r="B338" t="s">
        <v>6950</v>
      </c>
      <c r="C338" t="s">
        <v>74</v>
      </c>
      <c r="D338" t="s">
        <v>74</v>
      </c>
      <c r="E338" t="s">
        <v>74</v>
      </c>
      <c r="F338" t="s">
        <v>6951</v>
      </c>
      <c r="G338" t="s">
        <v>74</v>
      </c>
      <c r="H338" t="s">
        <v>74</v>
      </c>
      <c r="I338" t="s">
        <v>6952</v>
      </c>
      <c r="J338" t="s">
        <v>6913</v>
      </c>
      <c r="K338" t="s">
        <v>74</v>
      </c>
      <c r="L338" t="s">
        <v>74</v>
      </c>
      <c r="M338" t="s">
        <v>78</v>
      </c>
      <c r="N338" t="s">
        <v>79</v>
      </c>
      <c r="O338" t="s">
        <v>74</v>
      </c>
      <c r="P338" t="s">
        <v>74</v>
      </c>
      <c r="Q338" t="s">
        <v>74</v>
      </c>
      <c r="R338" t="s">
        <v>74</v>
      </c>
      <c r="S338" t="s">
        <v>74</v>
      </c>
      <c r="T338" t="s">
        <v>6953</v>
      </c>
      <c r="U338" t="s">
        <v>6954</v>
      </c>
      <c r="V338" t="s">
        <v>6955</v>
      </c>
      <c r="W338" t="s">
        <v>6956</v>
      </c>
      <c r="X338" t="s">
        <v>6957</v>
      </c>
      <c r="Y338" t="s">
        <v>6958</v>
      </c>
      <c r="Z338" t="s">
        <v>6959</v>
      </c>
      <c r="AA338" t="s">
        <v>6960</v>
      </c>
      <c r="AB338" t="s">
        <v>6961</v>
      </c>
      <c r="AC338" t="s">
        <v>6962</v>
      </c>
      <c r="AD338" t="s">
        <v>6963</v>
      </c>
      <c r="AE338" t="s">
        <v>6964</v>
      </c>
      <c r="AF338" t="s">
        <v>74</v>
      </c>
      <c r="AG338">
        <v>51</v>
      </c>
      <c r="AH338">
        <v>0</v>
      </c>
      <c r="AI338">
        <v>0</v>
      </c>
      <c r="AJ338">
        <v>0</v>
      </c>
      <c r="AK338">
        <v>5</v>
      </c>
      <c r="AL338" t="s">
        <v>6965</v>
      </c>
      <c r="AM338" t="s">
        <v>6924</v>
      </c>
      <c r="AN338" t="s">
        <v>6966</v>
      </c>
      <c r="AO338" t="s">
        <v>6926</v>
      </c>
      <c r="AP338" t="s">
        <v>6927</v>
      </c>
      <c r="AQ338" t="s">
        <v>74</v>
      </c>
      <c r="AR338" t="s">
        <v>6928</v>
      </c>
      <c r="AS338" t="s">
        <v>6929</v>
      </c>
      <c r="AT338" t="s">
        <v>5544</v>
      </c>
      <c r="AU338">
        <v>2017</v>
      </c>
      <c r="AV338">
        <v>38</v>
      </c>
      <c r="AW338">
        <v>3</v>
      </c>
      <c r="AX338" t="s">
        <v>74</v>
      </c>
      <c r="AY338" t="s">
        <v>74</v>
      </c>
      <c r="AZ338" t="s">
        <v>74</v>
      </c>
      <c r="BA338" t="s">
        <v>74</v>
      </c>
      <c r="BB338">
        <v>409</v>
      </c>
      <c r="BC338">
        <v>419</v>
      </c>
      <c r="BD338" t="s">
        <v>74</v>
      </c>
      <c r="BE338" t="s">
        <v>6967</v>
      </c>
      <c r="BF338" t="str">
        <f>HYPERLINK("http://dx.doi.org/10.1515/popore-2017-0017","http://dx.doi.org/10.1515/popore-2017-0017")</f>
        <v>http://dx.doi.org/10.1515/popore-2017-0017</v>
      </c>
      <c r="BG338" t="s">
        <v>74</v>
      </c>
      <c r="BH338" t="s">
        <v>74</v>
      </c>
      <c r="BI338">
        <v>11</v>
      </c>
      <c r="BJ338" t="s">
        <v>5317</v>
      </c>
      <c r="BK338" t="s">
        <v>101</v>
      </c>
      <c r="BL338" t="s">
        <v>5318</v>
      </c>
      <c r="BM338" t="s">
        <v>6931</v>
      </c>
      <c r="BN338" t="s">
        <v>74</v>
      </c>
      <c r="BO338" t="s">
        <v>1278</v>
      </c>
      <c r="BP338" t="s">
        <v>74</v>
      </c>
      <c r="BQ338" t="s">
        <v>74</v>
      </c>
      <c r="BR338" t="s">
        <v>105</v>
      </c>
      <c r="BS338" t="s">
        <v>6968</v>
      </c>
      <c r="BT338" t="str">
        <f>HYPERLINK("https%3A%2F%2Fwww.webofscience.com%2Fwos%2Fwoscc%2Ffull-record%2FWOS:000410832900008","View Full Record in Web of Science")</f>
        <v>View Full Record in Web of Science</v>
      </c>
    </row>
    <row r="339" spans="1:72" x14ac:dyDescent="0.15">
      <c r="A339" t="s">
        <v>72</v>
      </c>
      <c r="B339" t="s">
        <v>6969</v>
      </c>
      <c r="C339" t="s">
        <v>74</v>
      </c>
      <c r="D339" t="s">
        <v>74</v>
      </c>
      <c r="E339" t="s">
        <v>74</v>
      </c>
      <c r="F339" t="s">
        <v>6970</v>
      </c>
      <c r="G339" t="s">
        <v>74</v>
      </c>
      <c r="H339" t="s">
        <v>74</v>
      </c>
      <c r="I339" t="s">
        <v>6971</v>
      </c>
      <c r="J339" t="s">
        <v>6972</v>
      </c>
      <c r="K339" t="s">
        <v>74</v>
      </c>
      <c r="L339" t="s">
        <v>74</v>
      </c>
      <c r="M339" t="s">
        <v>78</v>
      </c>
      <c r="N339" t="s">
        <v>79</v>
      </c>
      <c r="O339" t="s">
        <v>74</v>
      </c>
      <c r="P339" t="s">
        <v>74</v>
      </c>
      <c r="Q339" t="s">
        <v>74</v>
      </c>
      <c r="R339" t="s">
        <v>74</v>
      </c>
      <c r="S339" t="s">
        <v>74</v>
      </c>
      <c r="T339" t="s">
        <v>74</v>
      </c>
      <c r="U339" t="s">
        <v>6973</v>
      </c>
      <c r="V339" t="s">
        <v>6974</v>
      </c>
      <c r="W339" t="s">
        <v>6975</v>
      </c>
      <c r="X339" t="s">
        <v>6976</v>
      </c>
      <c r="Y339" t="s">
        <v>6977</v>
      </c>
      <c r="Z339" t="s">
        <v>6978</v>
      </c>
      <c r="AA339" t="s">
        <v>6979</v>
      </c>
      <c r="AB339" t="s">
        <v>6980</v>
      </c>
      <c r="AC339" t="s">
        <v>6981</v>
      </c>
      <c r="AD339" t="s">
        <v>6982</v>
      </c>
      <c r="AE339" t="s">
        <v>6983</v>
      </c>
      <c r="AF339" t="s">
        <v>74</v>
      </c>
      <c r="AG339">
        <v>73</v>
      </c>
      <c r="AH339">
        <v>14</v>
      </c>
      <c r="AI339">
        <v>14</v>
      </c>
      <c r="AJ339">
        <v>2</v>
      </c>
      <c r="AK339">
        <v>14</v>
      </c>
      <c r="AL339" t="s">
        <v>1338</v>
      </c>
      <c r="AM339" t="s">
        <v>1339</v>
      </c>
      <c r="AN339" t="s">
        <v>1340</v>
      </c>
      <c r="AO339" t="s">
        <v>6984</v>
      </c>
      <c r="AP339" t="s">
        <v>6985</v>
      </c>
      <c r="AQ339" t="s">
        <v>74</v>
      </c>
      <c r="AR339" t="s">
        <v>6986</v>
      </c>
      <c r="AS339" t="s">
        <v>6987</v>
      </c>
      <c r="AT339" t="s">
        <v>5544</v>
      </c>
      <c r="AU339">
        <v>2017</v>
      </c>
      <c r="AV339">
        <v>19</v>
      </c>
      <c r="AW339">
        <v>9</v>
      </c>
      <c r="AX339" t="s">
        <v>74</v>
      </c>
      <c r="AY339" t="s">
        <v>74</v>
      </c>
      <c r="AZ339" t="s">
        <v>74</v>
      </c>
      <c r="BA339" t="s">
        <v>74</v>
      </c>
      <c r="BB339">
        <v>3755</v>
      </c>
      <c r="BC339">
        <v>3767</v>
      </c>
      <c r="BD339" t="s">
        <v>74</v>
      </c>
      <c r="BE339" t="s">
        <v>6988</v>
      </c>
      <c r="BF339" t="str">
        <f>HYPERLINK("http://dx.doi.org/10.1111/1462-2920.13877","http://dx.doi.org/10.1111/1462-2920.13877")</f>
        <v>http://dx.doi.org/10.1111/1462-2920.13877</v>
      </c>
      <c r="BG339" t="s">
        <v>74</v>
      </c>
      <c r="BH339" t="s">
        <v>74</v>
      </c>
      <c r="BI339">
        <v>13</v>
      </c>
      <c r="BJ339" t="s">
        <v>457</v>
      </c>
      <c r="BK339" t="s">
        <v>101</v>
      </c>
      <c r="BL339" t="s">
        <v>457</v>
      </c>
      <c r="BM339" t="s">
        <v>6989</v>
      </c>
      <c r="BN339">
        <v>28752953</v>
      </c>
      <c r="BO339" t="s">
        <v>74</v>
      </c>
      <c r="BP339" t="s">
        <v>74</v>
      </c>
      <c r="BQ339" t="s">
        <v>74</v>
      </c>
      <c r="BR339" t="s">
        <v>105</v>
      </c>
      <c r="BS339" t="s">
        <v>6990</v>
      </c>
      <c r="BT339" t="str">
        <f>HYPERLINK("https%3A%2F%2Fwww.webofscience.com%2Fwos%2Fwoscc%2Ffull-record%2FWOS:000410660900028","View Full Record in Web of Science")</f>
        <v>View Full Record in Web of Science</v>
      </c>
    </row>
    <row r="340" spans="1:72" x14ac:dyDescent="0.15">
      <c r="A340" t="s">
        <v>72</v>
      </c>
      <c r="B340" t="s">
        <v>6991</v>
      </c>
      <c r="C340" t="s">
        <v>74</v>
      </c>
      <c r="D340" t="s">
        <v>74</v>
      </c>
      <c r="E340" t="s">
        <v>74</v>
      </c>
      <c r="F340" t="s">
        <v>6992</v>
      </c>
      <c r="G340" t="s">
        <v>74</v>
      </c>
      <c r="H340" t="s">
        <v>74</v>
      </c>
      <c r="I340" t="s">
        <v>6993</v>
      </c>
      <c r="J340" t="s">
        <v>6994</v>
      </c>
      <c r="K340" t="s">
        <v>74</v>
      </c>
      <c r="L340" t="s">
        <v>74</v>
      </c>
      <c r="M340" t="s">
        <v>78</v>
      </c>
      <c r="N340" t="s">
        <v>79</v>
      </c>
      <c r="O340" t="s">
        <v>74</v>
      </c>
      <c r="P340" t="s">
        <v>74</v>
      </c>
      <c r="Q340" t="s">
        <v>74</v>
      </c>
      <c r="R340" t="s">
        <v>74</v>
      </c>
      <c r="S340" t="s">
        <v>74</v>
      </c>
      <c r="T340" t="s">
        <v>6995</v>
      </c>
      <c r="U340" t="s">
        <v>6996</v>
      </c>
      <c r="V340" t="s">
        <v>6997</v>
      </c>
      <c r="W340" t="s">
        <v>6998</v>
      </c>
      <c r="X340" t="s">
        <v>6999</v>
      </c>
      <c r="Y340" t="s">
        <v>7000</v>
      </c>
      <c r="Z340" t="s">
        <v>7001</v>
      </c>
      <c r="AA340" t="s">
        <v>7002</v>
      </c>
      <c r="AB340" t="s">
        <v>7003</v>
      </c>
      <c r="AC340" t="s">
        <v>7004</v>
      </c>
      <c r="AD340" t="s">
        <v>7005</v>
      </c>
      <c r="AE340" t="s">
        <v>7006</v>
      </c>
      <c r="AF340" t="s">
        <v>74</v>
      </c>
      <c r="AG340">
        <v>90</v>
      </c>
      <c r="AH340">
        <v>15</v>
      </c>
      <c r="AI340">
        <v>15</v>
      </c>
      <c r="AJ340">
        <v>0</v>
      </c>
      <c r="AK340">
        <v>21</v>
      </c>
      <c r="AL340" t="s">
        <v>208</v>
      </c>
      <c r="AM340" t="s">
        <v>3872</v>
      </c>
      <c r="AN340" t="s">
        <v>3873</v>
      </c>
      <c r="AO340" t="s">
        <v>7007</v>
      </c>
      <c r="AP340" t="s">
        <v>7008</v>
      </c>
      <c r="AQ340" t="s">
        <v>74</v>
      </c>
      <c r="AR340" t="s">
        <v>7009</v>
      </c>
      <c r="AS340" t="s">
        <v>7010</v>
      </c>
      <c r="AT340" t="s">
        <v>5544</v>
      </c>
      <c r="AU340">
        <v>2017</v>
      </c>
      <c r="AV340">
        <v>189</v>
      </c>
      <c r="AW340">
        <v>9</v>
      </c>
      <c r="AX340" t="s">
        <v>74</v>
      </c>
      <c r="AY340" t="s">
        <v>74</v>
      </c>
      <c r="AZ340" t="s">
        <v>74</v>
      </c>
      <c r="BA340" t="s">
        <v>74</v>
      </c>
      <c r="BB340" t="s">
        <v>74</v>
      </c>
      <c r="BC340" t="s">
        <v>74</v>
      </c>
      <c r="BD340">
        <v>474</v>
      </c>
      <c r="BE340" t="s">
        <v>7011</v>
      </c>
      <c r="BF340" t="str">
        <f>HYPERLINK("http://dx.doi.org/10.1007/s10661-017-6170-5","http://dx.doi.org/10.1007/s10661-017-6170-5")</f>
        <v>http://dx.doi.org/10.1007/s10661-017-6170-5</v>
      </c>
      <c r="BG340" t="s">
        <v>74</v>
      </c>
      <c r="BH340" t="s">
        <v>74</v>
      </c>
      <c r="BI340">
        <v>22</v>
      </c>
      <c r="BJ340" t="s">
        <v>2867</v>
      </c>
      <c r="BK340" t="s">
        <v>101</v>
      </c>
      <c r="BL340" t="s">
        <v>1048</v>
      </c>
      <c r="BM340" t="s">
        <v>7012</v>
      </c>
      <c r="BN340">
        <v>28849296</v>
      </c>
      <c r="BO340" t="s">
        <v>74</v>
      </c>
      <c r="BP340" t="s">
        <v>74</v>
      </c>
      <c r="BQ340" t="s">
        <v>74</v>
      </c>
      <c r="BR340" t="s">
        <v>105</v>
      </c>
      <c r="BS340" t="s">
        <v>7013</v>
      </c>
      <c r="BT340" t="str">
        <f>HYPERLINK("https%3A%2F%2Fwww.webofscience.com%2Fwos%2Fwoscc%2Ffull-record%2FWOS:000410476500049","View Full Record in Web of Science")</f>
        <v>View Full Record in Web of Science</v>
      </c>
    </row>
    <row r="341" spans="1:72" x14ac:dyDescent="0.15">
      <c r="A341" t="s">
        <v>72</v>
      </c>
      <c r="B341" t="s">
        <v>7014</v>
      </c>
      <c r="C341" t="s">
        <v>74</v>
      </c>
      <c r="D341" t="s">
        <v>74</v>
      </c>
      <c r="E341" t="s">
        <v>74</v>
      </c>
      <c r="F341" t="s">
        <v>7015</v>
      </c>
      <c r="G341" t="s">
        <v>74</v>
      </c>
      <c r="H341" t="s">
        <v>74</v>
      </c>
      <c r="I341" t="s">
        <v>7016</v>
      </c>
      <c r="J341" t="s">
        <v>7017</v>
      </c>
      <c r="K341" t="s">
        <v>74</v>
      </c>
      <c r="L341" t="s">
        <v>74</v>
      </c>
      <c r="M341" t="s">
        <v>78</v>
      </c>
      <c r="N341" t="s">
        <v>79</v>
      </c>
      <c r="O341" t="s">
        <v>74</v>
      </c>
      <c r="P341" t="s">
        <v>74</v>
      </c>
      <c r="Q341" t="s">
        <v>74</v>
      </c>
      <c r="R341" t="s">
        <v>74</v>
      </c>
      <c r="S341" t="s">
        <v>74</v>
      </c>
      <c r="T341" t="s">
        <v>7018</v>
      </c>
      <c r="U341" t="s">
        <v>7019</v>
      </c>
      <c r="V341" t="s">
        <v>7020</v>
      </c>
      <c r="W341" t="s">
        <v>7021</v>
      </c>
      <c r="X341" t="s">
        <v>7022</v>
      </c>
      <c r="Y341" t="s">
        <v>7023</v>
      </c>
      <c r="Z341" t="s">
        <v>7024</v>
      </c>
      <c r="AA341" t="s">
        <v>7025</v>
      </c>
      <c r="AB341" t="s">
        <v>7026</v>
      </c>
      <c r="AC341" t="s">
        <v>7027</v>
      </c>
      <c r="AD341" t="s">
        <v>7028</v>
      </c>
      <c r="AE341" t="s">
        <v>7029</v>
      </c>
      <c r="AF341" t="s">
        <v>74</v>
      </c>
      <c r="AG341">
        <v>63</v>
      </c>
      <c r="AH341">
        <v>8</v>
      </c>
      <c r="AI341">
        <v>9</v>
      </c>
      <c r="AJ341">
        <v>1</v>
      </c>
      <c r="AK341">
        <v>8</v>
      </c>
      <c r="AL341" t="s">
        <v>5970</v>
      </c>
      <c r="AM341" t="s">
        <v>209</v>
      </c>
      <c r="AN341" t="s">
        <v>5971</v>
      </c>
      <c r="AO341" t="s">
        <v>7030</v>
      </c>
      <c r="AP341" t="s">
        <v>7031</v>
      </c>
      <c r="AQ341" t="s">
        <v>74</v>
      </c>
      <c r="AR341" t="s">
        <v>7032</v>
      </c>
      <c r="AS341" t="s">
        <v>7033</v>
      </c>
      <c r="AT341" t="s">
        <v>5544</v>
      </c>
      <c r="AU341">
        <v>2017</v>
      </c>
      <c r="AV341">
        <v>55</v>
      </c>
      <c r="AW341">
        <v>9</v>
      </c>
      <c r="AX341" t="s">
        <v>74</v>
      </c>
      <c r="AY341" t="s">
        <v>74</v>
      </c>
      <c r="AZ341" t="s">
        <v>74</v>
      </c>
      <c r="BA341" t="s">
        <v>74</v>
      </c>
      <c r="BB341">
        <v>775</v>
      </c>
      <c r="BC341">
        <v>791</v>
      </c>
      <c r="BD341" t="s">
        <v>74</v>
      </c>
      <c r="BE341" t="s">
        <v>7034</v>
      </c>
      <c r="BF341" t="str">
        <f>HYPERLINK("http://dx.doi.org/10.1134/S0016702917090099","http://dx.doi.org/10.1134/S0016702917090099")</f>
        <v>http://dx.doi.org/10.1134/S0016702917090099</v>
      </c>
      <c r="BG341" t="s">
        <v>74</v>
      </c>
      <c r="BH341" t="s">
        <v>74</v>
      </c>
      <c r="BI341">
        <v>17</v>
      </c>
      <c r="BJ341" t="s">
        <v>509</v>
      </c>
      <c r="BK341" t="s">
        <v>101</v>
      </c>
      <c r="BL341" t="s">
        <v>509</v>
      </c>
      <c r="BM341" t="s">
        <v>7035</v>
      </c>
      <c r="BN341" t="s">
        <v>74</v>
      </c>
      <c r="BO341" t="s">
        <v>74</v>
      </c>
      <c r="BP341" t="s">
        <v>74</v>
      </c>
      <c r="BQ341" t="s">
        <v>74</v>
      </c>
      <c r="BR341" t="s">
        <v>105</v>
      </c>
      <c r="BS341" t="s">
        <v>7036</v>
      </c>
      <c r="BT341" t="str">
        <f>HYPERLINK("https%3A%2F%2Fwww.webofscience.com%2Fwos%2Fwoscc%2Ffull-record%2FWOS:000410098600002","View Full Record in Web of Science")</f>
        <v>View Full Record in Web of Science</v>
      </c>
    </row>
    <row r="342" spans="1:72" x14ac:dyDescent="0.15">
      <c r="A342" t="s">
        <v>72</v>
      </c>
      <c r="B342" t="s">
        <v>7037</v>
      </c>
      <c r="C342" t="s">
        <v>74</v>
      </c>
      <c r="D342" t="s">
        <v>74</v>
      </c>
      <c r="E342" t="s">
        <v>74</v>
      </c>
      <c r="F342" t="s">
        <v>7038</v>
      </c>
      <c r="G342" t="s">
        <v>74</v>
      </c>
      <c r="H342" t="s">
        <v>74</v>
      </c>
      <c r="I342" t="s">
        <v>7039</v>
      </c>
      <c r="J342" t="s">
        <v>5304</v>
      </c>
      <c r="K342" t="s">
        <v>74</v>
      </c>
      <c r="L342" t="s">
        <v>74</v>
      </c>
      <c r="M342" t="s">
        <v>78</v>
      </c>
      <c r="N342" t="s">
        <v>79</v>
      </c>
      <c r="O342" t="s">
        <v>74</v>
      </c>
      <c r="P342" t="s">
        <v>74</v>
      </c>
      <c r="Q342" t="s">
        <v>74</v>
      </c>
      <c r="R342" t="s">
        <v>74</v>
      </c>
      <c r="S342" t="s">
        <v>74</v>
      </c>
      <c r="T342" t="s">
        <v>74</v>
      </c>
      <c r="U342" t="s">
        <v>7040</v>
      </c>
      <c r="V342" t="s">
        <v>7041</v>
      </c>
      <c r="W342" t="s">
        <v>7042</v>
      </c>
      <c r="X342" t="s">
        <v>7043</v>
      </c>
      <c r="Y342" t="s">
        <v>7044</v>
      </c>
      <c r="Z342" t="s">
        <v>7045</v>
      </c>
      <c r="AA342" t="s">
        <v>7046</v>
      </c>
      <c r="AB342" t="s">
        <v>7047</v>
      </c>
      <c r="AC342" t="s">
        <v>7048</v>
      </c>
      <c r="AD342" t="s">
        <v>7049</v>
      </c>
      <c r="AE342" t="s">
        <v>7050</v>
      </c>
      <c r="AF342" t="s">
        <v>74</v>
      </c>
      <c r="AG342">
        <v>80</v>
      </c>
      <c r="AH342">
        <v>7</v>
      </c>
      <c r="AI342">
        <v>7</v>
      </c>
      <c r="AJ342">
        <v>0</v>
      </c>
      <c r="AK342">
        <v>11</v>
      </c>
      <c r="AL342" t="s">
        <v>311</v>
      </c>
      <c r="AM342" t="s">
        <v>312</v>
      </c>
      <c r="AN342" t="s">
        <v>313</v>
      </c>
      <c r="AO342" t="s">
        <v>5313</v>
      </c>
      <c r="AP342" t="s">
        <v>5314</v>
      </c>
      <c r="AQ342" t="s">
        <v>74</v>
      </c>
      <c r="AR342" t="s">
        <v>5304</v>
      </c>
      <c r="AS342" t="s">
        <v>5315</v>
      </c>
      <c r="AT342" t="s">
        <v>5838</v>
      </c>
      <c r="AU342">
        <v>2017</v>
      </c>
      <c r="AV342">
        <v>14</v>
      </c>
      <c r="AW342">
        <v>17</v>
      </c>
      <c r="AX342" t="s">
        <v>74</v>
      </c>
      <c r="AY342" t="s">
        <v>74</v>
      </c>
      <c r="AZ342" t="s">
        <v>74</v>
      </c>
      <c r="BA342" t="s">
        <v>74</v>
      </c>
      <c r="BB342">
        <v>3883</v>
      </c>
      <c r="BC342">
        <v>3897</v>
      </c>
      <c r="BD342" t="s">
        <v>74</v>
      </c>
      <c r="BE342" t="s">
        <v>7051</v>
      </c>
      <c r="BF342" t="str">
        <f>HYPERLINK("http://dx.doi.org/10.5194/bg-14-3883-2017","http://dx.doi.org/10.5194/bg-14-3883-2017")</f>
        <v>http://dx.doi.org/10.5194/bg-14-3883-2017</v>
      </c>
      <c r="BG342" t="s">
        <v>74</v>
      </c>
      <c r="BH342" t="s">
        <v>74</v>
      </c>
      <c r="BI342">
        <v>15</v>
      </c>
      <c r="BJ342" t="s">
        <v>5317</v>
      </c>
      <c r="BK342" t="s">
        <v>101</v>
      </c>
      <c r="BL342" t="s">
        <v>5318</v>
      </c>
      <c r="BM342" t="s">
        <v>7052</v>
      </c>
      <c r="BN342" t="s">
        <v>74</v>
      </c>
      <c r="BO342" t="s">
        <v>1131</v>
      </c>
      <c r="BP342" t="s">
        <v>74</v>
      </c>
      <c r="BQ342" t="s">
        <v>74</v>
      </c>
      <c r="BR342" t="s">
        <v>105</v>
      </c>
      <c r="BS342" t="s">
        <v>7053</v>
      </c>
      <c r="BT342" t="str">
        <f>HYPERLINK("https%3A%2F%2Fwww.webofscience.com%2Fwos%2Fwoscc%2Ffull-record%2FWOS:000409040900001","View Full Record in Web of Science")</f>
        <v>View Full Record in Web of Science</v>
      </c>
    </row>
    <row r="343" spans="1:72" x14ac:dyDescent="0.15">
      <c r="A343" t="s">
        <v>72</v>
      </c>
      <c r="B343" t="s">
        <v>7054</v>
      </c>
      <c r="C343" t="s">
        <v>74</v>
      </c>
      <c r="D343" t="s">
        <v>74</v>
      </c>
      <c r="E343" t="s">
        <v>74</v>
      </c>
      <c r="F343" t="s">
        <v>7055</v>
      </c>
      <c r="G343" t="s">
        <v>74</v>
      </c>
      <c r="H343" t="s">
        <v>74</v>
      </c>
      <c r="I343" t="s">
        <v>7056</v>
      </c>
      <c r="J343" t="s">
        <v>3017</v>
      </c>
      <c r="K343" t="s">
        <v>74</v>
      </c>
      <c r="L343" t="s">
        <v>74</v>
      </c>
      <c r="M343" t="s">
        <v>78</v>
      </c>
      <c r="N343" t="s">
        <v>79</v>
      </c>
      <c r="O343" t="s">
        <v>74</v>
      </c>
      <c r="P343" t="s">
        <v>74</v>
      </c>
      <c r="Q343" t="s">
        <v>74</v>
      </c>
      <c r="R343" t="s">
        <v>74</v>
      </c>
      <c r="S343" t="s">
        <v>74</v>
      </c>
      <c r="T343" t="s">
        <v>7057</v>
      </c>
      <c r="U343" t="s">
        <v>7058</v>
      </c>
      <c r="V343" t="s">
        <v>7059</v>
      </c>
      <c r="W343" t="s">
        <v>7060</v>
      </c>
      <c r="X343" t="s">
        <v>7061</v>
      </c>
      <c r="Y343" t="s">
        <v>7062</v>
      </c>
      <c r="Z343" t="s">
        <v>7063</v>
      </c>
      <c r="AA343" t="s">
        <v>7064</v>
      </c>
      <c r="AB343" t="s">
        <v>7065</v>
      </c>
      <c r="AC343" t="s">
        <v>7066</v>
      </c>
      <c r="AD343" t="s">
        <v>7067</v>
      </c>
      <c r="AE343" t="s">
        <v>7068</v>
      </c>
      <c r="AF343" t="s">
        <v>74</v>
      </c>
      <c r="AG343">
        <v>79</v>
      </c>
      <c r="AH343">
        <v>9</v>
      </c>
      <c r="AI343">
        <v>9</v>
      </c>
      <c r="AJ343">
        <v>0</v>
      </c>
      <c r="AK343">
        <v>11</v>
      </c>
      <c r="AL343" t="s">
        <v>1338</v>
      </c>
      <c r="AM343" t="s">
        <v>1339</v>
      </c>
      <c r="AN343" t="s">
        <v>1340</v>
      </c>
      <c r="AO343" t="s">
        <v>3030</v>
      </c>
      <c r="AP343" t="s">
        <v>74</v>
      </c>
      <c r="AQ343" t="s">
        <v>74</v>
      </c>
      <c r="AR343" t="s">
        <v>3031</v>
      </c>
      <c r="AS343" t="s">
        <v>3032</v>
      </c>
      <c r="AT343" t="s">
        <v>5544</v>
      </c>
      <c r="AU343">
        <v>2017</v>
      </c>
      <c r="AV343">
        <v>7</v>
      </c>
      <c r="AW343">
        <v>17</v>
      </c>
      <c r="AX343" t="s">
        <v>74</v>
      </c>
      <c r="AY343" t="s">
        <v>74</v>
      </c>
      <c r="AZ343" t="s">
        <v>74</v>
      </c>
      <c r="BA343" t="s">
        <v>74</v>
      </c>
      <c r="BB343">
        <v>7091</v>
      </c>
      <c r="BC343">
        <v>7103</v>
      </c>
      <c r="BD343" t="s">
        <v>74</v>
      </c>
      <c r="BE343" t="s">
        <v>7069</v>
      </c>
      <c r="BF343" t="str">
        <f>HYPERLINK("http://dx.doi.org/10.1002/ece3.3159","http://dx.doi.org/10.1002/ece3.3159")</f>
        <v>http://dx.doi.org/10.1002/ece3.3159</v>
      </c>
      <c r="BG343" t="s">
        <v>74</v>
      </c>
      <c r="BH343" t="s">
        <v>74</v>
      </c>
      <c r="BI343">
        <v>13</v>
      </c>
      <c r="BJ343" t="s">
        <v>3034</v>
      </c>
      <c r="BK343" t="s">
        <v>101</v>
      </c>
      <c r="BL343" t="s">
        <v>3035</v>
      </c>
      <c r="BM343" t="s">
        <v>7070</v>
      </c>
      <c r="BN343">
        <v>28904786</v>
      </c>
      <c r="BO343" t="s">
        <v>658</v>
      </c>
      <c r="BP343" t="s">
        <v>74</v>
      </c>
      <c r="BQ343" t="s">
        <v>74</v>
      </c>
      <c r="BR343" t="s">
        <v>105</v>
      </c>
      <c r="BS343" t="s">
        <v>7071</v>
      </c>
      <c r="BT343" t="str">
        <f>HYPERLINK("https%3A%2F%2Fwww.webofscience.com%2Fwos%2Fwoscc%2Ffull-record%2FWOS:000409529800041","View Full Record in Web of Science")</f>
        <v>View Full Record in Web of Science</v>
      </c>
    </row>
    <row r="344" spans="1:72" x14ac:dyDescent="0.15">
      <c r="A344" t="s">
        <v>72</v>
      </c>
      <c r="B344" t="s">
        <v>7072</v>
      </c>
      <c r="C344" t="s">
        <v>74</v>
      </c>
      <c r="D344" t="s">
        <v>74</v>
      </c>
      <c r="E344" t="s">
        <v>74</v>
      </c>
      <c r="F344" t="s">
        <v>7073</v>
      </c>
      <c r="G344" t="s">
        <v>74</v>
      </c>
      <c r="H344" t="s">
        <v>74</v>
      </c>
      <c r="I344" t="s">
        <v>7074</v>
      </c>
      <c r="J344" t="s">
        <v>2176</v>
      </c>
      <c r="K344" t="s">
        <v>74</v>
      </c>
      <c r="L344" t="s">
        <v>74</v>
      </c>
      <c r="M344" t="s">
        <v>78</v>
      </c>
      <c r="N344" t="s">
        <v>79</v>
      </c>
      <c r="O344" t="s">
        <v>74</v>
      </c>
      <c r="P344" t="s">
        <v>74</v>
      </c>
      <c r="Q344" t="s">
        <v>74</v>
      </c>
      <c r="R344" t="s">
        <v>74</v>
      </c>
      <c r="S344" t="s">
        <v>74</v>
      </c>
      <c r="T344" t="s">
        <v>74</v>
      </c>
      <c r="U344" t="s">
        <v>7075</v>
      </c>
      <c r="V344" t="s">
        <v>7076</v>
      </c>
      <c r="W344" t="s">
        <v>7077</v>
      </c>
      <c r="X344" t="s">
        <v>7078</v>
      </c>
      <c r="Y344" t="s">
        <v>7079</v>
      </c>
      <c r="Z344" t="s">
        <v>7080</v>
      </c>
      <c r="AA344" t="s">
        <v>7081</v>
      </c>
      <c r="AB344" t="s">
        <v>7082</v>
      </c>
      <c r="AC344" t="s">
        <v>7083</v>
      </c>
      <c r="AD344" t="s">
        <v>7084</v>
      </c>
      <c r="AE344" t="s">
        <v>7085</v>
      </c>
      <c r="AF344" t="s">
        <v>74</v>
      </c>
      <c r="AG344">
        <v>63</v>
      </c>
      <c r="AH344">
        <v>21</v>
      </c>
      <c r="AI344">
        <v>22</v>
      </c>
      <c r="AJ344">
        <v>1</v>
      </c>
      <c r="AK344">
        <v>13</v>
      </c>
      <c r="AL344" t="s">
        <v>1338</v>
      </c>
      <c r="AM344" t="s">
        <v>1339</v>
      </c>
      <c r="AN344" t="s">
        <v>1340</v>
      </c>
      <c r="AO344" t="s">
        <v>2186</v>
      </c>
      <c r="AP344" t="s">
        <v>2187</v>
      </c>
      <c r="AQ344" t="s">
        <v>74</v>
      </c>
      <c r="AR344" t="s">
        <v>2188</v>
      </c>
      <c r="AS344" t="s">
        <v>2189</v>
      </c>
      <c r="AT344" t="s">
        <v>5544</v>
      </c>
      <c r="AU344">
        <v>2017</v>
      </c>
      <c r="AV344">
        <v>52</v>
      </c>
      <c r="AW344">
        <v>9</v>
      </c>
      <c r="AX344" t="s">
        <v>74</v>
      </c>
      <c r="AY344" t="s">
        <v>74</v>
      </c>
      <c r="AZ344" t="s">
        <v>74</v>
      </c>
      <c r="BA344" t="s">
        <v>74</v>
      </c>
      <c r="BB344">
        <v>1843</v>
      </c>
      <c r="BC344">
        <v>1858</v>
      </c>
      <c r="BD344" t="s">
        <v>74</v>
      </c>
      <c r="BE344" t="s">
        <v>7086</v>
      </c>
      <c r="BF344" t="str">
        <f>HYPERLINK("http://dx.doi.org/10.1111/maps.12894","http://dx.doi.org/10.1111/maps.12894")</f>
        <v>http://dx.doi.org/10.1111/maps.12894</v>
      </c>
      <c r="BG344" t="s">
        <v>74</v>
      </c>
      <c r="BH344" t="s">
        <v>74</v>
      </c>
      <c r="BI344">
        <v>16</v>
      </c>
      <c r="BJ344" t="s">
        <v>509</v>
      </c>
      <c r="BK344" t="s">
        <v>101</v>
      </c>
      <c r="BL344" t="s">
        <v>509</v>
      </c>
      <c r="BM344" t="s">
        <v>7087</v>
      </c>
      <c r="BN344" t="s">
        <v>74</v>
      </c>
      <c r="BO344" t="s">
        <v>104</v>
      </c>
      <c r="BP344" t="s">
        <v>74</v>
      </c>
      <c r="BQ344" t="s">
        <v>74</v>
      </c>
      <c r="BR344" t="s">
        <v>105</v>
      </c>
      <c r="BS344" t="s">
        <v>7088</v>
      </c>
      <c r="BT344" t="str">
        <f>HYPERLINK("https%3A%2F%2Fwww.webofscience.com%2Fwos%2Fwoscc%2Ffull-record%2FWOS:000409523300005","View Full Record in Web of Science")</f>
        <v>View Full Record in Web of Science</v>
      </c>
    </row>
    <row r="345" spans="1:72" x14ac:dyDescent="0.15">
      <c r="A345" t="s">
        <v>72</v>
      </c>
      <c r="B345" t="s">
        <v>7089</v>
      </c>
      <c r="C345" t="s">
        <v>74</v>
      </c>
      <c r="D345" t="s">
        <v>74</v>
      </c>
      <c r="E345" t="s">
        <v>74</v>
      </c>
      <c r="F345" t="s">
        <v>7090</v>
      </c>
      <c r="G345" t="s">
        <v>74</v>
      </c>
      <c r="H345" t="s">
        <v>74</v>
      </c>
      <c r="I345" t="s">
        <v>7091</v>
      </c>
      <c r="J345" t="s">
        <v>7092</v>
      </c>
      <c r="K345" t="s">
        <v>74</v>
      </c>
      <c r="L345" t="s">
        <v>74</v>
      </c>
      <c r="M345" t="s">
        <v>7093</v>
      </c>
      <c r="N345" t="s">
        <v>5758</v>
      </c>
      <c r="O345" t="s">
        <v>74</v>
      </c>
      <c r="P345" t="s">
        <v>74</v>
      </c>
      <c r="Q345" t="s">
        <v>74</v>
      </c>
      <c r="R345" t="s">
        <v>74</v>
      </c>
      <c r="S345" t="s">
        <v>74</v>
      </c>
      <c r="T345" t="s">
        <v>74</v>
      </c>
      <c r="U345" t="s">
        <v>74</v>
      </c>
      <c r="V345" t="s">
        <v>74</v>
      </c>
      <c r="W345" t="s">
        <v>74</v>
      </c>
      <c r="X345" t="s">
        <v>74</v>
      </c>
      <c r="Y345" t="s">
        <v>74</v>
      </c>
      <c r="Z345" t="s">
        <v>74</v>
      </c>
      <c r="AA345" t="s">
        <v>74</v>
      </c>
      <c r="AB345" t="s">
        <v>74</v>
      </c>
      <c r="AC345" t="s">
        <v>74</v>
      </c>
      <c r="AD345" t="s">
        <v>74</v>
      </c>
      <c r="AE345" t="s">
        <v>74</v>
      </c>
      <c r="AF345" t="s">
        <v>74</v>
      </c>
      <c r="AG345">
        <v>1</v>
      </c>
      <c r="AH345">
        <v>0</v>
      </c>
      <c r="AI345">
        <v>0</v>
      </c>
      <c r="AJ345">
        <v>0</v>
      </c>
      <c r="AK345">
        <v>0</v>
      </c>
      <c r="AL345" t="s">
        <v>7094</v>
      </c>
      <c r="AM345" t="s">
        <v>7095</v>
      </c>
      <c r="AN345" t="s">
        <v>7096</v>
      </c>
      <c r="AO345" t="s">
        <v>7097</v>
      </c>
      <c r="AP345" t="s">
        <v>7098</v>
      </c>
      <c r="AQ345" t="s">
        <v>74</v>
      </c>
      <c r="AR345" t="s">
        <v>7099</v>
      </c>
      <c r="AS345" t="s">
        <v>7100</v>
      </c>
      <c r="AT345" t="s">
        <v>5544</v>
      </c>
      <c r="AU345">
        <v>2017</v>
      </c>
      <c r="AV345">
        <v>40</v>
      </c>
      <c r="AW345">
        <v>3</v>
      </c>
      <c r="AX345" t="s">
        <v>74</v>
      </c>
      <c r="AY345" t="s">
        <v>74</v>
      </c>
      <c r="AZ345" t="s">
        <v>74</v>
      </c>
      <c r="BA345" t="s">
        <v>74</v>
      </c>
      <c r="BB345">
        <v>291</v>
      </c>
      <c r="BC345" t="s">
        <v>7101</v>
      </c>
      <c r="BD345" t="s">
        <v>74</v>
      </c>
      <c r="BE345" t="s">
        <v>7102</v>
      </c>
      <c r="BF345" t="str">
        <f>HYPERLINK("http://dx.doi.org/10.1002/bewi.201701851","http://dx.doi.org/10.1002/bewi.201701851")</f>
        <v>http://dx.doi.org/10.1002/bewi.201701851</v>
      </c>
      <c r="BG345" t="s">
        <v>74</v>
      </c>
      <c r="BH345" t="s">
        <v>74</v>
      </c>
      <c r="BI345">
        <v>3</v>
      </c>
      <c r="BJ345" t="s">
        <v>6561</v>
      </c>
      <c r="BK345" t="s">
        <v>6562</v>
      </c>
      <c r="BL345" t="s">
        <v>6563</v>
      </c>
      <c r="BM345" t="s">
        <v>7103</v>
      </c>
      <c r="BN345" t="s">
        <v>74</v>
      </c>
      <c r="BO345" t="s">
        <v>74</v>
      </c>
      <c r="BP345" t="s">
        <v>74</v>
      </c>
      <c r="BQ345" t="s">
        <v>74</v>
      </c>
      <c r="BR345" t="s">
        <v>105</v>
      </c>
      <c r="BS345" t="s">
        <v>7104</v>
      </c>
      <c r="BT345" t="str">
        <f>HYPERLINK("https%3A%2F%2Fwww.webofscience.com%2Fwos%2Fwoscc%2Ffull-record%2FWOS:000408909800007","View Full Record in Web of Science")</f>
        <v>View Full Record in Web of Science</v>
      </c>
    </row>
    <row r="346" spans="1:72" x14ac:dyDescent="0.15">
      <c r="A346" t="s">
        <v>72</v>
      </c>
      <c r="B346" t="s">
        <v>7105</v>
      </c>
      <c r="C346" t="s">
        <v>74</v>
      </c>
      <c r="D346" t="s">
        <v>74</v>
      </c>
      <c r="E346" t="s">
        <v>74</v>
      </c>
      <c r="F346" t="s">
        <v>7106</v>
      </c>
      <c r="G346" t="s">
        <v>74</v>
      </c>
      <c r="H346" t="s">
        <v>74</v>
      </c>
      <c r="I346" t="s">
        <v>7107</v>
      </c>
      <c r="J346" t="s">
        <v>7108</v>
      </c>
      <c r="K346" t="s">
        <v>74</v>
      </c>
      <c r="L346" t="s">
        <v>74</v>
      </c>
      <c r="M346" t="s">
        <v>78</v>
      </c>
      <c r="N346" t="s">
        <v>79</v>
      </c>
      <c r="O346" t="s">
        <v>74</v>
      </c>
      <c r="P346" t="s">
        <v>74</v>
      </c>
      <c r="Q346" t="s">
        <v>74</v>
      </c>
      <c r="R346" t="s">
        <v>74</v>
      </c>
      <c r="S346" t="s">
        <v>74</v>
      </c>
      <c r="T346" t="s">
        <v>7109</v>
      </c>
      <c r="U346" t="s">
        <v>7110</v>
      </c>
      <c r="V346" t="s">
        <v>7111</v>
      </c>
      <c r="W346" t="s">
        <v>7112</v>
      </c>
      <c r="X346" t="s">
        <v>7113</v>
      </c>
      <c r="Y346" t="s">
        <v>7114</v>
      </c>
      <c r="Z346" t="s">
        <v>7115</v>
      </c>
      <c r="AA346" t="s">
        <v>7116</v>
      </c>
      <c r="AB346" t="s">
        <v>7117</v>
      </c>
      <c r="AC346" t="s">
        <v>7118</v>
      </c>
      <c r="AD346" t="s">
        <v>7119</v>
      </c>
      <c r="AE346" t="s">
        <v>7120</v>
      </c>
      <c r="AF346" t="s">
        <v>74</v>
      </c>
      <c r="AG346">
        <v>56</v>
      </c>
      <c r="AH346">
        <v>1</v>
      </c>
      <c r="AI346">
        <v>1</v>
      </c>
      <c r="AJ346">
        <v>0</v>
      </c>
      <c r="AK346">
        <v>14</v>
      </c>
      <c r="AL346" t="s">
        <v>1338</v>
      </c>
      <c r="AM346" t="s">
        <v>1339</v>
      </c>
      <c r="AN346" t="s">
        <v>1340</v>
      </c>
      <c r="AO346" t="s">
        <v>7121</v>
      </c>
      <c r="AP346" t="s">
        <v>7122</v>
      </c>
      <c r="AQ346" t="s">
        <v>74</v>
      </c>
      <c r="AR346" t="s">
        <v>7123</v>
      </c>
      <c r="AS346" t="s">
        <v>7124</v>
      </c>
      <c r="AT346" t="s">
        <v>5544</v>
      </c>
      <c r="AU346">
        <v>2017</v>
      </c>
      <c r="AV346">
        <v>136</v>
      </c>
      <c r="AW346">
        <v>3</v>
      </c>
      <c r="AX346" t="s">
        <v>74</v>
      </c>
      <c r="AY346" t="s">
        <v>74</v>
      </c>
      <c r="AZ346" t="s">
        <v>74</v>
      </c>
      <c r="BA346" t="s">
        <v>74</v>
      </c>
      <c r="BB346">
        <v>260</v>
      </c>
      <c r="BC346">
        <v>270</v>
      </c>
      <c r="BD346" t="s">
        <v>74</v>
      </c>
      <c r="BE346" t="s">
        <v>7125</v>
      </c>
      <c r="BF346" t="str">
        <f>HYPERLINK("http://dx.doi.org/10.1111/ivb.12176","http://dx.doi.org/10.1111/ivb.12176")</f>
        <v>http://dx.doi.org/10.1111/ivb.12176</v>
      </c>
      <c r="BG346" t="s">
        <v>74</v>
      </c>
      <c r="BH346" t="s">
        <v>74</v>
      </c>
      <c r="BI346">
        <v>11</v>
      </c>
      <c r="BJ346" t="s">
        <v>2170</v>
      </c>
      <c r="BK346" t="s">
        <v>101</v>
      </c>
      <c r="BL346" t="s">
        <v>2170</v>
      </c>
      <c r="BM346" t="s">
        <v>7126</v>
      </c>
      <c r="BN346" t="s">
        <v>74</v>
      </c>
      <c r="BO346" t="s">
        <v>74</v>
      </c>
      <c r="BP346" t="s">
        <v>74</v>
      </c>
      <c r="BQ346" t="s">
        <v>74</v>
      </c>
      <c r="BR346" t="s">
        <v>105</v>
      </c>
      <c r="BS346" t="s">
        <v>7127</v>
      </c>
      <c r="BT346" t="str">
        <f>HYPERLINK("https%3A%2F%2Fwww.webofscience.com%2Fwos%2Fwoscc%2Ffull-record%2FWOS:000409441300002","View Full Record in Web of Science")</f>
        <v>View Full Record in Web of Science</v>
      </c>
    </row>
    <row r="347" spans="1:72" x14ac:dyDescent="0.15">
      <c r="A347" t="s">
        <v>72</v>
      </c>
      <c r="B347" t="s">
        <v>7128</v>
      </c>
      <c r="C347" t="s">
        <v>74</v>
      </c>
      <c r="D347" t="s">
        <v>74</v>
      </c>
      <c r="E347" t="s">
        <v>74</v>
      </c>
      <c r="F347" t="s">
        <v>7129</v>
      </c>
      <c r="G347" t="s">
        <v>74</v>
      </c>
      <c r="H347" t="s">
        <v>74</v>
      </c>
      <c r="I347" t="s">
        <v>7130</v>
      </c>
      <c r="J347" t="s">
        <v>7131</v>
      </c>
      <c r="K347" t="s">
        <v>74</v>
      </c>
      <c r="L347" t="s">
        <v>74</v>
      </c>
      <c r="M347" t="s">
        <v>78</v>
      </c>
      <c r="N347" t="s">
        <v>79</v>
      </c>
      <c r="O347" t="s">
        <v>74</v>
      </c>
      <c r="P347" t="s">
        <v>74</v>
      </c>
      <c r="Q347" t="s">
        <v>74</v>
      </c>
      <c r="R347" t="s">
        <v>74</v>
      </c>
      <c r="S347" t="s">
        <v>74</v>
      </c>
      <c r="T347" t="s">
        <v>74</v>
      </c>
      <c r="U347" t="s">
        <v>7132</v>
      </c>
      <c r="V347" t="s">
        <v>7133</v>
      </c>
      <c r="W347" t="s">
        <v>7134</v>
      </c>
      <c r="X347" t="s">
        <v>7135</v>
      </c>
      <c r="Y347" t="s">
        <v>7136</v>
      </c>
      <c r="Z347" t="s">
        <v>7137</v>
      </c>
      <c r="AA347" t="s">
        <v>7138</v>
      </c>
      <c r="AB347" t="s">
        <v>7139</v>
      </c>
      <c r="AC347" t="s">
        <v>7140</v>
      </c>
      <c r="AD347" t="s">
        <v>7141</v>
      </c>
      <c r="AE347" t="s">
        <v>7142</v>
      </c>
      <c r="AF347" t="s">
        <v>74</v>
      </c>
      <c r="AG347">
        <v>63</v>
      </c>
      <c r="AH347">
        <v>53</v>
      </c>
      <c r="AI347">
        <v>59</v>
      </c>
      <c r="AJ347">
        <v>0</v>
      </c>
      <c r="AK347">
        <v>27</v>
      </c>
      <c r="AL347" t="s">
        <v>181</v>
      </c>
      <c r="AM347" t="s">
        <v>209</v>
      </c>
      <c r="AN347" t="s">
        <v>7143</v>
      </c>
      <c r="AO347" t="s">
        <v>7144</v>
      </c>
      <c r="AP347" t="s">
        <v>7145</v>
      </c>
      <c r="AQ347" t="s">
        <v>74</v>
      </c>
      <c r="AR347" t="s">
        <v>7146</v>
      </c>
      <c r="AS347" t="s">
        <v>7147</v>
      </c>
      <c r="AT347" t="s">
        <v>5544</v>
      </c>
      <c r="AU347">
        <v>2017</v>
      </c>
      <c r="AV347">
        <v>10</v>
      </c>
      <c r="AW347">
        <v>9</v>
      </c>
      <c r="AX347" t="s">
        <v>74</v>
      </c>
      <c r="AY347" t="s">
        <v>74</v>
      </c>
      <c r="AZ347" t="s">
        <v>74</v>
      </c>
      <c r="BA347" t="s">
        <v>74</v>
      </c>
      <c r="BB347">
        <v>691</v>
      </c>
      <c r="BC347" t="s">
        <v>188</v>
      </c>
      <c r="BD347" t="s">
        <v>74</v>
      </c>
      <c r="BE347" t="s">
        <v>7148</v>
      </c>
      <c r="BF347" t="str">
        <f>HYPERLINK("http://dx.doi.org/10.1038/NGEO3012","http://dx.doi.org/10.1038/NGEO3012")</f>
        <v>http://dx.doi.org/10.1038/NGEO3012</v>
      </c>
      <c r="BG347" t="s">
        <v>74</v>
      </c>
      <c r="BH347" t="s">
        <v>74</v>
      </c>
      <c r="BI347">
        <v>8</v>
      </c>
      <c r="BJ347" t="s">
        <v>100</v>
      </c>
      <c r="BK347" t="s">
        <v>101</v>
      </c>
      <c r="BL347" t="s">
        <v>102</v>
      </c>
      <c r="BM347" t="s">
        <v>7149</v>
      </c>
      <c r="BN347" t="s">
        <v>74</v>
      </c>
      <c r="BO347" t="s">
        <v>74</v>
      </c>
      <c r="BP347" t="s">
        <v>74</v>
      </c>
      <c r="BQ347" t="s">
        <v>74</v>
      </c>
      <c r="BR347" t="s">
        <v>105</v>
      </c>
      <c r="BS347" t="s">
        <v>7150</v>
      </c>
      <c r="BT347" t="str">
        <f>HYPERLINK("https%3A%2F%2Fwww.webofscience.com%2Fwos%2Fwoscc%2Ffull-record%2FWOS:000409229600018","View Full Record in Web of Science")</f>
        <v>View Full Record in Web of Science</v>
      </c>
    </row>
    <row r="348" spans="1:72" x14ac:dyDescent="0.15">
      <c r="A348" t="s">
        <v>72</v>
      </c>
      <c r="B348" t="s">
        <v>7151</v>
      </c>
      <c r="C348" t="s">
        <v>74</v>
      </c>
      <c r="D348" t="s">
        <v>74</v>
      </c>
      <c r="E348" t="s">
        <v>74</v>
      </c>
      <c r="F348" t="s">
        <v>7152</v>
      </c>
      <c r="G348" t="s">
        <v>74</v>
      </c>
      <c r="H348" t="s">
        <v>74</v>
      </c>
      <c r="I348" t="s">
        <v>7153</v>
      </c>
      <c r="J348" t="s">
        <v>7154</v>
      </c>
      <c r="K348" t="s">
        <v>74</v>
      </c>
      <c r="L348" t="s">
        <v>74</v>
      </c>
      <c r="M348" t="s">
        <v>78</v>
      </c>
      <c r="N348" t="s">
        <v>79</v>
      </c>
      <c r="O348" t="s">
        <v>74</v>
      </c>
      <c r="P348" t="s">
        <v>74</v>
      </c>
      <c r="Q348" t="s">
        <v>74</v>
      </c>
      <c r="R348" t="s">
        <v>74</v>
      </c>
      <c r="S348" t="s">
        <v>74</v>
      </c>
      <c r="T348" t="s">
        <v>7155</v>
      </c>
      <c r="U348" t="s">
        <v>7156</v>
      </c>
      <c r="V348" t="s">
        <v>7157</v>
      </c>
      <c r="W348" t="s">
        <v>7158</v>
      </c>
      <c r="X348" t="s">
        <v>7159</v>
      </c>
      <c r="Y348" t="s">
        <v>7160</v>
      </c>
      <c r="Z348" t="s">
        <v>7161</v>
      </c>
      <c r="AA348" t="s">
        <v>7162</v>
      </c>
      <c r="AB348" t="s">
        <v>7163</v>
      </c>
      <c r="AC348" t="s">
        <v>7164</v>
      </c>
      <c r="AD348" t="s">
        <v>7165</v>
      </c>
      <c r="AE348" t="s">
        <v>7166</v>
      </c>
      <c r="AF348" t="s">
        <v>74</v>
      </c>
      <c r="AG348">
        <v>72</v>
      </c>
      <c r="AH348">
        <v>49</v>
      </c>
      <c r="AI348">
        <v>58</v>
      </c>
      <c r="AJ348">
        <v>0</v>
      </c>
      <c r="AK348">
        <v>12</v>
      </c>
      <c r="AL348" t="s">
        <v>7167</v>
      </c>
      <c r="AM348" t="s">
        <v>182</v>
      </c>
      <c r="AN348" t="s">
        <v>7168</v>
      </c>
      <c r="AO348" t="s">
        <v>7169</v>
      </c>
      <c r="AP348" t="s">
        <v>7170</v>
      </c>
      <c r="AQ348" t="s">
        <v>74</v>
      </c>
      <c r="AR348" t="s">
        <v>7171</v>
      </c>
      <c r="AS348" t="s">
        <v>7172</v>
      </c>
      <c r="AT348" t="s">
        <v>5544</v>
      </c>
      <c r="AU348">
        <v>2017</v>
      </c>
      <c r="AV348">
        <v>22</v>
      </c>
      <c r="AW348">
        <v>9</v>
      </c>
      <c r="AX348" t="s">
        <v>74</v>
      </c>
      <c r="AY348" t="s">
        <v>74</v>
      </c>
      <c r="AZ348" t="s">
        <v>74</v>
      </c>
      <c r="BA348" t="s">
        <v>74</v>
      </c>
      <c r="BB348">
        <v>1327</v>
      </c>
      <c r="BC348">
        <v>1377</v>
      </c>
      <c r="BD348" t="s">
        <v>74</v>
      </c>
      <c r="BE348" t="s">
        <v>7173</v>
      </c>
      <c r="BF348" t="str">
        <f>HYPERLINK("http://dx.doi.org/10.11158/saa.22.9.4","http://dx.doi.org/10.11158/saa.22.9.4")</f>
        <v>http://dx.doi.org/10.11158/saa.22.9.4</v>
      </c>
      <c r="BG348" t="s">
        <v>74</v>
      </c>
      <c r="BH348" t="s">
        <v>74</v>
      </c>
      <c r="BI348">
        <v>51</v>
      </c>
      <c r="BJ348" t="s">
        <v>7174</v>
      </c>
      <c r="BK348" t="s">
        <v>101</v>
      </c>
      <c r="BL348" t="s">
        <v>7174</v>
      </c>
      <c r="BM348" t="s">
        <v>7175</v>
      </c>
      <c r="BN348" t="s">
        <v>74</v>
      </c>
      <c r="BO348" t="s">
        <v>74</v>
      </c>
      <c r="BP348" t="s">
        <v>74</v>
      </c>
      <c r="BQ348" t="s">
        <v>74</v>
      </c>
      <c r="BR348" t="s">
        <v>105</v>
      </c>
      <c r="BS348" t="s">
        <v>7176</v>
      </c>
      <c r="BT348" t="str">
        <f>HYPERLINK("https%3A%2F%2Fwww.webofscience.com%2Fwos%2Fwoscc%2Ffull-record%2FWOS:000408946000004","View Full Record in Web of Science")</f>
        <v>View Full Record in Web of Science</v>
      </c>
    </row>
    <row r="349" spans="1:72" x14ac:dyDescent="0.15">
      <c r="A349" t="s">
        <v>72</v>
      </c>
      <c r="B349" t="s">
        <v>7177</v>
      </c>
      <c r="C349" t="s">
        <v>74</v>
      </c>
      <c r="D349" t="s">
        <v>74</v>
      </c>
      <c r="E349" t="s">
        <v>74</v>
      </c>
      <c r="F349" t="s">
        <v>7178</v>
      </c>
      <c r="G349" t="s">
        <v>74</v>
      </c>
      <c r="H349" t="s">
        <v>74</v>
      </c>
      <c r="I349" t="s">
        <v>7179</v>
      </c>
      <c r="J349" t="s">
        <v>903</v>
      </c>
      <c r="K349" t="s">
        <v>74</v>
      </c>
      <c r="L349" t="s">
        <v>74</v>
      </c>
      <c r="M349" t="s">
        <v>78</v>
      </c>
      <c r="N349" t="s">
        <v>79</v>
      </c>
      <c r="O349" t="s">
        <v>74</v>
      </c>
      <c r="P349" t="s">
        <v>74</v>
      </c>
      <c r="Q349" t="s">
        <v>74</v>
      </c>
      <c r="R349" t="s">
        <v>74</v>
      </c>
      <c r="S349" t="s">
        <v>74</v>
      </c>
      <c r="T349" t="s">
        <v>74</v>
      </c>
      <c r="U349" t="s">
        <v>7180</v>
      </c>
      <c r="V349" t="s">
        <v>7181</v>
      </c>
      <c r="W349" t="s">
        <v>7182</v>
      </c>
      <c r="X349" t="s">
        <v>7183</v>
      </c>
      <c r="Y349" t="s">
        <v>7184</v>
      </c>
      <c r="Z349" t="s">
        <v>7185</v>
      </c>
      <c r="AA349" t="s">
        <v>7186</v>
      </c>
      <c r="AB349" t="s">
        <v>7187</v>
      </c>
      <c r="AC349" t="s">
        <v>7188</v>
      </c>
      <c r="AD349" t="s">
        <v>7189</v>
      </c>
      <c r="AE349" t="s">
        <v>7190</v>
      </c>
      <c r="AF349" t="s">
        <v>74</v>
      </c>
      <c r="AG349">
        <v>89</v>
      </c>
      <c r="AH349">
        <v>3</v>
      </c>
      <c r="AI349">
        <v>3</v>
      </c>
      <c r="AJ349">
        <v>1</v>
      </c>
      <c r="AK349">
        <v>12</v>
      </c>
      <c r="AL349" t="s">
        <v>311</v>
      </c>
      <c r="AM349" t="s">
        <v>312</v>
      </c>
      <c r="AN349" t="s">
        <v>313</v>
      </c>
      <c r="AO349" t="s">
        <v>915</v>
      </c>
      <c r="AP349" t="s">
        <v>916</v>
      </c>
      <c r="AQ349" t="s">
        <v>74</v>
      </c>
      <c r="AR349" t="s">
        <v>917</v>
      </c>
      <c r="AS349" t="s">
        <v>918</v>
      </c>
      <c r="AT349" t="s">
        <v>5838</v>
      </c>
      <c r="AU349">
        <v>2017</v>
      </c>
      <c r="AV349">
        <v>13</v>
      </c>
      <c r="AW349">
        <v>9</v>
      </c>
      <c r="AX349" t="s">
        <v>74</v>
      </c>
      <c r="AY349" t="s">
        <v>74</v>
      </c>
      <c r="AZ349" t="s">
        <v>74</v>
      </c>
      <c r="BA349" t="s">
        <v>74</v>
      </c>
      <c r="BB349">
        <v>1081</v>
      </c>
      <c r="BC349">
        <v>1095</v>
      </c>
      <c r="BD349" t="s">
        <v>74</v>
      </c>
      <c r="BE349" t="s">
        <v>7191</v>
      </c>
      <c r="BF349" t="str">
        <f>HYPERLINK("http://dx.doi.org/10.5194/cp-13-1081-2017","http://dx.doi.org/10.5194/cp-13-1081-2017")</f>
        <v>http://dx.doi.org/10.5194/cp-13-1081-2017</v>
      </c>
      <c r="BG349" t="s">
        <v>74</v>
      </c>
      <c r="BH349" t="s">
        <v>74</v>
      </c>
      <c r="BI349">
        <v>15</v>
      </c>
      <c r="BJ349" t="s">
        <v>920</v>
      </c>
      <c r="BK349" t="s">
        <v>101</v>
      </c>
      <c r="BL349" t="s">
        <v>921</v>
      </c>
      <c r="BM349" t="s">
        <v>7192</v>
      </c>
      <c r="BN349" t="s">
        <v>74</v>
      </c>
      <c r="BO349" t="s">
        <v>3495</v>
      </c>
      <c r="BP349" t="s">
        <v>74</v>
      </c>
      <c r="BQ349" t="s">
        <v>74</v>
      </c>
      <c r="BR349" t="s">
        <v>105</v>
      </c>
      <c r="BS349" t="s">
        <v>7193</v>
      </c>
      <c r="BT349" t="str">
        <f>HYPERLINK("https%3A%2F%2Fwww.webofscience.com%2Fwos%2Fwoscc%2Ffull-record%2FWOS:000409043500001","View Full Record in Web of Science")</f>
        <v>View Full Record in Web of Science</v>
      </c>
    </row>
    <row r="350" spans="1:72" x14ac:dyDescent="0.15">
      <c r="A350" t="s">
        <v>72</v>
      </c>
      <c r="B350" t="s">
        <v>7194</v>
      </c>
      <c r="C350" t="s">
        <v>74</v>
      </c>
      <c r="D350" t="s">
        <v>74</v>
      </c>
      <c r="E350" t="s">
        <v>74</v>
      </c>
      <c r="F350" t="s">
        <v>7195</v>
      </c>
      <c r="G350" t="s">
        <v>74</v>
      </c>
      <c r="H350" t="s">
        <v>74</v>
      </c>
      <c r="I350" t="s">
        <v>7196</v>
      </c>
      <c r="J350" t="s">
        <v>817</v>
      </c>
      <c r="K350" t="s">
        <v>74</v>
      </c>
      <c r="L350" t="s">
        <v>74</v>
      </c>
      <c r="M350" t="s">
        <v>78</v>
      </c>
      <c r="N350" t="s">
        <v>79</v>
      </c>
      <c r="O350" t="s">
        <v>74</v>
      </c>
      <c r="P350" t="s">
        <v>74</v>
      </c>
      <c r="Q350" t="s">
        <v>74</v>
      </c>
      <c r="R350" t="s">
        <v>74</v>
      </c>
      <c r="S350" t="s">
        <v>74</v>
      </c>
      <c r="T350" t="s">
        <v>74</v>
      </c>
      <c r="U350" t="s">
        <v>7197</v>
      </c>
      <c r="V350" t="s">
        <v>7198</v>
      </c>
      <c r="W350" t="s">
        <v>7199</v>
      </c>
      <c r="X350" t="s">
        <v>7200</v>
      </c>
      <c r="Y350" t="s">
        <v>7201</v>
      </c>
      <c r="Z350" t="s">
        <v>7202</v>
      </c>
      <c r="AA350" t="s">
        <v>7203</v>
      </c>
      <c r="AB350" t="s">
        <v>7204</v>
      </c>
      <c r="AC350" t="s">
        <v>7205</v>
      </c>
      <c r="AD350" t="s">
        <v>7206</v>
      </c>
      <c r="AE350" t="s">
        <v>7207</v>
      </c>
      <c r="AF350" t="s">
        <v>74</v>
      </c>
      <c r="AG350">
        <v>67</v>
      </c>
      <c r="AH350">
        <v>20</v>
      </c>
      <c r="AI350">
        <v>21</v>
      </c>
      <c r="AJ350">
        <v>2</v>
      </c>
      <c r="AK350">
        <v>19</v>
      </c>
      <c r="AL350" t="s">
        <v>311</v>
      </c>
      <c r="AM350" t="s">
        <v>312</v>
      </c>
      <c r="AN350" t="s">
        <v>313</v>
      </c>
      <c r="AO350" t="s">
        <v>829</v>
      </c>
      <c r="AP350" t="s">
        <v>830</v>
      </c>
      <c r="AQ350" t="s">
        <v>74</v>
      </c>
      <c r="AR350" t="s">
        <v>831</v>
      </c>
      <c r="AS350" t="s">
        <v>832</v>
      </c>
      <c r="AT350" t="s">
        <v>5838</v>
      </c>
      <c r="AU350">
        <v>2017</v>
      </c>
      <c r="AV350">
        <v>17</v>
      </c>
      <c r="AW350">
        <v>17</v>
      </c>
      <c r="AX350" t="s">
        <v>74</v>
      </c>
      <c r="AY350" t="s">
        <v>74</v>
      </c>
      <c r="AZ350" t="s">
        <v>74</v>
      </c>
      <c r="BA350" t="s">
        <v>74</v>
      </c>
      <c r="BB350">
        <v>10269</v>
      </c>
      <c r="BC350">
        <v>10290</v>
      </c>
      <c r="BD350" t="s">
        <v>74</v>
      </c>
      <c r="BE350" t="s">
        <v>7208</v>
      </c>
      <c r="BF350" t="str">
        <f>HYPERLINK("http://dx.doi.org/10.5194/acp-17-10269-2017","http://dx.doi.org/10.5194/acp-17-10269-2017")</f>
        <v>http://dx.doi.org/10.5194/acp-17-10269-2017</v>
      </c>
      <c r="BG350" t="s">
        <v>74</v>
      </c>
      <c r="BH350" t="s">
        <v>74</v>
      </c>
      <c r="BI350">
        <v>22</v>
      </c>
      <c r="BJ350" t="s">
        <v>834</v>
      </c>
      <c r="BK350" t="s">
        <v>101</v>
      </c>
      <c r="BL350" t="s">
        <v>835</v>
      </c>
      <c r="BM350" t="s">
        <v>7209</v>
      </c>
      <c r="BN350" t="s">
        <v>74</v>
      </c>
      <c r="BO350" t="s">
        <v>837</v>
      </c>
      <c r="BP350" t="s">
        <v>74</v>
      </c>
      <c r="BQ350" t="s">
        <v>74</v>
      </c>
      <c r="BR350" t="s">
        <v>105</v>
      </c>
      <c r="BS350" t="s">
        <v>7210</v>
      </c>
      <c r="BT350" t="str">
        <f>HYPERLINK("https%3A%2F%2Fwww.webofscience.com%2Fwos%2Fwoscc%2Ffull-record%2FWOS:000409038300004","View Full Record in Web of Science")</f>
        <v>View Full Record in Web of Science</v>
      </c>
    </row>
    <row r="351" spans="1:72" x14ac:dyDescent="0.15">
      <c r="A351" t="s">
        <v>72</v>
      </c>
      <c r="B351" t="s">
        <v>7211</v>
      </c>
      <c r="C351" t="s">
        <v>74</v>
      </c>
      <c r="D351" t="s">
        <v>74</v>
      </c>
      <c r="E351" t="s">
        <v>74</v>
      </c>
      <c r="F351" t="s">
        <v>7212</v>
      </c>
      <c r="G351" t="s">
        <v>74</v>
      </c>
      <c r="H351" t="s">
        <v>74</v>
      </c>
      <c r="I351" t="s">
        <v>7213</v>
      </c>
      <c r="J351" t="s">
        <v>7214</v>
      </c>
      <c r="K351" t="s">
        <v>74</v>
      </c>
      <c r="L351" t="s">
        <v>74</v>
      </c>
      <c r="M351" t="s">
        <v>78</v>
      </c>
      <c r="N351" t="s">
        <v>79</v>
      </c>
      <c r="O351" t="s">
        <v>74</v>
      </c>
      <c r="P351" t="s">
        <v>74</v>
      </c>
      <c r="Q351" t="s">
        <v>74</v>
      </c>
      <c r="R351" t="s">
        <v>74</v>
      </c>
      <c r="S351" t="s">
        <v>74</v>
      </c>
      <c r="T351" t="s">
        <v>7215</v>
      </c>
      <c r="U351" t="s">
        <v>7216</v>
      </c>
      <c r="V351" t="s">
        <v>7217</v>
      </c>
      <c r="W351" t="s">
        <v>7218</v>
      </c>
      <c r="X351" t="s">
        <v>7219</v>
      </c>
      <c r="Y351" t="s">
        <v>7220</v>
      </c>
      <c r="Z351" t="s">
        <v>7221</v>
      </c>
      <c r="AA351" t="s">
        <v>7222</v>
      </c>
      <c r="AB351" t="s">
        <v>7223</v>
      </c>
      <c r="AC351" t="s">
        <v>7224</v>
      </c>
      <c r="AD351" t="s">
        <v>7225</v>
      </c>
      <c r="AE351" t="s">
        <v>7226</v>
      </c>
      <c r="AF351" t="s">
        <v>74</v>
      </c>
      <c r="AG351">
        <v>51</v>
      </c>
      <c r="AH351">
        <v>27</v>
      </c>
      <c r="AI351">
        <v>27</v>
      </c>
      <c r="AJ351">
        <v>5</v>
      </c>
      <c r="AK351">
        <v>84</v>
      </c>
      <c r="AL351" t="s">
        <v>371</v>
      </c>
      <c r="AM351" t="s">
        <v>372</v>
      </c>
      <c r="AN351" t="s">
        <v>373</v>
      </c>
      <c r="AO351" t="s">
        <v>7227</v>
      </c>
      <c r="AP351" t="s">
        <v>7228</v>
      </c>
      <c r="AQ351" t="s">
        <v>74</v>
      </c>
      <c r="AR351" t="s">
        <v>7229</v>
      </c>
      <c r="AS351" t="s">
        <v>7230</v>
      </c>
      <c r="AT351" t="s">
        <v>5838</v>
      </c>
      <c r="AU351">
        <v>2017</v>
      </c>
      <c r="AV351">
        <v>1513</v>
      </c>
      <c r="AW351" t="s">
        <v>74</v>
      </c>
      <c r="AX351" t="s">
        <v>74</v>
      </c>
      <c r="AY351" t="s">
        <v>74</v>
      </c>
      <c r="AZ351" t="s">
        <v>74</v>
      </c>
      <c r="BA351" t="s">
        <v>74</v>
      </c>
      <c r="BB351">
        <v>107</v>
      </c>
      <c r="BC351">
        <v>117</v>
      </c>
      <c r="BD351" t="s">
        <v>74</v>
      </c>
      <c r="BE351" t="s">
        <v>7231</v>
      </c>
      <c r="BF351" t="str">
        <f>HYPERLINK("http://dx.doi.org/10.1016/j.chroma.2017.07.024","http://dx.doi.org/10.1016/j.chroma.2017.07.024")</f>
        <v>http://dx.doi.org/10.1016/j.chroma.2017.07.024</v>
      </c>
      <c r="BG351" t="s">
        <v>74</v>
      </c>
      <c r="BH351" t="s">
        <v>74</v>
      </c>
      <c r="BI351">
        <v>11</v>
      </c>
      <c r="BJ351" t="s">
        <v>3310</v>
      </c>
      <c r="BK351" t="s">
        <v>101</v>
      </c>
      <c r="BL351" t="s">
        <v>3311</v>
      </c>
      <c r="BM351" t="s">
        <v>7232</v>
      </c>
      <c r="BN351">
        <v>28743395</v>
      </c>
      <c r="BO351" t="s">
        <v>74</v>
      </c>
      <c r="BP351" t="s">
        <v>74</v>
      </c>
      <c r="BQ351" t="s">
        <v>74</v>
      </c>
      <c r="BR351" t="s">
        <v>105</v>
      </c>
      <c r="BS351" t="s">
        <v>7233</v>
      </c>
      <c r="BT351" t="str">
        <f>HYPERLINK("https%3A%2F%2Fwww.webofscience.com%2Fwos%2Fwoscc%2Ffull-record%2FWOS:000408288400012","View Full Record in Web of Science")</f>
        <v>View Full Record in Web of Science</v>
      </c>
    </row>
    <row r="352" spans="1:72" x14ac:dyDescent="0.15">
      <c r="A352" t="s">
        <v>72</v>
      </c>
      <c r="B352" t="s">
        <v>7234</v>
      </c>
      <c r="C352" t="s">
        <v>74</v>
      </c>
      <c r="D352" t="s">
        <v>74</v>
      </c>
      <c r="E352" t="s">
        <v>74</v>
      </c>
      <c r="F352" t="s">
        <v>7235</v>
      </c>
      <c r="G352" t="s">
        <v>74</v>
      </c>
      <c r="H352" t="s">
        <v>74</v>
      </c>
      <c r="I352" t="s">
        <v>7236</v>
      </c>
      <c r="J352" t="s">
        <v>7237</v>
      </c>
      <c r="K352" t="s">
        <v>74</v>
      </c>
      <c r="L352" t="s">
        <v>74</v>
      </c>
      <c r="M352" t="s">
        <v>78</v>
      </c>
      <c r="N352" t="s">
        <v>79</v>
      </c>
      <c r="O352" t="s">
        <v>74</v>
      </c>
      <c r="P352" t="s">
        <v>74</v>
      </c>
      <c r="Q352" t="s">
        <v>74</v>
      </c>
      <c r="R352" t="s">
        <v>74</v>
      </c>
      <c r="S352" t="s">
        <v>74</v>
      </c>
      <c r="T352" t="s">
        <v>7238</v>
      </c>
      <c r="U352" t="s">
        <v>7239</v>
      </c>
      <c r="V352" t="s">
        <v>7240</v>
      </c>
      <c r="W352" t="s">
        <v>7241</v>
      </c>
      <c r="X352" t="s">
        <v>7242</v>
      </c>
      <c r="Y352" t="s">
        <v>7243</v>
      </c>
      <c r="Z352" t="s">
        <v>7244</v>
      </c>
      <c r="AA352" t="s">
        <v>74</v>
      </c>
      <c r="AB352" t="s">
        <v>7245</v>
      </c>
      <c r="AC352" t="s">
        <v>7246</v>
      </c>
      <c r="AD352" t="s">
        <v>7246</v>
      </c>
      <c r="AE352" t="s">
        <v>7247</v>
      </c>
      <c r="AF352" t="s">
        <v>74</v>
      </c>
      <c r="AG352">
        <v>21</v>
      </c>
      <c r="AH352">
        <v>21</v>
      </c>
      <c r="AI352">
        <v>22</v>
      </c>
      <c r="AJ352">
        <v>2</v>
      </c>
      <c r="AK352">
        <v>47</v>
      </c>
      <c r="AL352" t="s">
        <v>1338</v>
      </c>
      <c r="AM352" t="s">
        <v>1339</v>
      </c>
      <c r="AN352" t="s">
        <v>1340</v>
      </c>
      <c r="AO352" t="s">
        <v>7248</v>
      </c>
      <c r="AP352" t="s">
        <v>7249</v>
      </c>
      <c r="AQ352" t="s">
        <v>74</v>
      </c>
      <c r="AR352" t="s">
        <v>7250</v>
      </c>
      <c r="AS352" t="s">
        <v>7251</v>
      </c>
      <c r="AT352" t="s">
        <v>5544</v>
      </c>
      <c r="AU352">
        <v>2017</v>
      </c>
      <c r="AV352">
        <v>91</v>
      </c>
      <c r="AW352">
        <v>3</v>
      </c>
      <c r="AX352" t="s">
        <v>74</v>
      </c>
      <c r="AY352" t="s">
        <v>74</v>
      </c>
      <c r="AZ352" t="s">
        <v>74</v>
      </c>
      <c r="BA352" t="s">
        <v>74</v>
      </c>
      <c r="BB352">
        <v>981</v>
      </c>
      <c r="BC352">
        <v>988</v>
      </c>
      <c r="BD352" t="s">
        <v>74</v>
      </c>
      <c r="BE352" t="s">
        <v>7252</v>
      </c>
      <c r="BF352" t="str">
        <f>HYPERLINK("http://dx.doi.org/10.1111/jfb.13389","http://dx.doi.org/10.1111/jfb.13389")</f>
        <v>http://dx.doi.org/10.1111/jfb.13389</v>
      </c>
      <c r="BG352" t="s">
        <v>74</v>
      </c>
      <c r="BH352" t="s">
        <v>74</v>
      </c>
      <c r="BI352">
        <v>8</v>
      </c>
      <c r="BJ352" t="s">
        <v>4008</v>
      </c>
      <c r="BK352" t="s">
        <v>101</v>
      </c>
      <c r="BL352" t="s">
        <v>4008</v>
      </c>
      <c r="BM352" t="s">
        <v>7253</v>
      </c>
      <c r="BN352">
        <v>28758213</v>
      </c>
      <c r="BO352" t="s">
        <v>74</v>
      </c>
      <c r="BP352" t="s">
        <v>74</v>
      </c>
      <c r="BQ352" t="s">
        <v>74</v>
      </c>
      <c r="BR352" t="s">
        <v>105</v>
      </c>
      <c r="BS352" t="s">
        <v>7254</v>
      </c>
      <c r="BT352" t="str">
        <f>HYPERLINK("https%3A%2F%2Fwww.webofscience.com%2Fwos%2Fwoscc%2Ffull-record%2FWOS:000408996500017","View Full Record in Web of Science")</f>
        <v>View Full Record in Web of Science</v>
      </c>
    </row>
    <row r="353" spans="1:72" x14ac:dyDescent="0.15">
      <c r="A353" t="s">
        <v>72</v>
      </c>
      <c r="B353" t="s">
        <v>7255</v>
      </c>
      <c r="C353" t="s">
        <v>74</v>
      </c>
      <c r="D353" t="s">
        <v>74</v>
      </c>
      <c r="E353" t="s">
        <v>74</v>
      </c>
      <c r="F353" t="s">
        <v>7256</v>
      </c>
      <c r="G353" t="s">
        <v>74</v>
      </c>
      <c r="H353" t="s">
        <v>74</v>
      </c>
      <c r="I353" t="s">
        <v>7257</v>
      </c>
      <c r="J353" t="s">
        <v>7258</v>
      </c>
      <c r="K353" t="s">
        <v>74</v>
      </c>
      <c r="L353" t="s">
        <v>74</v>
      </c>
      <c r="M353" t="s">
        <v>78</v>
      </c>
      <c r="N353" t="s">
        <v>79</v>
      </c>
      <c r="O353" t="s">
        <v>74</v>
      </c>
      <c r="P353" t="s">
        <v>74</v>
      </c>
      <c r="Q353" t="s">
        <v>74</v>
      </c>
      <c r="R353" t="s">
        <v>74</v>
      </c>
      <c r="S353" t="s">
        <v>74</v>
      </c>
      <c r="T353" t="s">
        <v>7259</v>
      </c>
      <c r="U353" t="s">
        <v>7260</v>
      </c>
      <c r="V353" t="s">
        <v>7261</v>
      </c>
      <c r="W353" t="s">
        <v>7262</v>
      </c>
      <c r="X353" t="s">
        <v>7263</v>
      </c>
      <c r="Y353" t="s">
        <v>7264</v>
      </c>
      <c r="Z353" t="s">
        <v>7063</v>
      </c>
      <c r="AA353" t="s">
        <v>74</v>
      </c>
      <c r="AB353" t="s">
        <v>74</v>
      </c>
      <c r="AC353" t="s">
        <v>7265</v>
      </c>
      <c r="AD353" t="s">
        <v>7266</v>
      </c>
      <c r="AE353" t="s">
        <v>7267</v>
      </c>
      <c r="AF353" t="s">
        <v>74</v>
      </c>
      <c r="AG353">
        <v>70</v>
      </c>
      <c r="AH353">
        <v>3</v>
      </c>
      <c r="AI353">
        <v>3</v>
      </c>
      <c r="AJ353">
        <v>0</v>
      </c>
      <c r="AK353">
        <v>8</v>
      </c>
      <c r="AL353" t="s">
        <v>5918</v>
      </c>
      <c r="AM353" t="s">
        <v>729</v>
      </c>
      <c r="AN353" t="s">
        <v>5919</v>
      </c>
      <c r="AO353" t="s">
        <v>7268</v>
      </c>
      <c r="AP353" t="s">
        <v>7269</v>
      </c>
      <c r="AQ353" t="s">
        <v>74</v>
      </c>
      <c r="AR353" t="s">
        <v>7270</v>
      </c>
      <c r="AS353" t="s">
        <v>7271</v>
      </c>
      <c r="AT353" t="s">
        <v>5544</v>
      </c>
      <c r="AU353">
        <v>2017</v>
      </c>
      <c r="AV353">
        <v>181</v>
      </c>
      <c r="AW353">
        <v>1</v>
      </c>
      <c r="AX353" t="s">
        <v>74</v>
      </c>
      <c r="AY353" t="s">
        <v>74</v>
      </c>
      <c r="AZ353" t="s">
        <v>74</v>
      </c>
      <c r="BA353" t="s">
        <v>74</v>
      </c>
      <c r="BB353">
        <v>98</v>
      </c>
      <c r="BC353">
        <v>117</v>
      </c>
      <c r="BD353" t="s">
        <v>74</v>
      </c>
      <c r="BE353" t="s">
        <v>7272</v>
      </c>
      <c r="BF353" t="str">
        <f>HYPERLINK("http://dx.doi.org/10.1093/zoolinnean/zlw020","http://dx.doi.org/10.1093/zoolinnean/zlw020")</f>
        <v>http://dx.doi.org/10.1093/zoolinnean/zlw020</v>
      </c>
      <c r="BG353" t="s">
        <v>74</v>
      </c>
      <c r="BH353" t="s">
        <v>74</v>
      </c>
      <c r="BI353">
        <v>20</v>
      </c>
      <c r="BJ353" t="s">
        <v>2802</v>
      </c>
      <c r="BK353" t="s">
        <v>101</v>
      </c>
      <c r="BL353" t="s">
        <v>2802</v>
      </c>
      <c r="BM353" t="s">
        <v>7273</v>
      </c>
      <c r="BN353" t="s">
        <v>74</v>
      </c>
      <c r="BO353" t="s">
        <v>74</v>
      </c>
      <c r="BP353" t="s">
        <v>74</v>
      </c>
      <c r="BQ353" t="s">
        <v>74</v>
      </c>
      <c r="BR353" t="s">
        <v>105</v>
      </c>
      <c r="BS353" t="s">
        <v>7274</v>
      </c>
      <c r="BT353" t="str">
        <f>HYPERLINK("https%3A%2F%2Fwww.webofscience.com%2Fwos%2Fwoscc%2Ffull-record%2FWOS:000409237300003","View Full Record in Web of Science")</f>
        <v>View Full Record in Web of Science</v>
      </c>
    </row>
    <row r="354" spans="1:72" x14ac:dyDescent="0.15">
      <c r="A354" t="s">
        <v>72</v>
      </c>
      <c r="B354" t="s">
        <v>7275</v>
      </c>
      <c r="C354" t="s">
        <v>74</v>
      </c>
      <c r="D354" t="s">
        <v>74</v>
      </c>
      <c r="E354" t="s">
        <v>74</v>
      </c>
      <c r="F354" t="s">
        <v>7276</v>
      </c>
      <c r="G354" t="s">
        <v>74</v>
      </c>
      <c r="H354" t="s">
        <v>74</v>
      </c>
      <c r="I354" t="s">
        <v>7277</v>
      </c>
      <c r="J354" t="s">
        <v>7278</v>
      </c>
      <c r="K354" t="s">
        <v>74</v>
      </c>
      <c r="L354" t="s">
        <v>74</v>
      </c>
      <c r="M354" t="s">
        <v>78</v>
      </c>
      <c r="N354" t="s">
        <v>79</v>
      </c>
      <c r="O354" t="s">
        <v>74</v>
      </c>
      <c r="P354" t="s">
        <v>74</v>
      </c>
      <c r="Q354" t="s">
        <v>74</v>
      </c>
      <c r="R354" t="s">
        <v>74</v>
      </c>
      <c r="S354" t="s">
        <v>74</v>
      </c>
      <c r="T354" t="s">
        <v>7279</v>
      </c>
      <c r="U354" t="s">
        <v>7280</v>
      </c>
      <c r="V354" t="s">
        <v>7281</v>
      </c>
      <c r="W354" t="s">
        <v>7282</v>
      </c>
      <c r="X354" t="s">
        <v>7283</v>
      </c>
      <c r="Y354" t="s">
        <v>7284</v>
      </c>
      <c r="Z354" t="s">
        <v>7285</v>
      </c>
      <c r="AA354" t="s">
        <v>7286</v>
      </c>
      <c r="AB354" t="s">
        <v>7287</v>
      </c>
      <c r="AC354" t="s">
        <v>7288</v>
      </c>
      <c r="AD354" t="s">
        <v>7289</v>
      </c>
      <c r="AE354" t="s">
        <v>7290</v>
      </c>
      <c r="AF354" t="s">
        <v>74</v>
      </c>
      <c r="AG354">
        <v>47</v>
      </c>
      <c r="AH354">
        <v>14</v>
      </c>
      <c r="AI354">
        <v>15</v>
      </c>
      <c r="AJ354">
        <v>3</v>
      </c>
      <c r="AK354">
        <v>26</v>
      </c>
      <c r="AL354" t="s">
        <v>1981</v>
      </c>
      <c r="AM354" t="s">
        <v>729</v>
      </c>
      <c r="AN354" t="s">
        <v>1982</v>
      </c>
      <c r="AO354" t="s">
        <v>7291</v>
      </c>
      <c r="AP354" t="s">
        <v>7292</v>
      </c>
      <c r="AQ354" t="s">
        <v>74</v>
      </c>
      <c r="AR354" t="s">
        <v>7293</v>
      </c>
      <c r="AS354" t="s">
        <v>7294</v>
      </c>
      <c r="AT354" t="s">
        <v>5838</v>
      </c>
      <c r="AU354">
        <v>2017</v>
      </c>
      <c r="AV354">
        <v>247</v>
      </c>
      <c r="AW354" t="s">
        <v>74</v>
      </c>
      <c r="AX354" t="s">
        <v>74</v>
      </c>
      <c r="AY354" t="s">
        <v>74</v>
      </c>
      <c r="AZ354" t="s">
        <v>74</v>
      </c>
      <c r="BA354" t="s">
        <v>74</v>
      </c>
      <c r="BB354">
        <v>71</v>
      </c>
      <c r="BC354">
        <v>79</v>
      </c>
      <c r="BD354" t="s">
        <v>74</v>
      </c>
      <c r="BE354" t="s">
        <v>7295</v>
      </c>
      <c r="BF354" t="str">
        <f>HYPERLINK("http://dx.doi.org/10.1016/j.electacta.2017.06.127","http://dx.doi.org/10.1016/j.electacta.2017.06.127")</f>
        <v>http://dx.doi.org/10.1016/j.electacta.2017.06.127</v>
      </c>
      <c r="BG354" t="s">
        <v>74</v>
      </c>
      <c r="BH354" t="s">
        <v>74</v>
      </c>
      <c r="BI354">
        <v>9</v>
      </c>
      <c r="BJ354" t="s">
        <v>7296</v>
      </c>
      <c r="BK354" t="s">
        <v>101</v>
      </c>
      <c r="BL354" t="s">
        <v>7296</v>
      </c>
      <c r="BM354" t="s">
        <v>7297</v>
      </c>
      <c r="BN354" t="s">
        <v>74</v>
      </c>
      <c r="BO354" t="s">
        <v>74</v>
      </c>
      <c r="BP354" t="s">
        <v>74</v>
      </c>
      <c r="BQ354" t="s">
        <v>74</v>
      </c>
      <c r="BR354" t="s">
        <v>105</v>
      </c>
      <c r="BS354" t="s">
        <v>7298</v>
      </c>
      <c r="BT354" t="str">
        <f>HYPERLINK("https%3A%2F%2Fwww.webofscience.com%2Fwos%2Fwoscc%2Ffull-record%2FWOS:000408582300008","View Full Record in Web of Science")</f>
        <v>View Full Record in Web of Science</v>
      </c>
    </row>
    <row r="355" spans="1:72" x14ac:dyDescent="0.15">
      <c r="A355" t="s">
        <v>72</v>
      </c>
      <c r="B355" t="s">
        <v>7299</v>
      </c>
      <c r="C355" t="s">
        <v>74</v>
      </c>
      <c r="D355" t="s">
        <v>74</v>
      </c>
      <c r="E355" t="s">
        <v>74</v>
      </c>
      <c r="F355" t="s">
        <v>7300</v>
      </c>
      <c r="G355" t="s">
        <v>74</v>
      </c>
      <c r="H355" t="s">
        <v>74</v>
      </c>
      <c r="I355" t="s">
        <v>7301</v>
      </c>
      <c r="J355" t="s">
        <v>2406</v>
      </c>
      <c r="K355" t="s">
        <v>74</v>
      </c>
      <c r="L355" t="s">
        <v>74</v>
      </c>
      <c r="M355" t="s">
        <v>78</v>
      </c>
      <c r="N355" t="s">
        <v>79</v>
      </c>
      <c r="O355" t="s">
        <v>74</v>
      </c>
      <c r="P355" t="s">
        <v>74</v>
      </c>
      <c r="Q355" t="s">
        <v>74</v>
      </c>
      <c r="R355" t="s">
        <v>74</v>
      </c>
      <c r="S355" t="s">
        <v>74</v>
      </c>
      <c r="T355" t="s">
        <v>74</v>
      </c>
      <c r="U355" t="s">
        <v>7302</v>
      </c>
      <c r="V355" t="s">
        <v>7303</v>
      </c>
      <c r="W355" t="s">
        <v>7304</v>
      </c>
      <c r="X355" t="s">
        <v>7305</v>
      </c>
      <c r="Y355" t="s">
        <v>7306</v>
      </c>
      <c r="Z355" t="s">
        <v>7307</v>
      </c>
      <c r="AA355" t="s">
        <v>74</v>
      </c>
      <c r="AB355" t="s">
        <v>7308</v>
      </c>
      <c r="AC355" t="s">
        <v>7309</v>
      </c>
      <c r="AD355" t="s">
        <v>7310</v>
      </c>
      <c r="AE355" t="s">
        <v>7311</v>
      </c>
      <c r="AF355" t="s">
        <v>74</v>
      </c>
      <c r="AG355">
        <v>36</v>
      </c>
      <c r="AH355">
        <v>24</v>
      </c>
      <c r="AI355">
        <v>25</v>
      </c>
      <c r="AJ355">
        <v>0</v>
      </c>
      <c r="AK355">
        <v>8</v>
      </c>
      <c r="AL355" t="s">
        <v>1366</v>
      </c>
      <c r="AM355" t="s">
        <v>1367</v>
      </c>
      <c r="AN355" t="s">
        <v>1368</v>
      </c>
      <c r="AO355" t="s">
        <v>2418</v>
      </c>
      <c r="AP355" t="s">
        <v>2419</v>
      </c>
      <c r="AQ355" t="s">
        <v>74</v>
      </c>
      <c r="AR355" t="s">
        <v>2420</v>
      </c>
      <c r="AS355" t="s">
        <v>2421</v>
      </c>
      <c r="AT355" t="s">
        <v>5544</v>
      </c>
      <c r="AU355">
        <v>2017</v>
      </c>
      <c r="AV355">
        <v>30</v>
      </c>
      <c r="AW355">
        <v>18</v>
      </c>
      <c r="AX355" t="s">
        <v>74</v>
      </c>
      <c r="AY355" t="s">
        <v>74</v>
      </c>
      <c r="AZ355" t="s">
        <v>74</v>
      </c>
      <c r="BA355" t="s">
        <v>74</v>
      </c>
      <c r="BB355">
        <v>7125</v>
      </c>
      <c r="BC355">
        <v>7139</v>
      </c>
      <c r="BD355" t="s">
        <v>74</v>
      </c>
      <c r="BE355" t="s">
        <v>7312</v>
      </c>
      <c r="BF355" t="str">
        <f>HYPERLINK("http://dx.doi.org/10.1175/JCLI-D-17-0097.1","http://dx.doi.org/10.1175/JCLI-D-17-0097.1")</f>
        <v>http://dx.doi.org/10.1175/JCLI-D-17-0097.1</v>
      </c>
      <c r="BG355" t="s">
        <v>74</v>
      </c>
      <c r="BH355" t="s">
        <v>74</v>
      </c>
      <c r="BI355">
        <v>15</v>
      </c>
      <c r="BJ355" t="s">
        <v>162</v>
      </c>
      <c r="BK355" t="s">
        <v>101</v>
      </c>
      <c r="BL355" t="s">
        <v>162</v>
      </c>
      <c r="BM355" t="s">
        <v>7313</v>
      </c>
      <c r="BN355" t="s">
        <v>74</v>
      </c>
      <c r="BO355" t="s">
        <v>7314</v>
      </c>
      <c r="BP355" t="s">
        <v>74</v>
      </c>
      <c r="BQ355" t="s">
        <v>74</v>
      </c>
      <c r="BR355" t="s">
        <v>105</v>
      </c>
      <c r="BS355" t="s">
        <v>7315</v>
      </c>
      <c r="BT355" t="str">
        <f>HYPERLINK("https%3A%2F%2Fwww.webofscience.com%2Fwos%2Fwoscc%2Ffull-record%2FWOS:000408613400002","View Full Record in Web of Science")</f>
        <v>View Full Record in Web of Science</v>
      </c>
    </row>
    <row r="356" spans="1:72" x14ac:dyDescent="0.15">
      <c r="A356" t="s">
        <v>72</v>
      </c>
      <c r="B356" t="s">
        <v>7316</v>
      </c>
      <c r="C356" t="s">
        <v>74</v>
      </c>
      <c r="D356" t="s">
        <v>74</v>
      </c>
      <c r="E356" t="s">
        <v>74</v>
      </c>
      <c r="F356" t="s">
        <v>7317</v>
      </c>
      <c r="G356" t="s">
        <v>74</v>
      </c>
      <c r="H356" t="s">
        <v>74</v>
      </c>
      <c r="I356" t="s">
        <v>7318</v>
      </c>
      <c r="J356" t="s">
        <v>2406</v>
      </c>
      <c r="K356" t="s">
        <v>74</v>
      </c>
      <c r="L356" t="s">
        <v>74</v>
      </c>
      <c r="M356" t="s">
        <v>78</v>
      </c>
      <c r="N356" t="s">
        <v>79</v>
      </c>
      <c r="O356" t="s">
        <v>74</v>
      </c>
      <c r="P356" t="s">
        <v>74</v>
      </c>
      <c r="Q356" t="s">
        <v>74</v>
      </c>
      <c r="R356" t="s">
        <v>74</v>
      </c>
      <c r="S356" t="s">
        <v>74</v>
      </c>
      <c r="T356" t="s">
        <v>74</v>
      </c>
      <c r="U356" t="s">
        <v>7319</v>
      </c>
      <c r="V356" t="s">
        <v>7320</v>
      </c>
      <c r="W356" t="s">
        <v>7321</v>
      </c>
      <c r="X356" t="s">
        <v>7322</v>
      </c>
      <c r="Y356" t="s">
        <v>7323</v>
      </c>
      <c r="Z356" t="s">
        <v>7324</v>
      </c>
      <c r="AA356" t="s">
        <v>7325</v>
      </c>
      <c r="AB356" t="s">
        <v>7326</v>
      </c>
      <c r="AC356" t="s">
        <v>7327</v>
      </c>
      <c r="AD356" t="s">
        <v>7328</v>
      </c>
      <c r="AE356" t="s">
        <v>7329</v>
      </c>
      <c r="AF356" t="s">
        <v>74</v>
      </c>
      <c r="AG356">
        <v>61</v>
      </c>
      <c r="AH356">
        <v>13</v>
      </c>
      <c r="AI356">
        <v>13</v>
      </c>
      <c r="AJ356">
        <v>0</v>
      </c>
      <c r="AK356">
        <v>18</v>
      </c>
      <c r="AL356" t="s">
        <v>1366</v>
      </c>
      <c r="AM356" t="s">
        <v>1367</v>
      </c>
      <c r="AN356" t="s">
        <v>1368</v>
      </c>
      <c r="AO356" t="s">
        <v>2418</v>
      </c>
      <c r="AP356" t="s">
        <v>2419</v>
      </c>
      <c r="AQ356" t="s">
        <v>74</v>
      </c>
      <c r="AR356" t="s">
        <v>2420</v>
      </c>
      <c r="AS356" t="s">
        <v>2421</v>
      </c>
      <c r="AT356" t="s">
        <v>5544</v>
      </c>
      <c r="AU356">
        <v>2017</v>
      </c>
      <c r="AV356">
        <v>30</v>
      </c>
      <c r="AW356">
        <v>18</v>
      </c>
      <c r="AX356" t="s">
        <v>74</v>
      </c>
      <c r="AY356" t="s">
        <v>74</v>
      </c>
      <c r="AZ356" t="s">
        <v>74</v>
      </c>
      <c r="BA356" t="s">
        <v>74</v>
      </c>
      <c r="BB356">
        <v>7169</v>
      </c>
      <c r="BC356">
        <v>7190</v>
      </c>
      <c r="BD356" t="s">
        <v>74</v>
      </c>
      <c r="BE356" t="s">
        <v>7330</v>
      </c>
      <c r="BF356" t="str">
        <f>HYPERLINK("http://dx.doi.org/10.1175/JCLI-D-17-0023.1","http://dx.doi.org/10.1175/JCLI-D-17-0023.1")</f>
        <v>http://dx.doi.org/10.1175/JCLI-D-17-0023.1</v>
      </c>
      <c r="BG356" t="s">
        <v>74</v>
      </c>
      <c r="BH356" t="s">
        <v>74</v>
      </c>
      <c r="BI356">
        <v>22</v>
      </c>
      <c r="BJ356" t="s">
        <v>162</v>
      </c>
      <c r="BK356" t="s">
        <v>101</v>
      </c>
      <c r="BL356" t="s">
        <v>162</v>
      </c>
      <c r="BM356" t="s">
        <v>7313</v>
      </c>
      <c r="BN356" t="s">
        <v>74</v>
      </c>
      <c r="BO356" t="s">
        <v>7331</v>
      </c>
      <c r="BP356" t="s">
        <v>74</v>
      </c>
      <c r="BQ356" t="s">
        <v>74</v>
      </c>
      <c r="BR356" t="s">
        <v>105</v>
      </c>
      <c r="BS356" t="s">
        <v>7332</v>
      </c>
      <c r="BT356" t="str">
        <f>HYPERLINK("https%3A%2F%2Fwww.webofscience.com%2Fwos%2Fwoscc%2Ffull-record%2FWOS:000408613400005","View Full Record in Web of Science")</f>
        <v>View Full Record in Web of Science</v>
      </c>
    </row>
    <row r="357" spans="1:72" x14ac:dyDescent="0.15">
      <c r="A357" t="s">
        <v>72</v>
      </c>
      <c r="B357" t="s">
        <v>7333</v>
      </c>
      <c r="C357" t="s">
        <v>74</v>
      </c>
      <c r="D357" t="s">
        <v>74</v>
      </c>
      <c r="E357" t="s">
        <v>74</v>
      </c>
      <c r="F357" t="s">
        <v>7334</v>
      </c>
      <c r="G357" t="s">
        <v>74</v>
      </c>
      <c r="H357" t="s">
        <v>74</v>
      </c>
      <c r="I357" t="s">
        <v>7335</v>
      </c>
      <c r="J357" t="s">
        <v>299</v>
      </c>
      <c r="K357" t="s">
        <v>74</v>
      </c>
      <c r="L357" t="s">
        <v>74</v>
      </c>
      <c r="M357" t="s">
        <v>78</v>
      </c>
      <c r="N357" t="s">
        <v>79</v>
      </c>
      <c r="O357" t="s">
        <v>74</v>
      </c>
      <c r="P357" t="s">
        <v>74</v>
      </c>
      <c r="Q357" t="s">
        <v>74</v>
      </c>
      <c r="R357" t="s">
        <v>74</v>
      </c>
      <c r="S357" t="s">
        <v>74</v>
      </c>
      <c r="T357" t="s">
        <v>74</v>
      </c>
      <c r="U357" t="s">
        <v>7336</v>
      </c>
      <c r="V357" t="s">
        <v>7337</v>
      </c>
      <c r="W357" t="s">
        <v>7338</v>
      </c>
      <c r="X357" t="s">
        <v>7339</v>
      </c>
      <c r="Y357" t="s">
        <v>7340</v>
      </c>
      <c r="Z357" t="s">
        <v>7341</v>
      </c>
      <c r="AA357" t="s">
        <v>7342</v>
      </c>
      <c r="AB357" t="s">
        <v>7343</v>
      </c>
      <c r="AC357" t="s">
        <v>7344</v>
      </c>
      <c r="AD357" t="s">
        <v>7345</v>
      </c>
      <c r="AE357" t="s">
        <v>7346</v>
      </c>
      <c r="AF357" t="s">
        <v>74</v>
      </c>
      <c r="AG357">
        <v>97</v>
      </c>
      <c r="AH357">
        <v>32</v>
      </c>
      <c r="AI357">
        <v>35</v>
      </c>
      <c r="AJ357">
        <v>2</v>
      </c>
      <c r="AK357">
        <v>23</v>
      </c>
      <c r="AL357" t="s">
        <v>311</v>
      </c>
      <c r="AM357" t="s">
        <v>312</v>
      </c>
      <c r="AN357" t="s">
        <v>313</v>
      </c>
      <c r="AO357" t="s">
        <v>314</v>
      </c>
      <c r="AP357" t="s">
        <v>315</v>
      </c>
      <c r="AQ357" t="s">
        <v>74</v>
      </c>
      <c r="AR357" t="s">
        <v>299</v>
      </c>
      <c r="AS357" t="s">
        <v>316</v>
      </c>
      <c r="AT357" t="s">
        <v>5838</v>
      </c>
      <c r="AU357">
        <v>2017</v>
      </c>
      <c r="AV357">
        <v>11</v>
      </c>
      <c r="AW357">
        <v>5</v>
      </c>
      <c r="AX357" t="s">
        <v>74</v>
      </c>
      <c r="AY357" t="s">
        <v>74</v>
      </c>
      <c r="AZ357" t="s">
        <v>74</v>
      </c>
      <c r="BA357" t="s">
        <v>74</v>
      </c>
      <c r="BB357">
        <v>2003</v>
      </c>
      <c r="BC357">
        <v>2032</v>
      </c>
      <c r="BD357" t="s">
        <v>74</v>
      </c>
      <c r="BE357" t="s">
        <v>7347</v>
      </c>
      <c r="BF357" t="str">
        <f>HYPERLINK("http://dx.doi.org/10.5194/tc-11-2003-2017","http://dx.doi.org/10.5194/tc-11-2003-2017")</f>
        <v>http://dx.doi.org/10.5194/tc-11-2003-2017</v>
      </c>
      <c r="BG357" t="s">
        <v>74</v>
      </c>
      <c r="BH357" t="s">
        <v>74</v>
      </c>
      <c r="BI357">
        <v>30</v>
      </c>
      <c r="BJ357" t="s">
        <v>319</v>
      </c>
      <c r="BK357" t="s">
        <v>101</v>
      </c>
      <c r="BL357" t="s">
        <v>320</v>
      </c>
      <c r="BM357" t="s">
        <v>7348</v>
      </c>
      <c r="BN357" t="s">
        <v>74</v>
      </c>
      <c r="BO357" t="s">
        <v>3495</v>
      </c>
      <c r="BP357" t="s">
        <v>74</v>
      </c>
      <c r="BQ357" t="s">
        <v>74</v>
      </c>
      <c r="BR357" t="s">
        <v>105</v>
      </c>
      <c r="BS357" t="s">
        <v>7349</v>
      </c>
      <c r="BT357" t="str">
        <f>HYPERLINK("https%3A%2F%2Fwww.webofscience.com%2Fwos%2Fwoscc%2Ffull-record%2FWOS:000409059700001","View Full Record in Web of Science")</f>
        <v>View Full Record in Web of Science</v>
      </c>
    </row>
    <row r="358" spans="1:72" x14ac:dyDescent="0.15">
      <c r="A358" t="s">
        <v>72</v>
      </c>
      <c r="B358" t="s">
        <v>7350</v>
      </c>
      <c r="C358" t="s">
        <v>74</v>
      </c>
      <c r="D358" t="s">
        <v>74</v>
      </c>
      <c r="E358" t="s">
        <v>74</v>
      </c>
      <c r="F358" t="s">
        <v>7351</v>
      </c>
      <c r="G358" t="s">
        <v>74</v>
      </c>
      <c r="H358" t="s">
        <v>74</v>
      </c>
      <c r="I358" t="s">
        <v>7352</v>
      </c>
      <c r="J358" t="s">
        <v>1993</v>
      </c>
      <c r="K358" t="s">
        <v>74</v>
      </c>
      <c r="L358" t="s">
        <v>74</v>
      </c>
      <c r="M358" t="s">
        <v>78</v>
      </c>
      <c r="N358" t="s">
        <v>79</v>
      </c>
      <c r="O358" t="s">
        <v>74</v>
      </c>
      <c r="P358" t="s">
        <v>74</v>
      </c>
      <c r="Q358" t="s">
        <v>74</v>
      </c>
      <c r="R358" t="s">
        <v>74</v>
      </c>
      <c r="S358" t="s">
        <v>74</v>
      </c>
      <c r="T358" t="s">
        <v>7353</v>
      </c>
      <c r="U358" t="s">
        <v>7354</v>
      </c>
      <c r="V358" t="s">
        <v>7355</v>
      </c>
      <c r="W358" t="s">
        <v>7356</v>
      </c>
      <c r="X358" t="s">
        <v>7357</v>
      </c>
      <c r="Y358" t="s">
        <v>7358</v>
      </c>
      <c r="Z358" t="s">
        <v>7359</v>
      </c>
      <c r="AA358" t="s">
        <v>1961</v>
      </c>
      <c r="AB358" t="s">
        <v>7360</v>
      </c>
      <c r="AC358" t="s">
        <v>7361</v>
      </c>
      <c r="AD358" t="s">
        <v>7361</v>
      </c>
      <c r="AE358" t="s">
        <v>7361</v>
      </c>
      <c r="AF358" t="s">
        <v>74</v>
      </c>
      <c r="AG358">
        <v>53</v>
      </c>
      <c r="AH358">
        <v>19</v>
      </c>
      <c r="AI358">
        <v>19</v>
      </c>
      <c r="AJ358">
        <v>1</v>
      </c>
      <c r="AK358">
        <v>22</v>
      </c>
      <c r="AL358" t="s">
        <v>1338</v>
      </c>
      <c r="AM358" t="s">
        <v>1339</v>
      </c>
      <c r="AN358" t="s">
        <v>1340</v>
      </c>
      <c r="AO358" t="s">
        <v>2002</v>
      </c>
      <c r="AP358" t="s">
        <v>2003</v>
      </c>
      <c r="AQ358" t="s">
        <v>74</v>
      </c>
      <c r="AR358" t="s">
        <v>2004</v>
      </c>
      <c r="AS358" t="s">
        <v>2005</v>
      </c>
      <c r="AT358" t="s">
        <v>5544</v>
      </c>
      <c r="AU358">
        <v>2017</v>
      </c>
      <c r="AV358">
        <v>57</v>
      </c>
      <c r="AW358">
        <v>9</v>
      </c>
      <c r="AX358" t="s">
        <v>74</v>
      </c>
      <c r="AY358" t="s">
        <v>74</v>
      </c>
      <c r="AZ358" t="s">
        <v>74</v>
      </c>
      <c r="BA358" t="s">
        <v>74</v>
      </c>
      <c r="BB358">
        <v>770</v>
      </c>
      <c r="BC358">
        <v>780</v>
      </c>
      <c r="BD358" t="s">
        <v>74</v>
      </c>
      <c r="BE358" t="s">
        <v>7362</v>
      </c>
      <c r="BF358" t="str">
        <f>HYPERLINK("http://dx.doi.org/10.1002/jobm.201700182","http://dx.doi.org/10.1002/jobm.201700182")</f>
        <v>http://dx.doi.org/10.1002/jobm.201700182</v>
      </c>
      <c r="BG358" t="s">
        <v>74</v>
      </c>
      <c r="BH358" t="s">
        <v>74</v>
      </c>
      <c r="BI358">
        <v>11</v>
      </c>
      <c r="BJ358" t="s">
        <v>457</v>
      </c>
      <c r="BK358" t="s">
        <v>101</v>
      </c>
      <c r="BL358" t="s">
        <v>457</v>
      </c>
      <c r="BM358" t="s">
        <v>7363</v>
      </c>
      <c r="BN358">
        <v>28670715</v>
      </c>
      <c r="BO358" t="s">
        <v>74</v>
      </c>
      <c r="BP358" t="s">
        <v>74</v>
      </c>
      <c r="BQ358" t="s">
        <v>74</v>
      </c>
      <c r="BR358" t="s">
        <v>105</v>
      </c>
      <c r="BS358" t="s">
        <v>7364</v>
      </c>
      <c r="BT358" t="str">
        <f>HYPERLINK("https%3A%2F%2Fwww.webofscience.com%2Fwos%2Fwoscc%2Ffull-record%2FWOS:000409034900006","View Full Record in Web of Science")</f>
        <v>View Full Record in Web of Science</v>
      </c>
    </row>
    <row r="359" spans="1:72" x14ac:dyDescent="0.15">
      <c r="A359" t="s">
        <v>72</v>
      </c>
      <c r="B359" t="s">
        <v>7365</v>
      </c>
      <c r="C359" t="s">
        <v>74</v>
      </c>
      <c r="D359" t="s">
        <v>74</v>
      </c>
      <c r="E359" t="s">
        <v>74</v>
      </c>
      <c r="F359" t="s">
        <v>7366</v>
      </c>
      <c r="G359" t="s">
        <v>74</v>
      </c>
      <c r="H359" t="s">
        <v>74</v>
      </c>
      <c r="I359" t="s">
        <v>7367</v>
      </c>
      <c r="J359" t="s">
        <v>7368</v>
      </c>
      <c r="K359" t="s">
        <v>74</v>
      </c>
      <c r="L359" t="s">
        <v>74</v>
      </c>
      <c r="M359" t="s">
        <v>78</v>
      </c>
      <c r="N359" t="s">
        <v>79</v>
      </c>
      <c r="O359" t="s">
        <v>74</v>
      </c>
      <c r="P359" t="s">
        <v>74</v>
      </c>
      <c r="Q359" t="s">
        <v>74</v>
      </c>
      <c r="R359" t="s">
        <v>74</v>
      </c>
      <c r="S359" t="s">
        <v>74</v>
      </c>
      <c r="T359" t="s">
        <v>7369</v>
      </c>
      <c r="U359" t="s">
        <v>7370</v>
      </c>
      <c r="V359" t="s">
        <v>7371</v>
      </c>
      <c r="W359" t="s">
        <v>7372</v>
      </c>
      <c r="X359" t="s">
        <v>7373</v>
      </c>
      <c r="Y359" t="s">
        <v>7374</v>
      </c>
      <c r="Z359" t="s">
        <v>7375</v>
      </c>
      <c r="AA359" t="s">
        <v>7376</v>
      </c>
      <c r="AB359" t="s">
        <v>7377</v>
      </c>
      <c r="AC359" t="s">
        <v>7378</v>
      </c>
      <c r="AD359" t="s">
        <v>7379</v>
      </c>
      <c r="AE359" t="s">
        <v>7380</v>
      </c>
      <c r="AF359" t="s">
        <v>74</v>
      </c>
      <c r="AG359">
        <v>98</v>
      </c>
      <c r="AH359">
        <v>40</v>
      </c>
      <c r="AI359">
        <v>46</v>
      </c>
      <c r="AJ359">
        <v>1</v>
      </c>
      <c r="AK359">
        <v>38</v>
      </c>
      <c r="AL359" t="s">
        <v>208</v>
      </c>
      <c r="AM359" t="s">
        <v>3872</v>
      </c>
      <c r="AN359" t="s">
        <v>3873</v>
      </c>
      <c r="AO359" t="s">
        <v>7381</v>
      </c>
      <c r="AP359" t="s">
        <v>7382</v>
      </c>
      <c r="AQ359" t="s">
        <v>74</v>
      </c>
      <c r="AR359" t="s">
        <v>7383</v>
      </c>
      <c r="AS359" t="s">
        <v>7384</v>
      </c>
      <c r="AT359" t="s">
        <v>5544</v>
      </c>
      <c r="AU359">
        <v>2017</v>
      </c>
      <c r="AV359">
        <v>38</v>
      </c>
      <c r="AW359">
        <v>3</v>
      </c>
      <c r="AX359" t="s">
        <v>74</v>
      </c>
      <c r="AY359" t="s">
        <v>74</v>
      </c>
      <c r="AZ359" t="s">
        <v>74</v>
      </c>
      <c r="BA359" t="s">
        <v>74</v>
      </c>
      <c r="BB359">
        <v>241</v>
      </c>
      <c r="BC359">
        <v>269</v>
      </c>
      <c r="BD359" t="s">
        <v>74</v>
      </c>
      <c r="BE359" t="s">
        <v>7385</v>
      </c>
      <c r="BF359" t="str">
        <f>HYPERLINK("http://dx.doi.org/10.1007/s11001-017-9322-7","http://dx.doi.org/10.1007/s11001-017-9322-7")</f>
        <v>http://dx.doi.org/10.1007/s11001-017-9322-7</v>
      </c>
      <c r="BG359" t="s">
        <v>74</v>
      </c>
      <c r="BH359" t="s">
        <v>74</v>
      </c>
      <c r="BI359">
        <v>29</v>
      </c>
      <c r="BJ359" t="s">
        <v>7386</v>
      </c>
      <c r="BK359" t="s">
        <v>101</v>
      </c>
      <c r="BL359" t="s">
        <v>7386</v>
      </c>
      <c r="BM359" t="s">
        <v>7387</v>
      </c>
      <c r="BN359" t="s">
        <v>74</v>
      </c>
      <c r="BO359" t="s">
        <v>74</v>
      </c>
      <c r="BP359" t="s">
        <v>74</v>
      </c>
      <c r="BQ359" t="s">
        <v>74</v>
      </c>
      <c r="BR359" t="s">
        <v>105</v>
      </c>
      <c r="BS359" t="s">
        <v>7388</v>
      </c>
      <c r="BT359" t="str">
        <f>HYPERLINK("https%3A%2F%2Fwww.webofscience.com%2Fwos%2Fwoscc%2Ffull-record%2FWOS:000409177700003","View Full Record in Web of Science")</f>
        <v>View Full Record in Web of Science</v>
      </c>
    </row>
    <row r="360" spans="1:72" x14ac:dyDescent="0.15">
      <c r="A360" t="s">
        <v>72</v>
      </c>
      <c r="B360" t="s">
        <v>7389</v>
      </c>
      <c r="C360" t="s">
        <v>74</v>
      </c>
      <c r="D360" t="s">
        <v>74</v>
      </c>
      <c r="E360" t="s">
        <v>74</v>
      </c>
      <c r="F360" t="s">
        <v>7390</v>
      </c>
      <c r="G360" t="s">
        <v>74</v>
      </c>
      <c r="H360" t="s">
        <v>74</v>
      </c>
      <c r="I360" t="s">
        <v>7391</v>
      </c>
      <c r="J360" t="s">
        <v>7392</v>
      </c>
      <c r="K360" t="s">
        <v>74</v>
      </c>
      <c r="L360" t="s">
        <v>74</v>
      </c>
      <c r="M360" t="s">
        <v>78</v>
      </c>
      <c r="N360" t="s">
        <v>79</v>
      </c>
      <c r="O360" t="s">
        <v>74</v>
      </c>
      <c r="P360" t="s">
        <v>74</v>
      </c>
      <c r="Q360" t="s">
        <v>74</v>
      </c>
      <c r="R360" t="s">
        <v>74</v>
      </c>
      <c r="S360" t="s">
        <v>74</v>
      </c>
      <c r="T360" t="s">
        <v>7393</v>
      </c>
      <c r="U360" t="s">
        <v>7394</v>
      </c>
      <c r="V360" t="s">
        <v>7395</v>
      </c>
      <c r="W360" t="s">
        <v>7396</v>
      </c>
      <c r="X360" t="s">
        <v>7397</v>
      </c>
      <c r="Y360" t="s">
        <v>7398</v>
      </c>
      <c r="Z360" t="s">
        <v>7399</v>
      </c>
      <c r="AA360" t="s">
        <v>74</v>
      </c>
      <c r="AB360" t="s">
        <v>7400</v>
      </c>
      <c r="AC360" t="s">
        <v>7401</v>
      </c>
      <c r="AD360" t="s">
        <v>7402</v>
      </c>
      <c r="AE360" t="s">
        <v>7403</v>
      </c>
      <c r="AF360" t="s">
        <v>74</v>
      </c>
      <c r="AG360">
        <v>76</v>
      </c>
      <c r="AH360">
        <v>10</v>
      </c>
      <c r="AI360">
        <v>10</v>
      </c>
      <c r="AJ360">
        <v>0</v>
      </c>
      <c r="AK360">
        <v>4</v>
      </c>
      <c r="AL360" t="s">
        <v>1270</v>
      </c>
      <c r="AM360" t="s">
        <v>209</v>
      </c>
      <c r="AN360" t="s">
        <v>1682</v>
      </c>
      <c r="AO360" t="s">
        <v>7404</v>
      </c>
      <c r="AP360" t="s">
        <v>7405</v>
      </c>
      <c r="AQ360" t="s">
        <v>74</v>
      </c>
      <c r="AR360" t="s">
        <v>7406</v>
      </c>
      <c r="AS360" t="s">
        <v>7407</v>
      </c>
      <c r="AT360" t="s">
        <v>5544</v>
      </c>
      <c r="AU360">
        <v>2017</v>
      </c>
      <c r="AV360">
        <v>154</v>
      </c>
      <c r="AW360">
        <v>5</v>
      </c>
      <c r="AX360" t="s">
        <v>74</v>
      </c>
      <c r="AY360" t="s">
        <v>74</v>
      </c>
      <c r="AZ360" t="s">
        <v>74</v>
      </c>
      <c r="BA360" t="s">
        <v>74</v>
      </c>
      <c r="BB360">
        <v>1022</v>
      </c>
      <c r="BC360">
        <v>1036</v>
      </c>
      <c r="BD360" t="s">
        <v>74</v>
      </c>
      <c r="BE360" t="s">
        <v>7408</v>
      </c>
      <c r="BF360" t="str">
        <f>HYPERLINK("http://dx.doi.org/10.1017/S0016756816000601","http://dx.doi.org/10.1017/S0016756816000601")</f>
        <v>http://dx.doi.org/10.1017/S0016756816000601</v>
      </c>
      <c r="BG360" t="s">
        <v>74</v>
      </c>
      <c r="BH360" t="s">
        <v>74</v>
      </c>
      <c r="BI360">
        <v>15</v>
      </c>
      <c r="BJ360" t="s">
        <v>100</v>
      </c>
      <c r="BK360" t="s">
        <v>101</v>
      </c>
      <c r="BL360" t="s">
        <v>102</v>
      </c>
      <c r="BM360" t="s">
        <v>7409</v>
      </c>
      <c r="BN360" t="s">
        <v>74</v>
      </c>
      <c r="BO360" t="s">
        <v>74</v>
      </c>
      <c r="BP360" t="s">
        <v>74</v>
      </c>
      <c r="BQ360" t="s">
        <v>74</v>
      </c>
      <c r="BR360" t="s">
        <v>105</v>
      </c>
      <c r="BS360" t="s">
        <v>7410</v>
      </c>
      <c r="BT360" t="str">
        <f>HYPERLINK("https%3A%2F%2Fwww.webofscience.com%2Fwos%2Fwoscc%2Ffull-record%2FWOS:000408442600006","View Full Record in Web of Science")</f>
        <v>View Full Record in Web of Science</v>
      </c>
    </row>
    <row r="361" spans="1:72" x14ac:dyDescent="0.15">
      <c r="A361" t="s">
        <v>72</v>
      </c>
      <c r="B361" t="s">
        <v>7411</v>
      </c>
      <c r="C361" t="s">
        <v>74</v>
      </c>
      <c r="D361" t="s">
        <v>74</v>
      </c>
      <c r="E361" t="s">
        <v>74</v>
      </c>
      <c r="F361" t="s">
        <v>7412</v>
      </c>
      <c r="G361" t="s">
        <v>74</v>
      </c>
      <c r="H361" t="s">
        <v>74</v>
      </c>
      <c r="I361" t="s">
        <v>7413</v>
      </c>
      <c r="J361" t="s">
        <v>1380</v>
      </c>
      <c r="K361" t="s">
        <v>74</v>
      </c>
      <c r="L361" t="s">
        <v>74</v>
      </c>
      <c r="M361" t="s">
        <v>78</v>
      </c>
      <c r="N361" t="s">
        <v>79</v>
      </c>
      <c r="O361" t="s">
        <v>74</v>
      </c>
      <c r="P361" t="s">
        <v>74</v>
      </c>
      <c r="Q361" t="s">
        <v>74</v>
      </c>
      <c r="R361" t="s">
        <v>74</v>
      </c>
      <c r="S361" t="s">
        <v>74</v>
      </c>
      <c r="T361" t="s">
        <v>7414</v>
      </c>
      <c r="U361" t="s">
        <v>7415</v>
      </c>
      <c r="V361" t="s">
        <v>7416</v>
      </c>
      <c r="W361" t="s">
        <v>7417</v>
      </c>
      <c r="X361" t="s">
        <v>7418</v>
      </c>
      <c r="Y361" t="s">
        <v>7419</v>
      </c>
      <c r="Z361" t="s">
        <v>7420</v>
      </c>
      <c r="AA361" t="s">
        <v>7421</v>
      </c>
      <c r="AB361" t="s">
        <v>7422</v>
      </c>
      <c r="AC361" t="s">
        <v>7423</v>
      </c>
      <c r="AD361" t="s">
        <v>7424</v>
      </c>
      <c r="AE361" t="s">
        <v>7425</v>
      </c>
      <c r="AF361" t="s">
        <v>74</v>
      </c>
      <c r="AG361">
        <v>49</v>
      </c>
      <c r="AH361">
        <v>124</v>
      </c>
      <c r="AI361">
        <v>136</v>
      </c>
      <c r="AJ361">
        <v>4</v>
      </c>
      <c r="AK361">
        <v>55</v>
      </c>
      <c r="AL361" t="s">
        <v>1392</v>
      </c>
      <c r="AM361" t="s">
        <v>1393</v>
      </c>
      <c r="AN361" t="s">
        <v>1394</v>
      </c>
      <c r="AO361" t="s">
        <v>1395</v>
      </c>
      <c r="AP361" t="s">
        <v>1396</v>
      </c>
      <c r="AQ361" t="s">
        <v>74</v>
      </c>
      <c r="AR361" t="s">
        <v>1397</v>
      </c>
      <c r="AS361" t="s">
        <v>1398</v>
      </c>
      <c r="AT361" t="s">
        <v>5544</v>
      </c>
      <c r="AU361">
        <v>2017</v>
      </c>
      <c r="AV361">
        <v>55</v>
      </c>
      <c r="AW361">
        <v>9</v>
      </c>
      <c r="AX361" t="s">
        <v>74</v>
      </c>
      <c r="AY361" t="s">
        <v>74</v>
      </c>
      <c r="AZ361" t="s">
        <v>74</v>
      </c>
      <c r="BA361" t="s">
        <v>74</v>
      </c>
      <c r="BB361">
        <v>4989</v>
      </c>
      <c r="BC361">
        <v>5001</v>
      </c>
      <c r="BD361" t="s">
        <v>74</v>
      </c>
      <c r="BE361" t="s">
        <v>7426</v>
      </c>
      <c r="BF361" t="str">
        <f>HYPERLINK("http://dx.doi.org/10.1109/TGRS.2017.2699122","http://dx.doi.org/10.1109/TGRS.2017.2699122")</f>
        <v>http://dx.doi.org/10.1109/TGRS.2017.2699122</v>
      </c>
      <c r="BG361" t="s">
        <v>74</v>
      </c>
      <c r="BH361" t="s">
        <v>74</v>
      </c>
      <c r="BI361">
        <v>13</v>
      </c>
      <c r="BJ361" t="s">
        <v>1400</v>
      </c>
      <c r="BK361" t="s">
        <v>101</v>
      </c>
      <c r="BL361" t="s">
        <v>1401</v>
      </c>
      <c r="BM361" t="s">
        <v>7427</v>
      </c>
      <c r="BN361" t="s">
        <v>74</v>
      </c>
      <c r="BO361" t="s">
        <v>2091</v>
      </c>
      <c r="BP361" t="s">
        <v>74</v>
      </c>
      <c r="BQ361" t="s">
        <v>74</v>
      </c>
      <c r="BR361" t="s">
        <v>105</v>
      </c>
      <c r="BS361" t="s">
        <v>7428</v>
      </c>
      <c r="BT361" t="str">
        <f>HYPERLINK("https%3A%2F%2Fwww.webofscience.com%2Fwos%2Fwoscc%2Ffull-record%2FWOS:000408346600013","View Full Record in Web of Science")</f>
        <v>View Full Record in Web of Science</v>
      </c>
    </row>
    <row r="362" spans="1:72" x14ac:dyDescent="0.15">
      <c r="A362" t="s">
        <v>72</v>
      </c>
      <c r="B362" t="s">
        <v>7429</v>
      </c>
      <c r="C362" t="s">
        <v>74</v>
      </c>
      <c r="D362" t="s">
        <v>74</v>
      </c>
      <c r="E362" t="s">
        <v>74</v>
      </c>
      <c r="F362" t="s">
        <v>7430</v>
      </c>
      <c r="G362" t="s">
        <v>74</v>
      </c>
      <c r="H362" t="s">
        <v>74</v>
      </c>
      <c r="I362" t="s">
        <v>7431</v>
      </c>
      <c r="J362" t="s">
        <v>1380</v>
      </c>
      <c r="K362" t="s">
        <v>74</v>
      </c>
      <c r="L362" t="s">
        <v>74</v>
      </c>
      <c r="M362" t="s">
        <v>78</v>
      </c>
      <c r="N362" t="s">
        <v>79</v>
      </c>
      <c r="O362" t="s">
        <v>74</v>
      </c>
      <c r="P362" t="s">
        <v>74</v>
      </c>
      <c r="Q362" t="s">
        <v>74</v>
      </c>
      <c r="R362" t="s">
        <v>74</v>
      </c>
      <c r="S362" t="s">
        <v>74</v>
      </c>
      <c r="T362" t="s">
        <v>7432</v>
      </c>
      <c r="U362" t="s">
        <v>7433</v>
      </c>
      <c r="V362" t="s">
        <v>7434</v>
      </c>
      <c r="W362" t="s">
        <v>7435</v>
      </c>
      <c r="X362" t="s">
        <v>7436</v>
      </c>
      <c r="Y362" t="s">
        <v>7437</v>
      </c>
      <c r="Z362" t="s">
        <v>7438</v>
      </c>
      <c r="AA362" t="s">
        <v>7439</v>
      </c>
      <c r="AB362" t="s">
        <v>7440</v>
      </c>
      <c r="AC362" t="s">
        <v>7441</v>
      </c>
      <c r="AD362" t="s">
        <v>7442</v>
      </c>
      <c r="AE362" t="s">
        <v>7443</v>
      </c>
      <c r="AF362" t="s">
        <v>74</v>
      </c>
      <c r="AG362">
        <v>58</v>
      </c>
      <c r="AH362">
        <v>34</v>
      </c>
      <c r="AI362">
        <v>38</v>
      </c>
      <c r="AJ362">
        <v>2</v>
      </c>
      <c r="AK362">
        <v>38</v>
      </c>
      <c r="AL362" t="s">
        <v>1392</v>
      </c>
      <c r="AM362" t="s">
        <v>1393</v>
      </c>
      <c r="AN362" t="s">
        <v>1394</v>
      </c>
      <c r="AO362" t="s">
        <v>1395</v>
      </c>
      <c r="AP362" t="s">
        <v>1396</v>
      </c>
      <c r="AQ362" t="s">
        <v>74</v>
      </c>
      <c r="AR362" t="s">
        <v>1397</v>
      </c>
      <c r="AS362" t="s">
        <v>1398</v>
      </c>
      <c r="AT362" t="s">
        <v>5544</v>
      </c>
      <c r="AU362">
        <v>2017</v>
      </c>
      <c r="AV362">
        <v>55</v>
      </c>
      <c r="AW362">
        <v>9</v>
      </c>
      <c r="AX362" t="s">
        <v>74</v>
      </c>
      <c r="AY362" t="s">
        <v>74</v>
      </c>
      <c r="AZ362" t="s">
        <v>74</v>
      </c>
      <c r="BA362" t="s">
        <v>74</v>
      </c>
      <c r="BB362">
        <v>5174</v>
      </c>
      <c r="BC362">
        <v>5184</v>
      </c>
      <c r="BD362" t="s">
        <v>74</v>
      </c>
      <c r="BE362" t="s">
        <v>7444</v>
      </c>
      <c r="BF362" t="str">
        <f>HYPERLINK("http://dx.doi.org/10.1109/TGRS.2017.2703084","http://dx.doi.org/10.1109/TGRS.2017.2703084")</f>
        <v>http://dx.doi.org/10.1109/TGRS.2017.2703084</v>
      </c>
      <c r="BG362" t="s">
        <v>74</v>
      </c>
      <c r="BH362" t="s">
        <v>74</v>
      </c>
      <c r="BI362">
        <v>11</v>
      </c>
      <c r="BJ362" t="s">
        <v>1400</v>
      </c>
      <c r="BK362" t="s">
        <v>101</v>
      </c>
      <c r="BL362" t="s">
        <v>1401</v>
      </c>
      <c r="BM362" t="s">
        <v>7427</v>
      </c>
      <c r="BN362" t="s">
        <v>74</v>
      </c>
      <c r="BO362" t="s">
        <v>74</v>
      </c>
      <c r="BP362" t="s">
        <v>74</v>
      </c>
      <c r="BQ362" t="s">
        <v>74</v>
      </c>
      <c r="BR362" t="s">
        <v>105</v>
      </c>
      <c r="BS362" t="s">
        <v>7445</v>
      </c>
      <c r="BT362" t="str">
        <f>HYPERLINK("https%3A%2F%2Fwww.webofscience.com%2Fwos%2Fwoscc%2Ffull-record%2FWOS:000408346600026","View Full Record in Web of Science")</f>
        <v>View Full Record in Web of Science</v>
      </c>
    </row>
    <row r="363" spans="1:72" x14ac:dyDescent="0.15">
      <c r="A363" t="s">
        <v>72</v>
      </c>
      <c r="B363" t="s">
        <v>7446</v>
      </c>
      <c r="C363" t="s">
        <v>74</v>
      </c>
      <c r="D363" t="s">
        <v>74</v>
      </c>
      <c r="E363" t="s">
        <v>74</v>
      </c>
      <c r="F363" t="s">
        <v>7447</v>
      </c>
      <c r="G363" t="s">
        <v>74</v>
      </c>
      <c r="H363" t="s">
        <v>74</v>
      </c>
      <c r="I363" t="s">
        <v>7448</v>
      </c>
      <c r="J363" t="s">
        <v>7449</v>
      </c>
      <c r="K363" t="s">
        <v>74</v>
      </c>
      <c r="L363" t="s">
        <v>74</v>
      </c>
      <c r="M363" t="s">
        <v>78</v>
      </c>
      <c r="N363" t="s">
        <v>79</v>
      </c>
      <c r="O363" t="s">
        <v>74</v>
      </c>
      <c r="P363" t="s">
        <v>74</v>
      </c>
      <c r="Q363" t="s">
        <v>74</v>
      </c>
      <c r="R363" t="s">
        <v>74</v>
      </c>
      <c r="S363" t="s">
        <v>74</v>
      </c>
      <c r="T363" t="s">
        <v>7450</v>
      </c>
      <c r="U363" t="s">
        <v>7451</v>
      </c>
      <c r="V363" t="s">
        <v>7452</v>
      </c>
      <c r="W363" t="s">
        <v>7453</v>
      </c>
      <c r="X363" t="s">
        <v>7454</v>
      </c>
      <c r="Y363" t="s">
        <v>7455</v>
      </c>
      <c r="Z363" t="s">
        <v>7456</v>
      </c>
      <c r="AA363" t="s">
        <v>74</v>
      </c>
      <c r="AB363" t="s">
        <v>7457</v>
      </c>
      <c r="AC363" t="s">
        <v>7458</v>
      </c>
      <c r="AD363" t="s">
        <v>7459</v>
      </c>
      <c r="AE363" t="s">
        <v>7460</v>
      </c>
      <c r="AF363" t="s">
        <v>74</v>
      </c>
      <c r="AG363">
        <v>30</v>
      </c>
      <c r="AH363">
        <v>11</v>
      </c>
      <c r="AI363">
        <v>14</v>
      </c>
      <c r="AJ363">
        <v>0</v>
      </c>
      <c r="AK363">
        <v>26</v>
      </c>
      <c r="AL363" t="s">
        <v>502</v>
      </c>
      <c r="AM363" t="s">
        <v>372</v>
      </c>
      <c r="AN363" t="s">
        <v>503</v>
      </c>
      <c r="AO363" t="s">
        <v>7461</v>
      </c>
      <c r="AP363" t="s">
        <v>7462</v>
      </c>
      <c r="AQ363" t="s">
        <v>74</v>
      </c>
      <c r="AR363" t="s">
        <v>7463</v>
      </c>
      <c r="AS363" t="s">
        <v>7464</v>
      </c>
      <c r="AT363" t="s">
        <v>5544</v>
      </c>
      <c r="AU363">
        <v>2017</v>
      </c>
      <c r="AV363">
        <v>13</v>
      </c>
      <c r="AW363" t="s">
        <v>74</v>
      </c>
      <c r="AX363" t="s">
        <v>74</v>
      </c>
      <c r="AY363" t="s">
        <v>74</v>
      </c>
      <c r="AZ363" t="s">
        <v>74</v>
      </c>
      <c r="BA363" t="s">
        <v>74</v>
      </c>
      <c r="BB363">
        <v>82</v>
      </c>
      <c r="BC363">
        <v>90</v>
      </c>
      <c r="BD363" t="s">
        <v>74</v>
      </c>
      <c r="BE363" t="s">
        <v>7465</v>
      </c>
      <c r="BF363" t="str">
        <f>HYPERLINK("http://dx.doi.org/10.1016/j.polar.2017.02.002","http://dx.doi.org/10.1016/j.polar.2017.02.002")</f>
        <v>http://dx.doi.org/10.1016/j.polar.2017.02.002</v>
      </c>
      <c r="BG363" t="s">
        <v>74</v>
      </c>
      <c r="BH363" t="s">
        <v>74</v>
      </c>
      <c r="BI363">
        <v>9</v>
      </c>
      <c r="BJ363" t="s">
        <v>5317</v>
      </c>
      <c r="BK363" t="s">
        <v>101</v>
      </c>
      <c r="BL363" t="s">
        <v>5318</v>
      </c>
      <c r="BM363" t="s">
        <v>7466</v>
      </c>
      <c r="BN363" t="s">
        <v>74</v>
      </c>
      <c r="BO363" t="s">
        <v>74</v>
      </c>
      <c r="BP363" t="s">
        <v>74</v>
      </c>
      <c r="BQ363" t="s">
        <v>74</v>
      </c>
      <c r="BR363" t="s">
        <v>105</v>
      </c>
      <c r="BS363" t="s">
        <v>7467</v>
      </c>
      <c r="BT363" t="str">
        <f>HYPERLINK("https%3A%2F%2Fwww.webofscience.com%2Fwos%2Fwoscc%2Ffull-record%2FWOS:000408673200008","View Full Record in Web of Science")</f>
        <v>View Full Record in Web of Science</v>
      </c>
    </row>
    <row r="364" spans="1:72" x14ac:dyDescent="0.15">
      <c r="A364" t="s">
        <v>72</v>
      </c>
      <c r="B364" t="s">
        <v>7468</v>
      </c>
      <c r="C364" t="s">
        <v>74</v>
      </c>
      <c r="D364" t="s">
        <v>74</v>
      </c>
      <c r="E364" t="s">
        <v>74</v>
      </c>
      <c r="F364" t="s">
        <v>7469</v>
      </c>
      <c r="G364" t="s">
        <v>74</v>
      </c>
      <c r="H364" t="s">
        <v>74</v>
      </c>
      <c r="I364" t="s">
        <v>7470</v>
      </c>
      <c r="J364" t="s">
        <v>7471</v>
      </c>
      <c r="K364" t="s">
        <v>74</v>
      </c>
      <c r="L364" t="s">
        <v>74</v>
      </c>
      <c r="M364" t="s">
        <v>78</v>
      </c>
      <c r="N364" t="s">
        <v>79</v>
      </c>
      <c r="O364" t="s">
        <v>74</v>
      </c>
      <c r="P364" t="s">
        <v>74</v>
      </c>
      <c r="Q364" t="s">
        <v>74</v>
      </c>
      <c r="R364" t="s">
        <v>74</v>
      </c>
      <c r="S364" t="s">
        <v>74</v>
      </c>
      <c r="T364" t="s">
        <v>7472</v>
      </c>
      <c r="U364" t="s">
        <v>7473</v>
      </c>
      <c r="V364" t="s">
        <v>7474</v>
      </c>
      <c r="W364" t="s">
        <v>7475</v>
      </c>
      <c r="X364" t="s">
        <v>7476</v>
      </c>
      <c r="Y364" t="s">
        <v>7477</v>
      </c>
      <c r="Z364" t="s">
        <v>7478</v>
      </c>
      <c r="AA364" t="s">
        <v>7479</v>
      </c>
      <c r="AB364" t="s">
        <v>7480</v>
      </c>
      <c r="AC364" t="s">
        <v>7481</v>
      </c>
      <c r="AD364" t="s">
        <v>7482</v>
      </c>
      <c r="AE364" t="s">
        <v>7483</v>
      </c>
      <c r="AF364" t="s">
        <v>74</v>
      </c>
      <c r="AG364">
        <v>76</v>
      </c>
      <c r="AH364">
        <v>11</v>
      </c>
      <c r="AI364">
        <v>11</v>
      </c>
      <c r="AJ364">
        <v>1</v>
      </c>
      <c r="AK364">
        <v>13</v>
      </c>
      <c r="AL364" t="s">
        <v>1338</v>
      </c>
      <c r="AM364" t="s">
        <v>1339</v>
      </c>
      <c r="AN364" t="s">
        <v>1340</v>
      </c>
      <c r="AO364" t="s">
        <v>7484</v>
      </c>
      <c r="AP364" t="s">
        <v>7485</v>
      </c>
      <c r="AQ364" t="s">
        <v>74</v>
      </c>
      <c r="AR364" t="s">
        <v>7486</v>
      </c>
      <c r="AS364" t="s">
        <v>7487</v>
      </c>
      <c r="AT364" t="s">
        <v>5544</v>
      </c>
      <c r="AU364">
        <v>2017</v>
      </c>
      <c r="AV364">
        <v>36</v>
      </c>
      <c r="AW364">
        <v>9</v>
      </c>
      <c r="AX364" t="s">
        <v>74</v>
      </c>
      <c r="AY364" t="s">
        <v>74</v>
      </c>
      <c r="AZ364" t="s">
        <v>74</v>
      </c>
      <c r="BA364" t="s">
        <v>74</v>
      </c>
      <c r="BB364">
        <v>2444</v>
      </c>
      <c r="BC364">
        <v>2455</v>
      </c>
      <c r="BD364" t="s">
        <v>74</v>
      </c>
      <c r="BE364" t="s">
        <v>7488</v>
      </c>
      <c r="BF364" t="str">
        <f>HYPERLINK("http://dx.doi.org/10.1002/etc.3778","http://dx.doi.org/10.1002/etc.3778")</f>
        <v>http://dx.doi.org/10.1002/etc.3778</v>
      </c>
      <c r="BG364" t="s">
        <v>74</v>
      </c>
      <c r="BH364" t="s">
        <v>74</v>
      </c>
      <c r="BI364">
        <v>12</v>
      </c>
      <c r="BJ364" t="s">
        <v>7489</v>
      </c>
      <c r="BK364" t="s">
        <v>101</v>
      </c>
      <c r="BL364" t="s">
        <v>7490</v>
      </c>
      <c r="BM364" t="s">
        <v>7491</v>
      </c>
      <c r="BN364">
        <v>28256740</v>
      </c>
      <c r="BO364" t="s">
        <v>74</v>
      </c>
      <c r="BP364" t="s">
        <v>74</v>
      </c>
      <c r="BQ364" t="s">
        <v>74</v>
      </c>
      <c r="BR364" t="s">
        <v>105</v>
      </c>
      <c r="BS364" t="s">
        <v>7492</v>
      </c>
      <c r="BT364" t="str">
        <f>HYPERLINK("https%3A%2F%2Fwww.webofscience.com%2Fwos%2Fwoscc%2Ffull-record%2FWOS:000408316900024","View Full Record in Web of Science")</f>
        <v>View Full Record in Web of Science</v>
      </c>
    </row>
    <row r="365" spans="1:72" x14ac:dyDescent="0.15">
      <c r="A365" t="s">
        <v>72</v>
      </c>
      <c r="B365" t="s">
        <v>7493</v>
      </c>
      <c r="C365" t="s">
        <v>74</v>
      </c>
      <c r="D365" t="s">
        <v>74</v>
      </c>
      <c r="E365" t="s">
        <v>74</v>
      </c>
      <c r="F365" t="s">
        <v>7494</v>
      </c>
      <c r="G365" t="s">
        <v>74</v>
      </c>
      <c r="H365" t="s">
        <v>74</v>
      </c>
      <c r="I365" t="s">
        <v>7495</v>
      </c>
      <c r="J365" t="s">
        <v>7496</v>
      </c>
      <c r="K365" t="s">
        <v>74</v>
      </c>
      <c r="L365" t="s">
        <v>74</v>
      </c>
      <c r="M365" t="s">
        <v>78</v>
      </c>
      <c r="N365" t="s">
        <v>79</v>
      </c>
      <c r="O365" t="s">
        <v>74</v>
      </c>
      <c r="P365" t="s">
        <v>74</v>
      </c>
      <c r="Q365" t="s">
        <v>74</v>
      </c>
      <c r="R365" t="s">
        <v>74</v>
      </c>
      <c r="S365" t="s">
        <v>74</v>
      </c>
      <c r="T365" t="s">
        <v>7497</v>
      </c>
      <c r="U365" t="s">
        <v>7498</v>
      </c>
      <c r="V365" t="s">
        <v>7499</v>
      </c>
      <c r="W365" t="s">
        <v>7500</v>
      </c>
      <c r="X365" t="s">
        <v>7501</v>
      </c>
      <c r="Y365" t="s">
        <v>7502</v>
      </c>
      <c r="Z365" t="s">
        <v>7503</v>
      </c>
      <c r="AA365" t="s">
        <v>7504</v>
      </c>
      <c r="AB365" t="s">
        <v>7505</v>
      </c>
      <c r="AC365" t="s">
        <v>7506</v>
      </c>
      <c r="AD365" t="s">
        <v>7506</v>
      </c>
      <c r="AE365" t="s">
        <v>7507</v>
      </c>
      <c r="AF365" t="s">
        <v>74</v>
      </c>
      <c r="AG365">
        <v>42</v>
      </c>
      <c r="AH365">
        <v>14</v>
      </c>
      <c r="AI365">
        <v>14</v>
      </c>
      <c r="AJ365">
        <v>8</v>
      </c>
      <c r="AK365">
        <v>48</v>
      </c>
      <c r="AL365" t="s">
        <v>7508</v>
      </c>
      <c r="AM365" t="s">
        <v>7509</v>
      </c>
      <c r="AN365" t="s">
        <v>7510</v>
      </c>
      <c r="AO365" t="s">
        <v>7511</v>
      </c>
      <c r="AP365" t="s">
        <v>7512</v>
      </c>
      <c r="AQ365" t="s">
        <v>74</v>
      </c>
      <c r="AR365" t="s">
        <v>7496</v>
      </c>
      <c r="AS365" t="s">
        <v>7513</v>
      </c>
      <c r="AT365" t="s">
        <v>5544</v>
      </c>
      <c r="AU365">
        <v>2017</v>
      </c>
      <c r="AV365">
        <v>21</v>
      </c>
      <c r="AW365">
        <v>5</v>
      </c>
      <c r="AX365" t="s">
        <v>74</v>
      </c>
      <c r="AY365" t="s">
        <v>74</v>
      </c>
      <c r="AZ365" t="s">
        <v>74</v>
      </c>
      <c r="BA365" t="s">
        <v>74</v>
      </c>
      <c r="BB365">
        <v>861</v>
      </c>
      <c r="BC365">
        <v>869</v>
      </c>
      <c r="BD365" t="s">
        <v>74</v>
      </c>
      <c r="BE365" t="s">
        <v>7514</v>
      </c>
      <c r="BF365" t="str">
        <f>HYPERLINK("http://dx.doi.org/10.1007/s00792-017-0948-9","http://dx.doi.org/10.1007/s00792-017-0948-9")</f>
        <v>http://dx.doi.org/10.1007/s00792-017-0948-9</v>
      </c>
      <c r="BG365" t="s">
        <v>74</v>
      </c>
      <c r="BH365" t="s">
        <v>74</v>
      </c>
      <c r="BI365">
        <v>9</v>
      </c>
      <c r="BJ365" t="s">
        <v>3584</v>
      </c>
      <c r="BK365" t="s">
        <v>101</v>
      </c>
      <c r="BL365" t="s">
        <v>3584</v>
      </c>
      <c r="BM365" t="s">
        <v>7515</v>
      </c>
      <c r="BN365">
        <v>28744780</v>
      </c>
      <c r="BO365" t="s">
        <v>74</v>
      </c>
      <c r="BP365" t="s">
        <v>74</v>
      </c>
      <c r="BQ365" t="s">
        <v>74</v>
      </c>
      <c r="BR365" t="s">
        <v>105</v>
      </c>
      <c r="BS365" t="s">
        <v>7516</v>
      </c>
      <c r="BT365" t="str">
        <f>HYPERLINK("https%3A%2F%2Fwww.webofscience.com%2Fwos%2Fwoscc%2Ffull-record%2FWOS:000408230000004","View Full Record in Web of Science")</f>
        <v>View Full Record in Web of Science</v>
      </c>
    </row>
    <row r="366" spans="1:72" x14ac:dyDescent="0.15">
      <c r="A366" t="s">
        <v>72</v>
      </c>
      <c r="B366" t="s">
        <v>7517</v>
      </c>
      <c r="C366" t="s">
        <v>74</v>
      </c>
      <c r="D366" t="s">
        <v>74</v>
      </c>
      <c r="E366" t="s">
        <v>74</v>
      </c>
      <c r="F366" t="s">
        <v>7518</v>
      </c>
      <c r="G366" t="s">
        <v>74</v>
      </c>
      <c r="H366" t="s">
        <v>74</v>
      </c>
      <c r="I366" t="s">
        <v>7519</v>
      </c>
      <c r="J366" t="s">
        <v>7496</v>
      </c>
      <c r="K366" t="s">
        <v>74</v>
      </c>
      <c r="L366" t="s">
        <v>74</v>
      </c>
      <c r="M366" t="s">
        <v>78</v>
      </c>
      <c r="N366" t="s">
        <v>79</v>
      </c>
      <c r="O366" t="s">
        <v>74</v>
      </c>
      <c r="P366" t="s">
        <v>74</v>
      </c>
      <c r="Q366" t="s">
        <v>74</v>
      </c>
      <c r="R366" t="s">
        <v>74</v>
      </c>
      <c r="S366" t="s">
        <v>74</v>
      </c>
      <c r="T366" t="s">
        <v>7520</v>
      </c>
      <c r="U366" t="s">
        <v>7521</v>
      </c>
      <c r="V366" t="s">
        <v>7522</v>
      </c>
      <c r="W366" t="s">
        <v>7523</v>
      </c>
      <c r="X366" t="s">
        <v>7524</v>
      </c>
      <c r="Y366" t="s">
        <v>7525</v>
      </c>
      <c r="Z366" t="s">
        <v>7526</v>
      </c>
      <c r="AA366" t="s">
        <v>74</v>
      </c>
      <c r="AB366" t="s">
        <v>7527</v>
      </c>
      <c r="AC366" t="s">
        <v>7528</v>
      </c>
      <c r="AD366" t="s">
        <v>7529</v>
      </c>
      <c r="AE366" t="s">
        <v>7530</v>
      </c>
      <c r="AF366" t="s">
        <v>74</v>
      </c>
      <c r="AG366">
        <v>94</v>
      </c>
      <c r="AH366">
        <v>6</v>
      </c>
      <c r="AI366">
        <v>6</v>
      </c>
      <c r="AJ366">
        <v>2</v>
      </c>
      <c r="AK366">
        <v>46</v>
      </c>
      <c r="AL366" t="s">
        <v>7508</v>
      </c>
      <c r="AM366" t="s">
        <v>7509</v>
      </c>
      <c r="AN366" t="s">
        <v>7510</v>
      </c>
      <c r="AO366" t="s">
        <v>7511</v>
      </c>
      <c r="AP366" t="s">
        <v>7512</v>
      </c>
      <c r="AQ366" t="s">
        <v>74</v>
      </c>
      <c r="AR366" t="s">
        <v>7496</v>
      </c>
      <c r="AS366" t="s">
        <v>7513</v>
      </c>
      <c r="AT366" t="s">
        <v>5544</v>
      </c>
      <c r="AU366">
        <v>2017</v>
      </c>
      <c r="AV366">
        <v>21</v>
      </c>
      <c r="AW366">
        <v>5</v>
      </c>
      <c r="AX366" t="s">
        <v>74</v>
      </c>
      <c r="AY366" t="s">
        <v>74</v>
      </c>
      <c r="AZ366" t="s">
        <v>74</v>
      </c>
      <c r="BA366" t="s">
        <v>74</v>
      </c>
      <c r="BB366">
        <v>891</v>
      </c>
      <c r="BC366">
        <v>901</v>
      </c>
      <c r="BD366" t="s">
        <v>74</v>
      </c>
      <c r="BE366" t="s">
        <v>7531</v>
      </c>
      <c r="BF366" t="str">
        <f>HYPERLINK("http://dx.doi.org/10.1007/s00792-017-0950-2","http://dx.doi.org/10.1007/s00792-017-0950-2")</f>
        <v>http://dx.doi.org/10.1007/s00792-017-0950-2</v>
      </c>
      <c r="BG366" t="s">
        <v>74</v>
      </c>
      <c r="BH366" t="s">
        <v>74</v>
      </c>
      <c r="BI366">
        <v>11</v>
      </c>
      <c r="BJ366" t="s">
        <v>3584</v>
      </c>
      <c r="BK366" t="s">
        <v>101</v>
      </c>
      <c r="BL366" t="s">
        <v>3584</v>
      </c>
      <c r="BM366" t="s">
        <v>7515</v>
      </c>
      <c r="BN366">
        <v>28681112</v>
      </c>
      <c r="BO366" t="s">
        <v>74</v>
      </c>
      <c r="BP366" t="s">
        <v>74</v>
      </c>
      <c r="BQ366" t="s">
        <v>74</v>
      </c>
      <c r="BR366" t="s">
        <v>105</v>
      </c>
      <c r="BS366" t="s">
        <v>7532</v>
      </c>
      <c r="BT366" t="str">
        <f>HYPERLINK("https%3A%2F%2Fwww.webofscience.com%2Fwos%2Fwoscc%2Ffull-record%2FWOS:000408230000006","View Full Record in Web of Science")</f>
        <v>View Full Record in Web of Science</v>
      </c>
    </row>
    <row r="367" spans="1:72" x14ac:dyDescent="0.15">
      <c r="A367" t="s">
        <v>72</v>
      </c>
      <c r="B367" t="s">
        <v>7533</v>
      </c>
      <c r="C367" t="s">
        <v>74</v>
      </c>
      <c r="D367" t="s">
        <v>74</v>
      </c>
      <c r="E367" t="s">
        <v>74</v>
      </c>
      <c r="F367" t="s">
        <v>7534</v>
      </c>
      <c r="G367" t="s">
        <v>74</v>
      </c>
      <c r="H367" t="s">
        <v>74</v>
      </c>
      <c r="I367" t="s">
        <v>7535</v>
      </c>
      <c r="J367" t="s">
        <v>7536</v>
      </c>
      <c r="K367" t="s">
        <v>74</v>
      </c>
      <c r="L367" t="s">
        <v>74</v>
      </c>
      <c r="M367" t="s">
        <v>78</v>
      </c>
      <c r="N367" t="s">
        <v>79</v>
      </c>
      <c r="O367" t="s">
        <v>74</v>
      </c>
      <c r="P367" t="s">
        <v>74</v>
      </c>
      <c r="Q367" t="s">
        <v>74</v>
      </c>
      <c r="R367" t="s">
        <v>74</v>
      </c>
      <c r="S367" t="s">
        <v>74</v>
      </c>
      <c r="T367" t="s">
        <v>7537</v>
      </c>
      <c r="U367" t="s">
        <v>7538</v>
      </c>
      <c r="V367" t="s">
        <v>7539</v>
      </c>
      <c r="W367" t="s">
        <v>7540</v>
      </c>
      <c r="X367" t="s">
        <v>7541</v>
      </c>
      <c r="Y367" t="s">
        <v>7542</v>
      </c>
      <c r="Z367" t="s">
        <v>7543</v>
      </c>
      <c r="AA367" t="s">
        <v>74</v>
      </c>
      <c r="AB367" t="s">
        <v>74</v>
      </c>
      <c r="AC367" t="s">
        <v>7544</v>
      </c>
      <c r="AD367" t="s">
        <v>7545</v>
      </c>
      <c r="AE367" t="s">
        <v>7546</v>
      </c>
      <c r="AF367" t="s">
        <v>74</v>
      </c>
      <c r="AG367">
        <v>14</v>
      </c>
      <c r="AH367">
        <v>1</v>
      </c>
      <c r="AI367">
        <v>1</v>
      </c>
      <c r="AJ367">
        <v>0</v>
      </c>
      <c r="AK367">
        <v>3</v>
      </c>
      <c r="AL367" t="s">
        <v>1338</v>
      </c>
      <c r="AM367" t="s">
        <v>1339</v>
      </c>
      <c r="AN367" t="s">
        <v>1340</v>
      </c>
      <c r="AO367" t="s">
        <v>7547</v>
      </c>
      <c r="AP367" t="s">
        <v>7548</v>
      </c>
      <c r="AQ367" t="s">
        <v>74</v>
      </c>
      <c r="AR367" t="s">
        <v>7549</v>
      </c>
      <c r="AS367" t="s">
        <v>7550</v>
      </c>
      <c r="AT367" t="s">
        <v>5544</v>
      </c>
      <c r="AU367">
        <v>2017</v>
      </c>
      <c r="AV367">
        <v>65</v>
      </c>
      <c r="AW367">
        <v>5</v>
      </c>
      <c r="AX367" t="s">
        <v>74</v>
      </c>
      <c r="AY367" t="s">
        <v>74</v>
      </c>
      <c r="AZ367" t="s">
        <v>74</v>
      </c>
      <c r="BA367" t="s">
        <v>74</v>
      </c>
      <c r="BB367">
        <v>1155</v>
      </c>
      <c r="BC367">
        <v>1185</v>
      </c>
      <c r="BD367" t="s">
        <v>74</v>
      </c>
      <c r="BE367" t="s">
        <v>7551</v>
      </c>
      <c r="BF367" t="str">
        <f>HYPERLINK("http://dx.doi.org/10.1111/1365-2478.12479","http://dx.doi.org/10.1111/1365-2478.12479")</f>
        <v>http://dx.doi.org/10.1111/1365-2478.12479</v>
      </c>
      <c r="BG367" t="s">
        <v>74</v>
      </c>
      <c r="BH367" t="s">
        <v>74</v>
      </c>
      <c r="BI367">
        <v>31</v>
      </c>
      <c r="BJ367" t="s">
        <v>509</v>
      </c>
      <c r="BK367" t="s">
        <v>101</v>
      </c>
      <c r="BL367" t="s">
        <v>509</v>
      </c>
      <c r="BM367" t="s">
        <v>7552</v>
      </c>
      <c r="BN367" t="s">
        <v>74</v>
      </c>
      <c r="BO367" t="s">
        <v>1240</v>
      </c>
      <c r="BP367" t="s">
        <v>74</v>
      </c>
      <c r="BQ367" t="s">
        <v>74</v>
      </c>
      <c r="BR367" t="s">
        <v>105</v>
      </c>
      <c r="BS367" t="s">
        <v>7553</v>
      </c>
      <c r="BT367" t="str">
        <f>HYPERLINK("https%3A%2F%2Fwww.webofscience.com%2Fwos%2Fwoscc%2Ffull-record%2FWOS:000408151000003","View Full Record in Web of Science")</f>
        <v>View Full Record in Web of Science</v>
      </c>
    </row>
    <row r="368" spans="1:72" x14ac:dyDescent="0.15">
      <c r="A368" t="s">
        <v>72</v>
      </c>
      <c r="B368" t="s">
        <v>7554</v>
      </c>
      <c r="C368" t="s">
        <v>74</v>
      </c>
      <c r="D368" t="s">
        <v>74</v>
      </c>
      <c r="E368" t="s">
        <v>74</v>
      </c>
      <c r="F368" t="s">
        <v>7555</v>
      </c>
      <c r="G368" t="s">
        <v>74</v>
      </c>
      <c r="H368" t="s">
        <v>74</v>
      </c>
      <c r="I368" t="s">
        <v>7556</v>
      </c>
      <c r="J368" t="s">
        <v>7557</v>
      </c>
      <c r="K368" t="s">
        <v>74</v>
      </c>
      <c r="L368" t="s">
        <v>74</v>
      </c>
      <c r="M368" t="s">
        <v>78</v>
      </c>
      <c r="N368" t="s">
        <v>79</v>
      </c>
      <c r="O368" t="s">
        <v>74</v>
      </c>
      <c r="P368" t="s">
        <v>74</v>
      </c>
      <c r="Q368" t="s">
        <v>74</v>
      </c>
      <c r="R368" t="s">
        <v>74</v>
      </c>
      <c r="S368" t="s">
        <v>74</v>
      </c>
      <c r="T368" t="s">
        <v>7558</v>
      </c>
      <c r="U368" t="s">
        <v>7559</v>
      </c>
      <c r="V368" t="s">
        <v>7560</v>
      </c>
      <c r="W368" t="s">
        <v>7561</v>
      </c>
      <c r="X368" t="s">
        <v>7562</v>
      </c>
      <c r="Y368" t="s">
        <v>7563</v>
      </c>
      <c r="Z368" t="s">
        <v>7564</v>
      </c>
      <c r="AA368" t="s">
        <v>7565</v>
      </c>
      <c r="AB368" t="s">
        <v>74</v>
      </c>
      <c r="AC368" t="s">
        <v>7566</v>
      </c>
      <c r="AD368" t="s">
        <v>6435</v>
      </c>
      <c r="AE368" t="s">
        <v>7567</v>
      </c>
      <c r="AF368" t="s">
        <v>74</v>
      </c>
      <c r="AG368">
        <v>52</v>
      </c>
      <c r="AH368">
        <v>20</v>
      </c>
      <c r="AI368">
        <v>24</v>
      </c>
      <c r="AJ368">
        <v>3</v>
      </c>
      <c r="AK368">
        <v>57</v>
      </c>
      <c r="AL368" t="s">
        <v>208</v>
      </c>
      <c r="AM368" t="s">
        <v>209</v>
      </c>
      <c r="AN368" t="s">
        <v>210</v>
      </c>
      <c r="AO368" t="s">
        <v>7568</v>
      </c>
      <c r="AP368" t="s">
        <v>7569</v>
      </c>
      <c r="AQ368" t="s">
        <v>74</v>
      </c>
      <c r="AR368" t="s">
        <v>7570</v>
      </c>
      <c r="AS368" t="s">
        <v>7571</v>
      </c>
      <c r="AT368" t="s">
        <v>5544</v>
      </c>
      <c r="AU368">
        <v>2017</v>
      </c>
      <c r="AV368">
        <v>101</v>
      </c>
      <c r="AW368">
        <v>17</v>
      </c>
      <c r="AX368" t="s">
        <v>74</v>
      </c>
      <c r="AY368" t="s">
        <v>74</v>
      </c>
      <c r="AZ368" t="s">
        <v>74</v>
      </c>
      <c r="BA368" t="s">
        <v>74</v>
      </c>
      <c r="BB368">
        <v>6739</v>
      </c>
      <c r="BC368">
        <v>6753</v>
      </c>
      <c r="BD368" t="s">
        <v>74</v>
      </c>
      <c r="BE368" t="s">
        <v>7572</v>
      </c>
      <c r="BF368" t="str">
        <f>HYPERLINK("http://dx.doi.org/10.1007/s00253-017-8391-5","http://dx.doi.org/10.1007/s00253-017-8391-5")</f>
        <v>http://dx.doi.org/10.1007/s00253-017-8391-5</v>
      </c>
      <c r="BG368" t="s">
        <v>74</v>
      </c>
      <c r="BH368" t="s">
        <v>74</v>
      </c>
      <c r="BI368">
        <v>15</v>
      </c>
      <c r="BJ368" t="s">
        <v>947</v>
      </c>
      <c r="BK368" t="s">
        <v>101</v>
      </c>
      <c r="BL368" t="s">
        <v>947</v>
      </c>
      <c r="BM368" t="s">
        <v>7573</v>
      </c>
      <c r="BN368">
        <v>28664321</v>
      </c>
      <c r="BO368" t="s">
        <v>74</v>
      </c>
      <c r="BP368" t="s">
        <v>74</v>
      </c>
      <c r="BQ368" t="s">
        <v>74</v>
      </c>
      <c r="BR368" t="s">
        <v>105</v>
      </c>
      <c r="BS368" t="s">
        <v>7574</v>
      </c>
      <c r="BT368" t="str">
        <f>HYPERLINK("https%3A%2F%2Fwww.webofscience.com%2Fwos%2Fwoscc%2Ffull-record%2FWOS:000407563000016","View Full Record in Web of Science")</f>
        <v>View Full Record in Web of Science</v>
      </c>
    </row>
    <row r="369" spans="1:72" x14ac:dyDescent="0.15">
      <c r="A369" t="s">
        <v>72</v>
      </c>
      <c r="B369" t="s">
        <v>7575</v>
      </c>
      <c r="C369" t="s">
        <v>74</v>
      </c>
      <c r="D369" t="s">
        <v>74</v>
      </c>
      <c r="E369" t="s">
        <v>74</v>
      </c>
      <c r="F369" t="s">
        <v>7576</v>
      </c>
      <c r="G369" t="s">
        <v>74</v>
      </c>
      <c r="H369" t="s">
        <v>74</v>
      </c>
      <c r="I369" t="s">
        <v>7577</v>
      </c>
      <c r="J369" t="s">
        <v>7578</v>
      </c>
      <c r="K369" t="s">
        <v>74</v>
      </c>
      <c r="L369" t="s">
        <v>74</v>
      </c>
      <c r="M369" t="s">
        <v>78</v>
      </c>
      <c r="N369" t="s">
        <v>79</v>
      </c>
      <c r="O369" t="s">
        <v>74</v>
      </c>
      <c r="P369" t="s">
        <v>74</v>
      </c>
      <c r="Q369" t="s">
        <v>74</v>
      </c>
      <c r="R369" t="s">
        <v>74</v>
      </c>
      <c r="S369" t="s">
        <v>74</v>
      </c>
      <c r="T369" t="s">
        <v>74</v>
      </c>
      <c r="U369" t="s">
        <v>7579</v>
      </c>
      <c r="V369" t="s">
        <v>7580</v>
      </c>
      <c r="W369" t="s">
        <v>7581</v>
      </c>
      <c r="X369" t="s">
        <v>7582</v>
      </c>
      <c r="Y369" t="s">
        <v>7583</v>
      </c>
      <c r="Z369" t="s">
        <v>7584</v>
      </c>
      <c r="AA369" t="s">
        <v>7585</v>
      </c>
      <c r="AB369" t="s">
        <v>7586</v>
      </c>
      <c r="AC369" t="s">
        <v>7587</v>
      </c>
      <c r="AD369" t="s">
        <v>7588</v>
      </c>
      <c r="AE369" t="s">
        <v>7589</v>
      </c>
      <c r="AF369" t="s">
        <v>74</v>
      </c>
      <c r="AG369">
        <v>80</v>
      </c>
      <c r="AH369">
        <v>4</v>
      </c>
      <c r="AI369">
        <v>4</v>
      </c>
      <c r="AJ369">
        <v>1</v>
      </c>
      <c r="AK369">
        <v>25</v>
      </c>
      <c r="AL369" t="s">
        <v>5691</v>
      </c>
      <c r="AM369" t="s">
        <v>2844</v>
      </c>
      <c r="AN369" t="s">
        <v>2845</v>
      </c>
      <c r="AO369" t="s">
        <v>7590</v>
      </c>
      <c r="AP369" t="s">
        <v>7591</v>
      </c>
      <c r="AQ369" t="s">
        <v>74</v>
      </c>
      <c r="AR369" t="s">
        <v>7592</v>
      </c>
      <c r="AS369" t="s">
        <v>7593</v>
      </c>
      <c r="AT369" t="s">
        <v>5544</v>
      </c>
      <c r="AU369">
        <v>2017</v>
      </c>
      <c r="AV369">
        <v>74</v>
      </c>
      <c r="AW369">
        <v>9</v>
      </c>
      <c r="AX369" t="s">
        <v>74</v>
      </c>
      <c r="AY369" t="s">
        <v>74</v>
      </c>
      <c r="AZ369" t="s">
        <v>74</v>
      </c>
      <c r="BA369" t="s">
        <v>74</v>
      </c>
      <c r="BB369">
        <v>1411</v>
      </c>
      <c r="BC369">
        <v>1421</v>
      </c>
      <c r="BD369" t="s">
        <v>74</v>
      </c>
      <c r="BE369" t="s">
        <v>7594</v>
      </c>
      <c r="BF369" t="str">
        <f>HYPERLINK("http://dx.doi.org/10.1139/cjfas-2016-0372","http://dx.doi.org/10.1139/cjfas-2016-0372")</f>
        <v>http://dx.doi.org/10.1139/cjfas-2016-0372</v>
      </c>
      <c r="BG369" t="s">
        <v>74</v>
      </c>
      <c r="BH369" t="s">
        <v>74</v>
      </c>
      <c r="BI369">
        <v>11</v>
      </c>
      <c r="BJ369" t="s">
        <v>4008</v>
      </c>
      <c r="BK369" t="s">
        <v>101</v>
      </c>
      <c r="BL369" t="s">
        <v>4008</v>
      </c>
      <c r="BM369" t="s">
        <v>7595</v>
      </c>
      <c r="BN369" t="s">
        <v>74</v>
      </c>
      <c r="BO369" t="s">
        <v>1240</v>
      </c>
      <c r="BP369" t="s">
        <v>74</v>
      </c>
      <c r="BQ369" t="s">
        <v>74</v>
      </c>
      <c r="BR369" t="s">
        <v>105</v>
      </c>
      <c r="BS369" t="s">
        <v>7596</v>
      </c>
      <c r="BT369" t="str">
        <f>HYPERLINK("https%3A%2F%2Fwww.webofscience.com%2Fwos%2Fwoscc%2Ffull-record%2FWOS:000408319600007","View Full Record in Web of Science")</f>
        <v>View Full Record in Web of Science</v>
      </c>
    </row>
    <row r="370" spans="1:72" x14ac:dyDescent="0.15">
      <c r="A370" t="s">
        <v>72</v>
      </c>
      <c r="B370" t="s">
        <v>7597</v>
      </c>
      <c r="C370" t="s">
        <v>74</v>
      </c>
      <c r="D370" t="s">
        <v>74</v>
      </c>
      <c r="E370" t="s">
        <v>74</v>
      </c>
      <c r="F370" t="s">
        <v>7598</v>
      </c>
      <c r="G370" t="s">
        <v>74</v>
      </c>
      <c r="H370" t="s">
        <v>74</v>
      </c>
      <c r="I370" t="s">
        <v>7599</v>
      </c>
      <c r="J370" t="s">
        <v>2856</v>
      </c>
      <c r="K370" t="s">
        <v>74</v>
      </c>
      <c r="L370" t="s">
        <v>74</v>
      </c>
      <c r="M370" t="s">
        <v>78</v>
      </c>
      <c r="N370" t="s">
        <v>79</v>
      </c>
      <c r="O370" t="s">
        <v>74</v>
      </c>
      <c r="P370" t="s">
        <v>74</v>
      </c>
      <c r="Q370" t="s">
        <v>74</v>
      </c>
      <c r="R370" t="s">
        <v>74</v>
      </c>
      <c r="S370" t="s">
        <v>74</v>
      </c>
      <c r="T370" t="s">
        <v>7600</v>
      </c>
      <c r="U370" t="s">
        <v>7601</v>
      </c>
      <c r="V370" t="s">
        <v>7602</v>
      </c>
      <c r="W370" t="s">
        <v>7603</v>
      </c>
      <c r="X370" t="s">
        <v>7604</v>
      </c>
      <c r="Y370" t="s">
        <v>7605</v>
      </c>
      <c r="Z370" t="s">
        <v>7606</v>
      </c>
      <c r="AA370" t="s">
        <v>7607</v>
      </c>
      <c r="AB370" t="s">
        <v>7608</v>
      </c>
      <c r="AC370" t="s">
        <v>7609</v>
      </c>
      <c r="AD370" t="s">
        <v>7610</v>
      </c>
      <c r="AE370" t="s">
        <v>7611</v>
      </c>
      <c r="AF370" t="s">
        <v>74</v>
      </c>
      <c r="AG370">
        <v>46</v>
      </c>
      <c r="AH370">
        <v>16</v>
      </c>
      <c r="AI370">
        <v>17</v>
      </c>
      <c r="AJ370">
        <v>4</v>
      </c>
      <c r="AK370">
        <v>68</v>
      </c>
      <c r="AL370" t="s">
        <v>1981</v>
      </c>
      <c r="AM370" t="s">
        <v>729</v>
      </c>
      <c r="AN370" t="s">
        <v>1982</v>
      </c>
      <c r="AO370" t="s">
        <v>2863</v>
      </c>
      <c r="AP370" t="s">
        <v>2864</v>
      </c>
      <c r="AQ370" t="s">
        <v>74</v>
      </c>
      <c r="AR370" t="s">
        <v>2856</v>
      </c>
      <c r="AS370" t="s">
        <v>2865</v>
      </c>
      <c r="AT370" t="s">
        <v>5544</v>
      </c>
      <c r="AU370">
        <v>2017</v>
      </c>
      <c r="AV370">
        <v>183</v>
      </c>
      <c r="AW370" t="s">
        <v>74</v>
      </c>
      <c r="AX370" t="s">
        <v>74</v>
      </c>
      <c r="AY370" t="s">
        <v>74</v>
      </c>
      <c r="AZ370" t="s">
        <v>74</v>
      </c>
      <c r="BA370" t="s">
        <v>74</v>
      </c>
      <c r="BB370">
        <v>132</v>
      </c>
      <c r="BC370">
        <v>138</v>
      </c>
      <c r="BD370" t="s">
        <v>74</v>
      </c>
      <c r="BE370" t="s">
        <v>7612</v>
      </c>
      <c r="BF370" t="str">
        <f>HYPERLINK("http://dx.doi.org/10.1016/j.chemosphere.2017.05.098","http://dx.doi.org/10.1016/j.chemosphere.2017.05.098")</f>
        <v>http://dx.doi.org/10.1016/j.chemosphere.2017.05.098</v>
      </c>
      <c r="BG370" t="s">
        <v>74</v>
      </c>
      <c r="BH370" t="s">
        <v>74</v>
      </c>
      <c r="BI370">
        <v>7</v>
      </c>
      <c r="BJ370" t="s">
        <v>2867</v>
      </c>
      <c r="BK370" t="s">
        <v>101</v>
      </c>
      <c r="BL370" t="s">
        <v>1048</v>
      </c>
      <c r="BM370" t="s">
        <v>7613</v>
      </c>
      <c r="BN370">
        <v>28544898</v>
      </c>
      <c r="BO370" t="s">
        <v>2091</v>
      </c>
      <c r="BP370" t="s">
        <v>74</v>
      </c>
      <c r="BQ370" t="s">
        <v>74</v>
      </c>
      <c r="BR370" t="s">
        <v>105</v>
      </c>
      <c r="BS370" t="s">
        <v>7614</v>
      </c>
      <c r="BT370" t="str">
        <f>HYPERLINK("https%3A%2F%2Fwww.webofscience.com%2Fwos%2Fwoscc%2Ffull-record%2FWOS:000404196400015","View Full Record in Web of Science")</f>
        <v>View Full Record in Web of Science</v>
      </c>
    </row>
    <row r="371" spans="1:72" x14ac:dyDescent="0.15">
      <c r="A371" t="s">
        <v>72</v>
      </c>
      <c r="B371" t="s">
        <v>7615</v>
      </c>
      <c r="C371" t="s">
        <v>74</v>
      </c>
      <c r="D371" t="s">
        <v>74</v>
      </c>
      <c r="E371" t="s">
        <v>74</v>
      </c>
      <c r="F371" t="s">
        <v>7616</v>
      </c>
      <c r="G371" t="s">
        <v>74</v>
      </c>
      <c r="H371" t="s">
        <v>74</v>
      </c>
      <c r="I371" t="s">
        <v>7617</v>
      </c>
      <c r="J371" t="s">
        <v>2856</v>
      </c>
      <c r="K371" t="s">
        <v>74</v>
      </c>
      <c r="L371" t="s">
        <v>74</v>
      </c>
      <c r="M371" t="s">
        <v>78</v>
      </c>
      <c r="N371" t="s">
        <v>79</v>
      </c>
      <c r="O371" t="s">
        <v>74</v>
      </c>
      <c r="P371" t="s">
        <v>74</v>
      </c>
      <c r="Q371" t="s">
        <v>74</v>
      </c>
      <c r="R371" t="s">
        <v>74</v>
      </c>
      <c r="S371" t="s">
        <v>74</v>
      </c>
      <c r="T371" t="s">
        <v>7618</v>
      </c>
      <c r="U371" t="s">
        <v>7619</v>
      </c>
      <c r="V371" t="s">
        <v>7620</v>
      </c>
      <c r="W371" t="s">
        <v>7621</v>
      </c>
      <c r="X371" t="s">
        <v>7622</v>
      </c>
      <c r="Y371" t="s">
        <v>7623</v>
      </c>
      <c r="Z371" t="s">
        <v>7624</v>
      </c>
      <c r="AA371" t="s">
        <v>7625</v>
      </c>
      <c r="AB371" t="s">
        <v>7626</v>
      </c>
      <c r="AC371" t="s">
        <v>7627</v>
      </c>
      <c r="AD371" t="s">
        <v>7628</v>
      </c>
      <c r="AE371" t="s">
        <v>7629</v>
      </c>
      <c r="AF371" t="s">
        <v>74</v>
      </c>
      <c r="AG371">
        <v>51</v>
      </c>
      <c r="AH371">
        <v>5</v>
      </c>
      <c r="AI371">
        <v>6</v>
      </c>
      <c r="AJ371">
        <v>1</v>
      </c>
      <c r="AK371">
        <v>27</v>
      </c>
      <c r="AL371" t="s">
        <v>1981</v>
      </c>
      <c r="AM371" t="s">
        <v>729</v>
      </c>
      <c r="AN371" t="s">
        <v>1982</v>
      </c>
      <c r="AO371" t="s">
        <v>2863</v>
      </c>
      <c r="AP371" t="s">
        <v>2864</v>
      </c>
      <c r="AQ371" t="s">
        <v>74</v>
      </c>
      <c r="AR371" t="s">
        <v>2856</v>
      </c>
      <c r="AS371" t="s">
        <v>2865</v>
      </c>
      <c r="AT371" t="s">
        <v>5544</v>
      </c>
      <c r="AU371">
        <v>2017</v>
      </c>
      <c r="AV371">
        <v>183</v>
      </c>
      <c r="AW371" t="s">
        <v>74</v>
      </c>
      <c r="AX371" t="s">
        <v>74</v>
      </c>
      <c r="AY371" t="s">
        <v>74</v>
      </c>
      <c r="AZ371" t="s">
        <v>74</v>
      </c>
      <c r="BA371" t="s">
        <v>74</v>
      </c>
      <c r="BB371">
        <v>444</v>
      </c>
      <c r="BC371">
        <v>453</v>
      </c>
      <c r="BD371" t="s">
        <v>74</v>
      </c>
      <c r="BE371" t="s">
        <v>7630</v>
      </c>
      <c r="BF371" t="str">
        <f>HYPERLINK("http://dx.doi.org/10.1016/j.chemosphere.2017.05.142","http://dx.doi.org/10.1016/j.chemosphere.2017.05.142")</f>
        <v>http://dx.doi.org/10.1016/j.chemosphere.2017.05.142</v>
      </c>
      <c r="BG371" t="s">
        <v>74</v>
      </c>
      <c r="BH371" t="s">
        <v>74</v>
      </c>
      <c r="BI371">
        <v>10</v>
      </c>
      <c r="BJ371" t="s">
        <v>2867</v>
      </c>
      <c r="BK371" t="s">
        <v>101</v>
      </c>
      <c r="BL371" t="s">
        <v>1048</v>
      </c>
      <c r="BM371" t="s">
        <v>7613</v>
      </c>
      <c r="BN371">
        <v>28564624</v>
      </c>
      <c r="BO371" t="s">
        <v>699</v>
      </c>
      <c r="BP371" t="s">
        <v>74</v>
      </c>
      <c r="BQ371" t="s">
        <v>74</v>
      </c>
      <c r="BR371" t="s">
        <v>105</v>
      </c>
      <c r="BS371" t="s">
        <v>7631</v>
      </c>
      <c r="BT371" t="str">
        <f>HYPERLINK("https%3A%2F%2Fwww.webofscience.com%2Fwos%2Fwoscc%2Ffull-record%2FWOS:000404196400049","View Full Record in Web of Science")</f>
        <v>View Full Record in Web of Science</v>
      </c>
    </row>
    <row r="372" spans="1:72" x14ac:dyDescent="0.15">
      <c r="A372" t="s">
        <v>72</v>
      </c>
      <c r="B372" t="s">
        <v>7632</v>
      </c>
      <c r="C372" t="s">
        <v>74</v>
      </c>
      <c r="D372" t="s">
        <v>74</v>
      </c>
      <c r="E372" t="s">
        <v>74</v>
      </c>
      <c r="F372" t="s">
        <v>7633</v>
      </c>
      <c r="G372" t="s">
        <v>74</v>
      </c>
      <c r="H372" t="s">
        <v>74</v>
      </c>
      <c r="I372" t="s">
        <v>7634</v>
      </c>
      <c r="J372" t="s">
        <v>2927</v>
      </c>
      <c r="K372" t="s">
        <v>74</v>
      </c>
      <c r="L372" t="s">
        <v>74</v>
      </c>
      <c r="M372" t="s">
        <v>78</v>
      </c>
      <c r="N372" t="s">
        <v>79</v>
      </c>
      <c r="O372" t="s">
        <v>74</v>
      </c>
      <c r="P372" t="s">
        <v>74</v>
      </c>
      <c r="Q372" t="s">
        <v>74</v>
      </c>
      <c r="R372" t="s">
        <v>74</v>
      </c>
      <c r="S372" t="s">
        <v>74</v>
      </c>
      <c r="T372" t="s">
        <v>7635</v>
      </c>
      <c r="U372" t="s">
        <v>7636</v>
      </c>
      <c r="V372" t="s">
        <v>7637</v>
      </c>
      <c r="W372" t="s">
        <v>7638</v>
      </c>
      <c r="X372" t="s">
        <v>7639</v>
      </c>
      <c r="Y372" t="s">
        <v>7640</v>
      </c>
      <c r="Z372" t="s">
        <v>4209</v>
      </c>
      <c r="AA372" t="s">
        <v>74</v>
      </c>
      <c r="AB372" t="s">
        <v>4210</v>
      </c>
      <c r="AC372" t="s">
        <v>7641</v>
      </c>
      <c r="AD372" t="s">
        <v>7642</v>
      </c>
      <c r="AE372" t="s">
        <v>7643</v>
      </c>
      <c r="AF372" t="s">
        <v>74</v>
      </c>
      <c r="AG372">
        <v>54</v>
      </c>
      <c r="AH372">
        <v>63</v>
      </c>
      <c r="AI372">
        <v>67</v>
      </c>
      <c r="AJ372">
        <v>6</v>
      </c>
      <c r="AK372">
        <v>37</v>
      </c>
      <c r="AL372" t="s">
        <v>208</v>
      </c>
      <c r="AM372" t="s">
        <v>209</v>
      </c>
      <c r="AN372" t="s">
        <v>210</v>
      </c>
      <c r="AO372" t="s">
        <v>2939</v>
      </c>
      <c r="AP372" t="s">
        <v>2940</v>
      </c>
      <c r="AQ372" t="s">
        <v>74</v>
      </c>
      <c r="AR372" t="s">
        <v>2941</v>
      </c>
      <c r="AS372" t="s">
        <v>2942</v>
      </c>
      <c r="AT372" t="s">
        <v>5544</v>
      </c>
      <c r="AU372">
        <v>2017</v>
      </c>
      <c r="AV372">
        <v>49</v>
      </c>
      <c r="AW372" t="s">
        <v>7644</v>
      </c>
      <c r="AX372" t="s">
        <v>74</v>
      </c>
      <c r="AY372" t="s">
        <v>74</v>
      </c>
      <c r="AZ372" t="s">
        <v>74</v>
      </c>
      <c r="BA372" t="s">
        <v>74</v>
      </c>
      <c r="BB372">
        <v>1813</v>
      </c>
      <c r="BC372">
        <v>1831</v>
      </c>
      <c r="BD372" t="s">
        <v>74</v>
      </c>
      <c r="BE372" t="s">
        <v>7645</v>
      </c>
      <c r="BF372" t="str">
        <f>HYPERLINK("http://dx.doi.org/10.1007/s00382-016-3424-9","http://dx.doi.org/10.1007/s00382-016-3424-9")</f>
        <v>http://dx.doi.org/10.1007/s00382-016-3424-9</v>
      </c>
      <c r="BG372" t="s">
        <v>74</v>
      </c>
      <c r="BH372" t="s">
        <v>74</v>
      </c>
      <c r="BI372">
        <v>19</v>
      </c>
      <c r="BJ372" t="s">
        <v>162</v>
      </c>
      <c r="BK372" t="s">
        <v>101</v>
      </c>
      <c r="BL372" t="s">
        <v>162</v>
      </c>
      <c r="BM372" t="s">
        <v>7646</v>
      </c>
      <c r="BN372" t="s">
        <v>74</v>
      </c>
      <c r="BO372" t="s">
        <v>164</v>
      </c>
      <c r="BP372" t="s">
        <v>74</v>
      </c>
      <c r="BQ372" t="s">
        <v>74</v>
      </c>
      <c r="BR372" t="s">
        <v>105</v>
      </c>
      <c r="BS372" t="s">
        <v>7647</v>
      </c>
      <c r="BT372" t="str">
        <f>HYPERLINK("https%3A%2F%2Fwww.webofscience.com%2Fwos%2Fwoscc%2Ffull-record%2FWOS:000408718200019","View Full Record in Web of Science")</f>
        <v>View Full Record in Web of Science</v>
      </c>
    </row>
    <row r="373" spans="1:72" x14ac:dyDescent="0.15">
      <c r="A373" t="s">
        <v>72</v>
      </c>
      <c r="B373" t="s">
        <v>7648</v>
      </c>
      <c r="C373" t="s">
        <v>74</v>
      </c>
      <c r="D373" t="s">
        <v>74</v>
      </c>
      <c r="E373" t="s">
        <v>74</v>
      </c>
      <c r="F373" t="s">
        <v>7649</v>
      </c>
      <c r="G373" t="s">
        <v>74</v>
      </c>
      <c r="H373" t="s">
        <v>74</v>
      </c>
      <c r="I373" t="s">
        <v>7650</v>
      </c>
      <c r="J373" t="s">
        <v>7651</v>
      </c>
      <c r="K373" t="s">
        <v>74</v>
      </c>
      <c r="L373" t="s">
        <v>74</v>
      </c>
      <c r="M373" t="s">
        <v>78</v>
      </c>
      <c r="N373" t="s">
        <v>79</v>
      </c>
      <c r="O373" t="s">
        <v>74</v>
      </c>
      <c r="P373" t="s">
        <v>74</v>
      </c>
      <c r="Q373" t="s">
        <v>74</v>
      </c>
      <c r="R373" t="s">
        <v>74</v>
      </c>
      <c r="S373" t="s">
        <v>74</v>
      </c>
      <c r="T373" t="s">
        <v>7652</v>
      </c>
      <c r="U373" t="s">
        <v>7653</v>
      </c>
      <c r="V373" t="s">
        <v>7654</v>
      </c>
      <c r="W373" t="s">
        <v>7655</v>
      </c>
      <c r="X373" t="s">
        <v>2975</v>
      </c>
      <c r="Y373" t="s">
        <v>7656</v>
      </c>
      <c r="Z373" t="s">
        <v>7657</v>
      </c>
      <c r="AA373" t="s">
        <v>7658</v>
      </c>
      <c r="AB373" t="s">
        <v>7659</v>
      </c>
      <c r="AC373" t="s">
        <v>7660</v>
      </c>
      <c r="AD373" t="s">
        <v>7661</v>
      </c>
      <c r="AE373" t="s">
        <v>7662</v>
      </c>
      <c r="AF373" t="s">
        <v>74</v>
      </c>
      <c r="AG373">
        <v>51</v>
      </c>
      <c r="AH373">
        <v>63</v>
      </c>
      <c r="AI373">
        <v>70</v>
      </c>
      <c r="AJ373">
        <v>0</v>
      </c>
      <c r="AK373">
        <v>39</v>
      </c>
      <c r="AL373" t="s">
        <v>208</v>
      </c>
      <c r="AM373" t="s">
        <v>3872</v>
      </c>
      <c r="AN373" t="s">
        <v>3873</v>
      </c>
      <c r="AO373" t="s">
        <v>7663</v>
      </c>
      <c r="AP373" t="s">
        <v>7664</v>
      </c>
      <c r="AQ373" t="s">
        <v>74</v>
      </c>
      <c r="AR373" t="s">
        <v>7651</v>
      </c>
      <c r="AS373" t="s">
        <v>7665</v>
      </c>
      <c r="AT373" t="s">
        <v>5544</v>
      </c>
      <c r="AU373">
        <v>2017</v>
      </c>
      <c r="AV373">
        <v>144</v>
      </c>
      <c r="AW373">
        <v>2</v>
      </c>
      <c r="AX373" t="s">
        <v>74</v>
      </c>
      <c r="AY373" t="s">
        <v>74</v>
      </c>
      <c r="AZ373" t="s">
        <v>74</v>
      </c>
      <c r="BA373" t="s">
        <v>74</v>
      </c>
      <c r="BB373">
        <v>347</v>
      </c>
      <c r="BC373">
        <v>364</v>
      </c>
      <c r="BD373" t="s">
        <v>74</v>
      </c>
      <c r="BE373" t="s">
        <v>7666</v>
      </c>
      <c r="BF373" t="str">
        <f>HYPERLINK("http://dx.doi.org/10.1007/s10584-017-2039-4","http://dx.doi.org/10.1007/s10584-017-2039-4")</f>
        <v>http://dx.doi.org/10.1007/s10584-017-2039-4</v>
      </c>
      <c r="BG373" t="s">
        <v>74</v>
      </c>
      <c r="BH373" t="s">
        <v>74</v>
      </c>
      <c r="BI373">
        <v>18</v>
      </c>
      <c r="BJ373" t="s">
        <v>834</v>
      </c>
      <c r="BK373" t="s">
        <v>101</v>
      </c>
      <c r="BL373" t="s">
        <v>835</v>
      </c>
      <c r="BM373" t="s">
        <v>7667</v>
      </c>
      <c r="BN373" t="s">
        <v>74</v>
      </c>
      <c r="BO373" t="s">
        <v>2091</v>
      </c>
      <c r="BP373" t="s">
        <v>74</v>
      </c>
      <c r="BQ373" t="s">
        <v>74</v>
      </c>
      <c r="BR373" t="s">
        <v>105</v>
      </c>
      <c r="BS373" t="s">
        <v>7668</v>
      </c>
      <c r="BT373" t="str">
        <f>HYPERLINK("https%3A%2F%2Fwww.webofscience.com%2Fwos%2Fwoscc%2Ffull-record%2FWOS:000409001300019","View Full Record in Web of Science")</f>
        <v>View Full Record in Web of Science</v>
      </c>
    </row>
    <row r="374" spans="1:72" x14ac:dyDescent="0.15">
      <c r="A374" t="s">
        <v>72</v>
      </c>
      <c r="B374" t="s">
        <v>7669</v>
      </c>
      <c r="C374" t="s">
        <v>74</v>
      </c>
      <c r="D374" t="s">
        <v>74</v>
      </c>
      <c r="E374" t="s">
        <v>74</v>
      </c>
      <c r="F374" t="s">
        <v>7670</v>
      </c>
      <c r="G374" t="s">
        <v>74</v>
      </c>
      <c r="H374" t="s">
        <v>74</v>
      </c>
      <c r="I374" t="s">
        <v>7671</v>
      </c>
      <c r="J374" t="s">
        <v>7672</v>
      </c>
      <c r="K374" t="s">
        <v>74</v>
      </c>
      <c r="L374" t="s">
        <v>74</v>
      </c>
      <c r="M374" t="s">
        <v>78</v>
      </c>
      <c r="N374" t="s">
        <v>79</v>
      </c>
      <c r="O374" t="s">
        <v>74</v>
      </c>
      <c r="P374" t="s">
        <v>74</v>
      </c>
      <c r="Q374" t="s">
        <v>74</v>
      </c>
      <c r="R374" t="s">
        <v>74</v>
      </c>
      <c r="S374" t="s">
        <v>74</v>
      </c>
      <c r="T374" t="s">
        <v>7673</v>
      </c>
      <c r="U374" t="s">
        <v>7674</v>
      </c>
      <c r="V374" t="s">
        <v>7675</v>
      </c>
      <c r="W374" t="s">
        <v>7676</v>
      </c>
      <c r="X374" t="s">
        <v>7677</v>
      </c>
      <c r="Y374" t="s">
        <v>7678</v>
      </c>
      <c r="Z374" t="s">
        <v>7679</v>
      </c>
      <c r="AA374" t="s">
        <v>74</v>
      </c>
      <c r="AB374" t="s">
        <v>7680</v>
      </c>
      <c r="AC374" t="s">
        <v>7681</v>
      </c>
      <c r="AD374" t="s">
        <v>7682</v>
      </c>
      <c r="AE374" t="s">
        <v>7683</v>
      </c>
      <c r="AF374" t="s">
        <v>74</v>
      </c>
      <c r="AG374">
        <v>68</v>
      </c>
      <c r="AH374">
        <v>10</v>
      </c>
      <c r="AI374">
        <v>10</v>
      </c>
      <c r="AJ374">
        <v>0</v>
      </c>
      <c r="AK374">
        <v>26</v>
      </c>
      <c r="AL374" t="s">
        <v>502</v>
      </c>
      <c r="AM374" t="s">
        <v>372</v>
      </c>
      <c r="AN374" t="s">
        <v>503</v>
      </c>
      <c r="AO374" t="s">
        <v>7684</v>
      </c>
      <c r="AP374" t="s">
        <v>7685</v>
      </c>
      <c r="AQ374" t="s">
        <v>74</v>
      </c>
      <c r="AR374" t="s">
        <v>7686</v>
      </c>
      <c r="AS374" t="s">
        <v>7687</v>
      </c>
      <c r="AT374" t="s">
        <v>5544</v>
      </c>
      <c r="AU374">
        <v>2017</v>
      </c>
      <c r="AV374">
        <v>141</v>
      </c>
      <c r="AW374" t="s">
        <v>74</v>
      </c>
      <c r="AX374" t="s">
        <v>74</v>
      </c>
      <c r="AY374" t="s">
        <v>74</v>
      </c>
      <c r="AZ374" t="s">
        <v>74</v>
      </c>
      <c r="BA374" t="s">
        <v>74</v>
      </c>
      <c r="BB374">
        <v>131</v>
      </c>
      <c r="BC374">
        <v>162</v>
      </c>
      <c r="BD374" t="s">
        <v>74</v>
      </c>
      <c r="BE374" t="s">
        <v>7688</v>
      </c>
      <c r="BF374" t="str">
        <f>HYPERLINK("http://dx.doi.org/10.1016/j.coldregions.2017.06.007","http://dx.doi.org/10.1016/j.coldregions.2017.06.007")</f>
        <v>http://dx.doi.org/10.1016/j.coldregions.2017.06.007</v>
      </c>
      <c r="BG374" t="s">
        <v>74</v>
      </c>
      <c r="BH374" t="s">
        <v>74</v>
      </c>
      <c r="BI374">
        <v>32</v>
      </c>
      <c r="BJ374" t="s">
        <v>7689</v>
      </c>
      <c r="BK374" t="s">
        <v>101</v>
      </c>
      <c r="BL374" t="s">
        <v>7690</v>
      </c>
      <c r="BM374" t="s">
        <v>7691</v>
      </c>
      <c r="BN374" t="s">
        <v>74</v>
      </c>
      <c r="BO374" t="s">
        <v>511</v>
      </c>
      <c r="BP374" t="s">
        <v>74</v>
      </c>
      <c r="BQ374" t="s">
        <v>74</v>
      </c>
      <c r="BR374" t="s">
        <v>105</v>
      </c>
      <c r="BS374" t="s">
        <v>7692</v>
      </c>
      <c r="BT374" t="str">
        <f>HYPERLINK("https%3A%2F%2Fwww.webofscience.com%2Fwos%2Fwoscc%2Ffull-record%2FWOS:000407693100013","View Full Record in Web of Science")</f>
        <v>View Full Record in Web of Science</v>
      </c>
    </row>
    <row r="375" spans="1:72" x14ac:dyDescent="0.15">
      <c r="A375" t="s">
        <v>72</v>
      </c>
      <c r="B375" t="s">
        <v>7693</v>
      </c>
      <c r="C375" t="s">
        <v>74</v>
      </c>
      <c r="D375" t="s">
        <v>74</v>
      </c>
      <c r="E375" t="s">
        <v>74</v>
      </c>
      <c r="F375" t="s">
        <v>7694</v>
      </c>
      <c r="G375" t="s">
        <v>74</v>
      </c>
      <c r="H375" t="s">
        <v>74</v>
      </c>
      <c r="I375" t="s">
        <v>7695</v>
      </c>
      <c r="J375" t="s">
        <v>7672</v>
      </c>
      <c r="K375" t="s">
        <v>74</v>
      </c>
      <c r="L375" t="s">
        <v>74</v>
      </c>
      <c r="M375" t="s">
        <v>78</v>
      </c>
      <c r="N375" t="s">
        <v>79</v>
      </c>
      <c r="O375" t="s">
        <v>74</v>
      </c>
      <c r="P375" t="s">
        <v>74</v>
      </c>
      <c r="Q375" t="s">
        <v>74</v>
      </c>
      <c r="R375" t="s">
        <v>74</v>
      </c>
      <c r="S375" t="s">
        <v>74</v>
      </c>
      <c r="T375" t="s">
        <v>7696</v>
      </c>
      <c r="U375" t="s">
        <v>74</v>
      </c>
      <c r="V375" t="s">
        <v>7697</v>
      </c>
      <c r="W375" t="s">
        <v>7698</v>
      </c>
      <c r="X375" t="s">
        <v>7699</v>
      </c>
      <c r="Y375" t="s">
        <v>7700</v>
      </c>
      <c r="Z375" t="s">
        <v>7701</v>
      </c>
      <c r="AA375" t="s">
        <v>74</v>
      </c>
      <c r="AB375" t="s">
        <v>74</v>
      </c>
      <c r="AC375" t="s">
        <v>7702</v>
      </c>
      <c r="AD375" t="s">
        <v>7702</v>
      </c>
      <c r="AE375" t="s">
        <v>7703</v>
      </c>
      <c r="AF375" t="s">
        <v>74</v>
      </c>
      <c r="AG375">
        <v>25</v>
      </c>
      <c r="AH375">
        <v>6</v>
      </c>
      <c r="AI375">
        <v>7</v>
      </c>
      <c r="AJ375">
        <v>1</v>
      </c>
      <c r="AK375">
        <v>7</v>
      </c>
      <c r="AL375" t="s">
        <v>502</v>
      </c>
      <c r="AM375" t="s">
        <v>372</v>
      </c>
      <c r="AN375" t="s">
        <v>503</v>
      </c>
      <c r="AO375" t="s">
        <v>7684</v>
      </c>
      <c r="AP375" t="s">
        <v>7685</v>
      </c>
      <c r="AQ375" t="s">
        <v>74</v>
      </c>
      <c r="AR375" t="s">
        <v>7686</v>
      </c>
      <c r="AS375" t="s">
        <v>7687</v>
      </c>
      <c r="AT375" t="s">
        <v>5544</v>
      </c>
      <c r="AU375">
        <v>2017</v>
      </c>
      <c r="AV375">
        <v>141</v>
      </c>
      <c r="AW375" t="s">
        <v>74</v>
      </c>
      <c r="AX375" t="s">
        <v>74</v>
      </c>
      <c r="AY375" t="s">
        <v>74</v>
      </c>
      <c r="AZ375" t="s">
        <v>74</v>
      </c>
      <c r="BA375" t="s">
        <v>74</v>
      </c>
      <c r="BB375">
        <v>188</v>
      </c>
      <c r="BC375">
        <v>200</v>
      </c>
      <c r="BD375" t="s">
        <v>74</v>
      </c>
      <c r="BE375" t="s">
        <v>7704</v>
      </c>
      <c r="BF375" t="str">
        <f>HYPERLINK("http://dx.doi.org/10.1016/j.coldregions.2017.06.008","http://dx.doi.org/10.1016/j.coldregions.2017.06.008")</f>
        <v>http://dx.doi.org/10.1016/j.coldregions.2017.06.008</v>
      </c>
      <c r="BG375" t="s">
        <v>74</v>
      </c>
      <c r="BH375" t="s">
        <v>74</v>
      </c>
      <c r="BI375">
        <v>13</v>
      </c>
      <c r="BJ375" t="s">
        <v>7689</v>
      </c>
      <c r="BK375" t="s">
        <v>101</v>
      </c>
      <c r="BL375" t="s">
        <v>7690</v>
      </c>
      <c r="BM375" t="s">
        <v>7691</v>
      </c>
      <c r="BN375" t="s">
        <v>74</v>
      </c>
      <c r="BO375" t="s">
        <v>74</v>
      </c>
      <c r="BP375" t="s">
        <v>74</v>
      </c>
      <c r="BQ375" t="s">
        <v>74</v>
      </c>
      <c r="BR375" t="s">
        <v>105</v>
      </c>
      <c r="BS375" t="s">
        <v>7705</v>
      </c>
      <c r="BT375" t="str">
        <f>HYPERLINK("https%3A%2F%2Fwww.webofscience.com%2Fwos%2Fwoscc%2Ffull-record%2FWOS:000407693100017","View Full Record in Web of Science")</f>
        <v>View Full Record in Web of Science</v>
      </c>
    </row>
    <row r="376" spans="1:72" x14ac:dyDescent="0.15">
      <c r="A376" t="s">
        <v>72</v>
      </c>
      <c r="B376" t="s">
        <v>7706</v>
      </c>
      <c r="C376" t="s">
        <v>74</v>
      </c>
      <c r="D376" t="s">
        <v>74</v>
      </c>
      <c r="E376" t="s">
        <v>74</v>
      </c>
      <c r="F376" t="s">
        <v>7707</v>
      </c>
      <c r="G376" t="s">
        <v>74</v>
      </c>
      <c r="H376" t="s">
        <v>74</v>
      </c>
      <c r="I376" t="s">
        <v>7708</v>
      </c>
      <c r="J376" t="s">
        <v>7709</v>
      </c>
      <c r="K376" t="s">
        <v>74</v>
      </c>
      <c r="L376" t="s">
        <v>74</v>
      </c>
      <c r="M376" t="s">
        <v>78</v>
      </c>
      <c r="N376" t="s">
        <v>79</v>
      </c>
      <c r="O376" t="s">
        <v>74</v>
      </c>
      <c r="P376" t="s">
        <v>74</v>
      </c>
      <c r="Q376" t="s">
        <v>74</v>
      </c>
      <c r="R376" t="s">
        <v>74</v>
      </c>
      <c r="S376" t="s">
        <v>74</v>
      </c>
      <c r="T376" t="s">
        <v>7710</v>
      </c>
      <c r="U376" t="s">
        <v>7711</v>
      </c>
      <c r="V376" t="s">
        <v>7712</v>
      </c>
      <c r="W376" t="s">
        <v>7713</v>
      </c>
      <c r="X376" t="s">
        <v>7714</v>
      </c>
      <c r="Y376" t="s">
        <v>7715</v>
      </c>
      <c r="Z376" t="s">
        <v>7716</v>
      </c>
      <c r="AA376" t="s">
        <v>7717</v>
      </c>
      <c r="AB376" t="s">
        <v>7718</v>
      </c>
      <c r="AC376" t="s">
        <v>7719</v>
      </c>
      <c r="AD376" t="s">
        <v>7720</v>
      </c>
      <c r="AE376" t="s">
        <v>7721</v>
      </c>
      <c r="AF376" t="s">
        <v>74</v>
      </c>
      <c r="AG376">
        <v>107</v>
      </c>
      <c r="AH376">
        <v>13</v>
      </c>
      <c r="AI376">
        <v>13</v>
      </c>
      <c r="AJ376">
        <v>2</v>
      </c>
      <c r="AK376">
        <v>23</v>
      </c>
      <c r="AL376" t="s">
        <v>2520</v>
      </c>
      <c r="AM376" t="s">
        <v>2521</v>
      </c>
      <c r="AN376" t="s">
        <v>2522</v>
      </c>
      <c r="AO376" t="s">
        <v>7722</v>
      </c>
      <c r="AP376" t="s">
        <v>74</v>
      </c>
      <c r="AQ376" t="s">
        <v>74</v>
      </c>
      <c r="AR376" t="s">
        <v>7723</v>
      </c>
      <c r="AS376" t="s">
        <v>7724</v>
      </c>
      <c r="AT376" t="s">
        <v>5544</v>
      </c>
      <c r="AU376">
        <v>2017</v>
      </c>
      <c r="AV376">
        <v>3</v>
      </c>
      <c r="AW376">
        <v>3</v>
      </c>
      <c r="AX376" t="s">
        <v>74</v>
      </c>
      <c r="AY376" t="s">
        <v>74</v>
      </c>
      <c r="AZ376" t="s">
        <v>74</v>
      </c>
      <c r="BA376" t="s">
        <v>74</v>
      </c>
      <c r="BB376">
        <v>163</v>
      </c>
      <c r="BC376">
        <v>173</v>
      </c>
      <c r="BD376" t="s">
        <v>74</v>
      </c>
      <c r="BE376" t="s">
        <v>7725</v>
      </c>
      <c r="BF376" t="str">
        <f>HYPERLINK("http://dx.doi.org/10.1007/s40641-017-0068-8","http://dx.doi.org/10.1007/s40641-017-0068-8")</f>
        <v>http://dx.doi.org/10.1007/s40641-017-0068-8</v>
      </c>
      <c r="BG376" t="s">
        <v>74</v>
      </c>
      <c r="BH376" t="s">
        <v>74</v>
      </c>
      <c r="BI376">
        <v>11</v>
      </c>
      <c r="BJ376" t="s">
        <v>162</v>
      </c>
      <c r="BK376" t="s">
        <v>101</v>
      </c>
      <c r="BL376" t="s">
        <v>162</v>
      </c>
      <c r="BM376" t="s">
        <v>7726</v>
      </c>
      <c r="BN376" t="s">
        <v>74</v>
      </c>
      <c r="BO376" t="s">
        <v>74</v>
      </c>
      <c r="BP376" t="s">
        <v>74</v>
      </c>
      <c r="BQ376" t="s">
        <v>74</v>
      </c>
      <c r="BR376" t="s">
        <v>105</v>
      </c>
      <c r="BS376" t="s">
        <v>7727</v>
      </c>
      <c r="BT376" t="str">
        <f>HYPERLINK("https%3A%2F%2Fwww.webofscience.com%2Fwos%2Fwoscc%2Ffull-record%2FWOS:000461108900001","View Full Record in Web of Science")</f>
        <v>View Full Record in Web of Science</v>
      </c>
    </row>
    <row r="377" spans="1:72" x14ac:dyDescent="0.15">
      <c r="A377" t="s">
        <v>72</v>
      </c>
      <c r="B377" t="s">
        <v>7728</v>
      </c>
      <c r="C377" t="s">
        <v>74</v>
      </c>
      <c r="D377" t="s">
        <v>74</v>
      </c>
      <c r="E377" t="s">
        <v>74</v>
      </c>
      <c r="F377" t="s">
        <v>7729</v>
      </c>
      <c r="G377" t="s">
        <v>74</v>
      </c>
      <c r="H377" t="s">
        <v>74</v>
      </c>
      <c r="I377" t="s">
        <v>7730</v>
      </c>
      <c r="J377" t="s">
        <v>7709</v>
      </c>
      <c r="K377" t="s">
        <v>74</v>
      </c>
      <c r="L377" t="s">
        <v>74</v>
      </c>
      <c r="M377" t="s">
        <v>78</v>
      </c>
      <c r="N377" t="s">
        <v>79</v>
      </c>
      <c r="O377" t="s">
        <v>74</v>
      </c>
      <c r="P377" t="s">
        <v>74</v>
      </c>
      <c r="Q377" t="s">
        <v>74</v>
      </c>
      <c r="R377" t="s">
        <v>74</v>
      </c>
      <c r="S377" t="s">
        <v>74</v>
      </c>
      <c r="T377" t="s">
        <v>7731</v>
      </c>
      <c r="U377" t="s">
        <v>74</v>
      </c>
      <c r="V377" t="s">
        <v>7732</v>
      </c>
      <c r="W377" t="s">
        <v>7733</v>
      </c>
      <c r="X377" t="s">
        <v>7734</v>
      </c>
      <c r="Y377" t="s">
        <v>7735</v>
      </c>
      <c r="Z377" t="s">
        <v>7736</v>
      </c>
      <c r="AA377" t="s">
        <v>7737</v>
      </c>
      <c r="AB377" t="s">
        <v>7738</v>
      </c>
      <c r="AC377" t="s">
        <v>74</v>
      </c>
      <c r="AD377" t="s">
        <v>74</v>
      </c>
      <c r="AE377" t="s">
        <v>74</v>
      </c>
      <c r="AF377" t="s">
        <v>74</v>
      </c>
      <c r="AG377">
        <v>129</v>
      </c>
      <c r="AH377">
        <v>41</v>
      </c>
      <c r="AI377">
        <v>43</v>
      </c>
      <c r="AJ377">
        <v>1</v>
      </c>
      <c r="AK377">
        <v>16</v>
      </c>
      <c r="AL377" t="s">
        <v>2520</v>
      </c>
      <c r="AM377" t="s">
        <v>2521</v>
      </c>
      <c r="AN377" t="s">
        <v>2522</v>
      </c>
      <c r="AO377" t="s">
        <v>7722</v>
      </c>
      <c r="AP377" t="s">
        <v>74</v>
      </c>
      <c r="AQ377" t="s">
        <v>74</v>
      </c>
      <c r="AR377" t="s">
        <v>7723</v>
      </c>
      <c r="AS377" t="s">
        <v>7724</v>
      </c>
      <c r="AT377" t="s">
        <v>5544</v>
      </c>
      <c r="AU377">
        <v>2017</v>
      </c>
      <c r="AV377">
        <v>3</v>
      </c>
      <c r="AW377">
        <v>3</v>
      </c>
      <c r="AX377" t="s">
        <v>74</v>
      </c>
      <c r="AY377" t="s">
        <v>74</v>
      </c>
      <c r="AZ377" t="s">
        <v>74</v>
      </c>
      <c r="BA377" t="s">
        <v>74</v>
      </c>
      <c r="BB377">
        <v>174</v>
      </c>
      <c r="BC377">
        <v>184</v>
      </c>
      <c r="BD377" t="s">
        <v>74</v>
      </c>
      <c r="BE377" t="s">
        <v>7739</v>
      </c>
      <c r="BF377" t="str">
        <f>HYPERLINK("http://dx.doi.org/10.1007/s40641-017-0069-7","http://dx.doi.org/10.1007/s40641-017-0069-7")</f>
        <v>http://dx.doi.org/10.1007/s40641-017-0069-7</v>
      </c>
      <c r="BG377" t="s">
        <v>74</v>
      </c>
      <c r="BH377" t="s">
        <v>74</v>
      </c>
      <c r="BI377">
        <v>11</v>
      </c>
      <c r="BJ377" t="s">
        <v>162</v>
      </c>
      <c r="BK377" t="s">
        <v>101</v>
      </c>
      <c r="BL377" t="s">
        <v>162</v>
      </c>
      <c r="BM377" t="s">
        <v>7726</v>
      </c>
      <c r="BN377" t="s">
        <v>74</v>
      </c>
      <c r="BO377" t="s">
        <v>164</v>
      </c>
      <c r="BP377" t="s">
        <v>74</v>
      </c>
      <c r="BQ377" t="s">
        <v>74</v>
      </c>
      <c r="BR377" t="s">
        <v>105</v>
      </c>
      <c r="BS377" t="s">
        <v>7740</v>
      </c>
      <c r="BT377" t="str">
        <f>HYPERLINK("https%3A%2F%2Fwww.webofscience.com%2Fwos%2Fwoscc%2Ffull-record%2FWOS:000461108900002","View Full Record in Web of Science")</f>
        <v>View Full Record in Web of Science</v>
      </c>
    </row>
    <row r="378" spans="1:72" x14ac:dyDescent="0.15">
      <c r="A378" t="s">
        <v>72</v>
      </c>
      <c r="B378" t="s">
        <v>7741</v>
      </c>
      <c r="C378" t="s">
        <v>74</v>
      </c>
      <c r="D378" t="s">
        <v>74</v>
      </c>
      <c r="E378" t="s">
        <v>74</v>
      </c>
      <c r="F378" t="s">
        <v>7742</v>
      </c>
      <c r="G378" t="s">
        <v>74</v>
      </c>
      <c r="H378" t="s">
        <v>74</v>
      </c>
      <c r="I378" t="s">
        <v>7743</v>
      </c>
      <c r="J378" t="s">
        <v>7744</v>
      </c>
      <c r="K378" t="s">
        <v>74</v>
      </c>
      <c r="L378" t="s">
        <v>74</v>
      </c>
      <c r="M378" t="s">
        <v>78</v>
      </c>
      <c r="N378" t="s">
        <v>79</v>
      </c>
      <c r="O378" t="s">
        <v>74</v>
      </c>
      <c r="P378" t="s">
        <v>74</v>
      </c>
      <c r="Q378" t="s">
        <v>74</v>
      </c>
      <c r="R378" t="s">
        <v>74</v>
      </c>
      <c r="S378" t="s">
        <v>74</v>
      </c>
      <c r="T378" t="s">
        <v>7745</v>
      </c>
      <c r="U378" t="s">
        <v>7746</v>
      </c>
      <c r="V378" t="s">
        <v>7747</v>
      </c>
      <c r="W378" t="s">
        <v>7748</v>
      </c>
      <c r="X378" t="s">
        <v>7749</v>
      </c>
      <c r="Y378" t="s">
        <v>7750</v>
      </c>
      <c r="Z378" t="s">
        <v>7751</v>
      </c>
      <c r="AA378" t="s">
        <v>74</v>
      </c>
      <c r="AB378" t="s">
        <v>7752</v>
      </c>
      <c r="AC378" t="s">
        <v>7753</v>
      </c>
      <c r="AD378" t="s">
        <v>7754</v>
      </c>
      <c r="AE378" t="s">
        <v>7755</v>
      </c>
      <c r="AF378" t="s">
        <v>74</v>
      </c>
      <c r="AG378">
        <v>68</v>
      </c>
      <c r="AH378">
        <v>5</v>
      </c>
      <c r="AI378">
        <v>5</v>
      </c>
      <c r="AJ378">
        <v>0</v>
      </c>
      <c r="AK378">
        <v>4</v>
      </c>
      <c r="AL378" t="s">
        <v>1981</v>
      </c>
      <c r="AM378" t="s">
        <v>729</v>
      </c>
      <c r="AN378" t="s">
        <v>1982</v>
      </c>
      <c r="AO378" t="s">
        <v>7756</v>
      </c>
      <c r="AP378" t="s">
        <v>7757</v>
      </c>
      <c r="AQ378" t="s">
        <v>74</v>
      </c>
      <c r="AR378" t="s">
        <v>7758</v>
      </c>
      <c r="AS378" t="s">
        <v>7759</v>
      </c>
      <c r="AT378" t="s">
        <v>5544</v>
      </c>
      <c r="AU378">
        <v>2017</v>
      </c>
      <c r="AV378">
        <v>127</v>
      </c>
      <c r="AW378" t="s">
        <v>74</v>
      </c>
      <c r="AX378" t="s">
        <v>74</v>
      </c>
      <c r="AY378" t="s">
        <v>74</v>
      </c>
      <c r="AZ378" t="s">
        <v>74</v>
      </c>
      <c r="BA378" t="s">
        <v>74</v>
      </c>
      <c r="BB378">
        <v>41</v>
      </c>
      <c r="BC378">
        <v>48</v>
      </c>
      <c r="BD378" t="s">
        <v>74</v>
      </c>
      <c r="BE378" t="s">
        <v>7760</v>
      </c>
      <c r="BF378" t="str">
        <f>HYPERLINK("http://dx.doi.org/10.1016/j.dsr.2017.07.005","http://dx.doi.org/10.1016/j.dsr.2017.07.005")</f>
        <v>http://dx.doi.org/10.1016/j.dsr.2017.07.005</v>
      </c>
      <c r="BG378" t="s">
        <v>74</v>
      </c>
      <c r="BH378" t="s">
        <v>74</v>
      </c>
      <c r="BI378">
        <v>8</v>
      </c>
      <c r="BJ378" t="s">
        <v>1459</v>
      </c>
      <c r="BK378" t="s">
        <v>101</v>
      </c>
      <c r="BL378" t="s">
        <v>1459</v>
      </c>
      <c r="BM378" t="s">
        <v>7761</v>
      </c>
      <c r="BN378" t="s">
        <v>74</v>
      </c>
      <c r="BO378" t="s">
        <v>74</v>
      </c>
      <c r="BP378" t="s">
        <v>74</v>
      </c>
      <c r="BQ378" t="s">
        <v>74</v>
      </c>
      <c r="BR378" t="s">
        <v>105</v>
      </c>
      <c r="BS378" t="s">
        <v>7762</v>
      </c>
      <c r="BT378" t="str">
        <f>HYPERLINK("https%3A%2F%2Fwww.webofscience.com%2Fwos%2Fwoscc%2Ffull-record%2FWOS:000412966900005","View Full Record in Web of Science")</f>
        <v>View Full Record in Web of Science</v>
      </c>
    </row>
    <row r="379" spans="1:72" x14ac:dyDescent="0.15">
      <c r="A379" t="s">
        <v>72</v>
      </c>
      <c r="B379" t="s">
        <v>7763</v>
      </c>
      <c r="C379" t="s">
        <v>74</v>
      </c>
      <c r="D379" t="s">
        <v>74</v>
      </c>
      <c r="E379" t="s">
        <v>74</v>
      </c>
      <c r="F379" t="s">
        <v>7764</v>
      </c>
      <c r="G379" t="s">
        <v>74</v>
      </c>
      <c r="H379" t="s">
        <v>74</v>
      </c>
      <c r="I379" t="s">
        <v>7765</v>
      </c>
      <c r="J379" t="s">
        <v>2950</v>
      </c>
      <c r="K379" t="s">
        <v>74</v>
      </c>
      <c r="L379" t="s">
        <v>74</v>
      </c>
      <c r="M379" t="s">
        <v>78</v>
      </c>
      <c r="N379" t="s">
        <v>79</v>
      </c>
      <c r="O379" t="s">
        <v>74</v>
      </c>
      <c r="P379" t="s">
        <v>74</v>
      </c>
      <c r="Q379" t="s">
        <v>74</v>
      </c>
      <c r="R379" t="s">
        <v>74</v>
      </c>
      <c r="S379" t="s">
        <v>74</v>
      </c>
      <c r="T379" t="s">
        <v>7766</v>
      </c>
      <c r="U379" t="s">
        <v>7767</v>
      </c>
      <c r="V379" t="s">
        <v>7768</v>
      </c>
      <c r="W379" t="s">
        <v>7769</v>
      </c>
      <c r="X379" t="s">
        <v>7770</v>
      </c>
      <c r="Y379" t="s">
        <v>7771</v>
      </c>
      <c r="Z379" t="s">
        <v>7772</v>
      </c>
      <c r="AA379" t="s">
        <v>7773</v>
      </c>
      <c r="AB379" t="s">
        <v>7774</v>
      </c>
      <c r="AC379" t="s">
        <v>7775</v>
      </c>
      <c r="AD379" t="s">
        <v>7776</v>
      </c>
      <c r="AE379" t="s">
        <v>7777</v>
      </c>
      <c r="AF379" t="s">
        <v>74</v>
      </c>
      <c r="AG379">
        <v>91</v>
      </c>
      <c r="AH379">
        <v>69</v>
      </c>
      <c r="AI379">
        <v>69</v>
      </c>
      <c r="AJ379">
        <v>8</v>
      </c>
      <c r="AK379">
        <v>96</v>
      </c>
      <c r="AL379" t="s">
        <v>1338</v>
      </c>
      <c r="AM379" t="s">
        <v>1339</v>
      </c>
      <c r="AN379" t="s">
        <v>1340</v>
      </c>
      <c r="AO379" t="s">
        <v>2960</v>
      </c>
      <c r="AP379" t="s">
        <v>2961</v>
      </c>
      <c r="AQ379" t="s">
        <v>74</v>
      </c>
      <c r="AR379" t="s">
        <v>2962</v>
      </c>
      <c r="AS379" t="s">
        <v>2963</v>
      </c>
      <c r="AT379" t="s">
        <v>5544</v>
      </c>
      <c r="AU379">
        <v>2017</v>
      </c>
      <c r="AV379">
        <v>23</v>
      </c>
      <c r="AW379">
        <v>9</v>
      </c>
      <c r="AX379" t="s">
        <v>74</v>
      </c>
      <c r="AY379" t="s">
        <v>74</v>
      </c>
      <c r="AZ379" t="s">
        <v>74</v>
      </c>
      <c r="BA379" t="s">
        <v>74</v>
      </c>
      <c r="BB379">
        <v>982</v>
      </c>
      <c r="BC379">
        <v>996</v>
      </c>
      <c r="BD379" t="s">
        <v>74</v>
      </c>
      <c r="BE379" t="s">
        <v>7778</v>
      </c>
      <c r="BF379" t="str">
        <f>HYPERLINK("http://dx.doi.org/10.1111/ddi.12593","http://dx.doi.org/10.1111/ddi.12593")</f>
        <v>http://dx.doi.org/10.1111/ddi.12593</v>
      </c>
      <c r="BG379" t="s">
        <v>74</v>
      </c>
      <c r="BH379" t="s">
        <v>74</v>
      </c>
      <c r="BI379">
        <v>15</v>
      </c>
      <c r="BJ379" t="s">
        <v>2592</v>
      </c>
      <c r="BK379" t="s">
        <v>101</v>
      </c>
      <c r="BL379" t="s">
        <v>2593</v>
      </c>
      <c r="BM379" t="s">
        <v>7779</v>
      </c>
      <c r="BN379" t="s">
        <v>74</v>
      </c>
      <c r="BO379" t="s">
        <v>4873</v>
      </c>
      <c r="BP379" t="s">
        <v>74</v>
      </c>
      <c r="BQ379" t="s">
        <v>74</v>
      </c>
      <c r="BR379" t="s">
        <v>105</v>
      </c>
      <c r="BS379" t="s">
        <v>7780</v>
      </c>
      <c r="BT379" t="str">
        <f>HYPERLINK("https%3A%2F%2Fwww.webofscience.com%2Fwos%2Fwoscc%2Ffull-record%2FWOS:000408647600002","View Full Record in Web of Science")</f>
        <v>View Full Record in Web of Science</v>
      </c>
    </row>
    <row r="380" spans="1:72" x14ac:dyDescent="0.15">
      <c r="A380" t="s">
        <v>72</v>
      </c>
      <c r="B380" t="s">
        <v>7781</v>
      </c>
      <c r="C380" t="s">
        <v>74</v>
      </c>
      <c r="D380" t="s">
        <v>74</v>
      </c>
      <c r="E380" t="s">
        <v>74</v>
      </c>
      <c r="F380" t="s">
        <v>7782</v>
      </c>
      <c r="G380" t="s">
        <v>74</v>
      </c>
      <c r="H380" t="s">
        <v>74</v>
      </c>
      <c r="I380" t="s">
        <v>7783</v>
      </c>
      <c r="J380" t="s">
        <v>7784</v>
      </c>
      <c r="K380" t="s">
        <v>74</v>
      </c>
      <c r="L380" t="s">
        <v>74</v>
      </c>
      <c r="M380" t="s">
        <v>78</v>
      </c>
      <c r="N380" t="s">
        <v>79</v>
      </c>
      <c r="O380" t="s">
        <v>74</v>
      </c>
      <c r="P380" t="s">
        <v>74</v>
      </c>
      <c r="Q380" t="s">
        <v>74</v>
      </c>
      <c r="R380" t="s">
        <v>74</v>
      </c>
      <c r="S380" t="s">
        <v>74</v>
      </c>
      <c r="T380" t="s">
        <v>7785</v>
      </c>
      <c r="U380" t="s">
        <v>7786</v>
      </c>
      <c r="V380" t="s">
        <v>7787</v>
      </c>
      <c r="W380" t="s">
        <v>7788</v>
      </c>
      <c r="X380" t="s">
        <v>5289</v>
      </c>
      <c r="Y380" t="s">
        <v>7789</v>
      </c>
      <c r="Z380" t="s">
        <v>7790</v>
      </c>
      <c r="AA380" t="s">
        <v>7791</v>
      </c>
      <c r="AB380" t="s">
        <v>7792</v>
      </c>
      <c r="AC380" t="s">
        <v>74</v>
      </c>
      <c r="AD380" t="s">
        <v>74</v>
      </c>
      <c r="AE380" t="s">
        <v>74</v>
      </c>
      <c r="AF380" t="s">
        <v>74</v>
      </c>
      <c r="AG380">
        <v>94</v>
      </c>
      <c r="AH380">
        <v>11</v>
      </c>
      <c r="AI380">
        <v>11</v>
      </c>
      <c r="AJ380">
        <v>1</v>
      </c>
      <c r="AK380">
        <v>19</v>
      </c>
      <c r="AL380" t="s">
        <v>371</v>
      </c>
      <c r="AM380" t="s">
        <v>372</v>
      </c>
      <c r="AN380" t="s">
        <v>373</v>
      </c>
      <c r="AO380" t="s">
        <v>7793</v>
      </c>
      <c r="AP380" t="s">
        <v>7794</v>
      </c>
      <c r="AQ380" t="s">
        <v>74</v>
      </c>
      <c r="AR380" t="s">
        <v>7795</v>
      </c>
      <c r="AS380" t="s">
        <v>7796</v>
      </c>
      <c r="AT380" t="s">
        <v>5544</v>
      </c>
      <c r="AU380">
        <v>2017</v>
      </c>
      <c r="AV380">
        <v>79</v>
      </c>
      <c r="AW380" t="s">
        <v>74</v>
      </c>
      <c r="AX380" t="s">
        <v>74</v>
      </c>
      <c r="AY380" t="s">
        <v>74</v>
      </c>
      <c r="AZ380" t="s">
        <v>74</v>
      </c>
      <c r="BA380" t="s">
        <v>74</v>
      </c>
      <c r="BB380">
        <v>10</v>
      </c>
      <c r="BC380">
        <v>30</v>
      </c>
      <c r="BD380" t="s">
        <v>74</v>
      </c>
      <c r="BE380" t="s">
        <v>7797</v>
      </c>
      <c r="BF380" t="str">
        <f>HYPERLINK("http://dx.doi.org/10.1016/j.dynatmoce.2017.05.003","http://dx.doi.org/10.1016/j.dynatmoce.2017.05.003")</f>
        <v>http://dx.doi.org/10.1016/j.dynatmoce.2017.05.003</v>
      </c>
      <c r="BG380" t="s">
        <v>74</v>
      </c>
      <c r="BH380" t="s">
        <v>74</v>
      </c>
      <c r="BI380">
        <v>21</v>
      </c>
      <c r="BJ380" t="s">
        <v>7798</v>
      </c>
      <c r="BK380" t="s">
        <v>101</v>
      </c>
      <c r="BL380" t="s">
        <v>7798</v>
      </c>
      <c r="BM380" t="s">
        <v>7799</v>
      </c>
      <c r="BN380" t="s">
        <v>74</v>
      </c>
      <c r="BO380" t="s">
        <v>511</v>
      </c>
      <c r="BP380" t="s">
        <v>74</v>
      </c>
      <c r="BQ380" t="s">
        <v>74</v>
      </c>
      <c r="BR380" t="s">
        <v>105</v>
      </c>
      <c r="BS380" t="s">
        <v>7800</v>
      </c>
      <c r="BT380" t="str">
        <f>HYPERLINK("https%3A%2F%2Fwww.webofscience.com%2Fwos%2Fwoscc%2Ffull-record%2FWOS:000412038400002","View Full Record in Web of Science")</f>
        <v>View Full Record in Web of Science</v>
      </c>
    </row>
    <row r="381" spans="1:72" x14ac:dyDescent="0.15">
      <c r="A381" t="s">
        <v>72</v>
      </c>
      <c r="B381" t="s">
        <v>7801</v>
      </c>
      <c r="C381" t="s">
        <v>74</v>
      </c>
      <c r="D381" t="s">
        <v>74</v>
      </c>
      <c r="E381" t="s">
        <v>74</v>
      </c>
      <c r="F381" t="s">
        <v>7802</v>
      </c>
      <c r="G381" t="s">
        <v>74</v>
      </c>
      <c r="H381" t="s">
        <v>74</v>
      </c>
      <c r="I381" t="s">
        <v>7803</v>
      </c>
      <c r="J381" t="s">
        <v>663</v>
      </c>
      <c r="K381" t="s">
        <v>74</v>
      </c>
      <c r="L381" t="s">
        <v>74</v>
      </c>
      <c r="M381" t="s">
        <v>78</v>
      </c>
      <c r="N381" t="s">
        <v>79</v>
      </c>
      <c r="O381" t="s">
        <v>74</v>
      </c>
      <c r="P381" t="s">
        <v>74</v>
      </c>
      <c r="Q381" t="s">
        <v>74</v>
      </c>
      <c r="R381" t="s">
        <v>74</v>
      </c>
      <c r="S381" t="s">
        <v>74</v>
      </c>
      <c r="T381" t="s">
        <v>7804</v>
      </c>
      <c r="U381" t="s">
        <v>7805</v>
      </c>
      <c r="V381" t="s">
        <v>7806</v>
      </c>
      <c r="W381" t="s">
        <v>7807</v>
      </c>
      <c r="X381" t="s">
        <v>7808</v>
      </c>
      <c r="Y381" t="s">
        <v>7809</v>
      </c>
      <c r="Z381" t="s">
        <v>7810</v>
      </c>
      <c r="AA381" t="s">
        <v>7811</v>
      </c>
      <c r="AB381" t="s">
        <v>7812</v>
      </c>
      <c r="AC381" t="s">
        <v>7813</v>
      </c>
      <c r="AD381" t="s">
        <v>7814</v>
      </c>
      <c r="AE381" t="s">
        <v>7815</v>
      </c>
      <c r="AF381" t="s">
        <v>74</v>
      </c>
      <c r="AG381">
        <v>45</v>
      </c>
      <c r="AH381">
        <v>26</v>
      </c>
      <c r="AI381">
        <v>28</v>
      </c>
      <c r="AJ381">
        <v>1</v>
      </c>
      <c r="AK381">
        <v>19</v>
      </c>
      <c r="AL381" t="s">
        <v>502</v>
      </c>
      <c r="AM381" t="s">
        <v>372</v>
      </c>
      <c r="AN381" t="s">
        <v>503</v>
      </c>
      <c r="AO381" t="s">
        <v>676</v>
      </c>
      <c r="AP381" t="s">
        <v>677</v>
      </c>
      <c r="AQ381" t="s">
        <v>74</v>
      </c>
      <c r="AR381" t="s">
        <v>678</v>
      </c>
      <c r="AS381" t="s">
        <v>679</v>
      </c>
      <c r="AT381" t="s">
        <v>5838</v>
      </c>
      <c r="AU381">
        <v>2017</v>
      </c>
      <c r="AV381">
        <v>473</v>
      </c>
      <c r="AW381" t="s">
        <v>74</v>
      </c>
      <c r="AX381" t="s">
        <v>74</v>
      </c>
      <c r="AY381" t="s">
        <v>74</v>
      </c>
      <c r="AZ381" t="s">
        <v>74</v>
      </c>
      <c r="BA381" t="s">
        <v>74</v>
      </c>
      <c r="BB381">
        <v>164</v>
      </c>
      <c r="BC381">
        <v>176</v>
      </c>
      <c r="BD381" t="s">
        <v>74</v>
      </c>
      <c r="BE381" t="s">
        <v>7816</v>
      </c>
      <c r="BF381" t="str">
        <f>HYPERLINK("http://dx.doi.org/10.1016/j.epsl.2017.06.002","http://dx.doi.org/10.1016/j.epsl.2017.06.002")</f>
        <v>http://dx.doi.org/10.1016/j.epsl.2017.06.002</v>
      </c>
      <c r="BG381" t="s">
        <v>74</v>
      </c>
      <c r="BH381" t="s">
        <v>74</v>
      </c>
      <c r="BI381">
        <v>13</v>
      </c>
      <c r="BJ381" t="s">
        <v>509</v>
      </c>
      <c r="BK381" t="s">
        <v>101</v>
      </c>
      <c r="BL381" t="s">
        <v>509</v>
      </c>
      <c r="BM381" t="s">
        <v>7817</v>
      </c>
      <c r="BN381" t="s">
        <v>74</v>
      </c>
      <c r="BO381" t="s">
        <v>1581</v>
      </c>
      <c r="BP381" t="s">
        <v>74</v>
      </c>
      <c r="BQ381" t="s">
        <v>74</v>
      </c>
      <c r="BR381" t="s">
        <v>105</v>
      </c>
      <c r="BS381" t="s">
        <v>7818</v>
      </c>
      <c r="BT381" t="str">
        <f>HYPERLINK("https%3A%2F%2Fwww.webofscience.com%2Fwos%2Fwoscc%2Ffull-record%2FWOS:000406571500017","View Full Record in Web of Science")</f>
        <v>View Full Record in Web of Science</v>
      </c>
    </row>
    <row r="382" spans="1:72" x14ac:dyDescent="0.15">
      <c r="A382" t="s">
        <v>72</v>
      </c>
      <c r="B382" t="s">
        <v>7819</v>
      </c>
      <c r="C382" t="s">
        <v>74</v>
      </c>
      <c r="D382" t="s">
        <v>74</v>
      </c>
      <c r="E382" t="s">
        <v>74</v>
      </c>
      <c r="F382" t="s">
        <v>7820</v>
      </c>
      <c r="G382" t="s">
        <v>74</v>
      </c>
      <c r="H382" t="s">
        <v>74</v>
      </c>
      <c r="I382" t="s">
        <v>7821</v>
      </c>
      <c r="J382" t="s">
        <v>7822</v>
      </c>
      <c r="K382" t="s">
        <v>74</v>
      </c>
      <c r="L382" t="s">
        <v>74</v>
      </c>
      <c r="M382" t="s">
        <v>78</v>
      </c>
      <c r="N382" t="s">
        <v>79</v>
      </c>
      <c r="O382" t="s">
        <v>74</v>
      </c>
      <c r="P382" t="s">
        <v>74</v>
      </c>
      <c r="Q382" t="s">
        <v>74</v>
      </c>
      <c r="R382" t="s">
        <v>74</v>
      </c>
      <c r="S382" t="s">
        <v>74</v>
      </c>
      <c r="T382" t="s">
        <v>7823</v>
      </c>
      <c r="U382" t="s">
        <v>7824</v>
      </c>
      <c r="V382" t="s">
        <v>7825</v>
      </c>
      <c r="W382" t="s">
        <v>7826</v>
      </c>
      <c r="X382" t="s">
        <v>7827</v>
      </c>
      <c r="Y382" t="s">
        <v>7828</v>
      </c>
      <c r="Z382" t="s">
        <v>7829</v>
      </c>
      <c r="AA382" t="s">
        <v>74</v>
      </c>
      <c r="AB382" t="s">
        <v>74</v>
      </c>
      <c r="AC382" t="s">
        <v>7830</v>
      </c>
      <c r="AD382" t="s">
        <v>7831</v>
      </c>
      <c r="AE382" t="s">
        <v>7832</v>
      </c>
      <c r="AF382" t="s">
        <v>74</v>
      </c>
      <c r="AG382">
        <v>44</v>
      </c>
      <c r="AH382">
        <v>36</v>
      </c>
      <c r="AI382">
        <v>36</v>
      </c>
      <c r="AJ382">
        <v>4</v>
      </c>
      <c r="AK382">
        <v>65</v>
      </c>
      <c r="AL382" t="s">
        <v>1338</v>
      </c>
      <c r="AM382" t="s">
        <v>1339</v>
      </c>
      <c r="AN382" t="s">
        <v>1340</v>
      </c>
      <c r="AO382" t="s">
        <v>7833</v>
      </c>
      <c r="AP382" t="s">
        <v>7834</v>
      </c>
      <c r="AQ382" t="s">
        <v>74</v>
      </c>
      <c r="AR382" t="s">
        <v>7835</v>
      </c>
      <c r="AS382" t="s">
        <v>7836</v>
      </c>
      <c r="AT382" t="s">
        <v>5544</v>
      </c>
      <c r="AU382">
        <v>2017</v>
      </c>
      <c r="AV382">
        <v>18</v>
      </c>
      <c r="AW382">
        <v>3</v>
      </c>
      <c r="AX382" t="s">
        <v>74</v>
      </c>
      <c r="AY382" t="s">
        <v>74</v>
      </c>
      <c r="AZ382" t="s">
        <v>74</v>
      </c>
      <c r="BA382" t="s">
        <v>74</v>
      </c>
      <c r="BB382">
        <v>214</v>
      </c>
      <c r="BC382">
        <v>222</v>
      </c>
      <c r="BD382" t="s">
        <v>74</v>
      </c>
      <c r="BE382" t="s">
        <v>7837</v>
      </c>
      <c r="BF382" t="str">
        <f>HYPERLINK("http://dx.doi.org/10.1111/emr.12278","http://dx.doi.org/10.1111/emr.12278")</f>
        <v>http://dx.doi.org/10.1111/emr.12278</v>
      </c>
      <c r="BG382" t="s">
        <v>74</v>
      </c>
      <c r="BH382" t="s">
        <v>74</v>
      </c>
      <c r="BI382">
        <v>9</v>
      </c>
      <c r="BJ382" t="s">
        <v>1047</v>
      </c>
      <c r="BK382" t="s">
        <v>101</v>
      </c>
      <c r="BL382" t="s">
        <v>1048</v>
      </c>
      <c r="BM382" t="s">
        <v>7838</v>
      </c>
      <c r="BN382" t="s">
        <v>74</v>
      </c>
      <c r="BO382" t="s">
        <v>74</v>
      </c>
      <c r="BP382" t="s">
        <v>74</v>
      </c>
      <c r="BQ382" t="s">
        <v>74</v>
      </c>
      <c r="BR382" t="s">
        <v>105</v>
      </c>
      <c r="BS382" t="s">
        <v>7839</v>
      </c>
      <c r="BT382" t="str">
        <f>HYPERLINK("https%3A%2F%2Fwww.webofscience.com%2Fwos%2Fwoscc%2Ffull-record%2FWOS:000410771800008","View Full Record in Web of Science")</f>
        <v>View Full Record in Web of Science</v>
      </c>
    </row>
    <row r="383" spans="1:72" x14ac:dyDescent="0.15">
      <c r="A383" t="s">
        <v>72</v>
      </c>
      <c r="B383" t="s">
        <v>7840</v>
      </c>
      <c r="C383" t="s">
        <v>74</v>
      </c>
      <c r="D383" t="s">
        <v>74</v>
      </c>
      <c r="E383" t="s">
        <v>74</v>
      </c>
      <c r="F383" t="s">
        <v>7841</v>
      </c>
      <c r="G383" t="s">
        <v>74</v>
      </c>
      <c r="H383" t="s">
        <v>74</v>
      </c>
      <c r="I383" t="s">
        <v>7842</v>
      </c>
      <c r="J383" t="s">
        <v>7843</v>
      </c>
      <c r="K383" t="s">
        <v>74</v>
      </c>
      <c r="L383" t="s">
        <v>74</v>
      </c>
      <c r="M383" t="s">
        <v>78</v>
      </c>
      <c r="N383" t="s">
        <v>79</v>
      </c>
      <c r="O383" t="s">
        <v>74</v>
      </c>
      <c r="P383" t="s">
        <v>74</v>
      </c>
      <c r="Q383" t="s">
        <v>74</v>
      </c>
      <c r="R383" t="s">
        <v>74</v>
      </c>
      <c r="S383" t="s">
        <v>74</v>
      </c>
      <c r="T383" t="s">
        <v>7844</v>
      </c>
      <c r="U383" t="s">
        <v>7845</v>
      </c>
      <c r="V383" t="s">
        <v>7846</v>
      </c>
      <c r="W383" t="s">
        <v>7847</v>
      </c>
      <c r="X383" t="s">
        <v>7848</v>
      </c>
      <c r="Y383" t="s">
        <v>7849</v>
      </c>
      <c r="Z383" t="s">
        <v>7850</v>
      </c>
      <c r="AA383" t="s">
        <v>7851</v>
      </c>
      <c r="AB383" t="s">
        <v>7852</v>
      </c>
      <c r="AC383" t="s">
        <v>7853</v>
      </c>
      <c r="AD383" t="s">
        <v>7854</v>
      </c>
      <c r="AE383" t="s">
        <v>7855</v>
      </c>
      <c r="AF383" t="s">
        <v>74</v>
      </c>
      <c r="AG383">
        <v>54</v>
      </c>
      <c r="AH383">
        <v>36</v>
      </c>
      <c r="AI383">
        <v>37</v>
      </c>
      <c r="AJ383">
        <v>2</v>
      </c>
      <c r="AK383">
        <v>57</v>
      </c>
      <c r="AL383" t="s">
        <v>1338</v>
      </c>
      <c r="AM383" t="s">
        <v>1339</v>
      </c>
      <c r="AN383" t="s">
        <v>1340</v>
      </c>
      <c r="AO383" t="s">
        <v>7856</v>
      </c>
      <c r="AP383" t="s">
        <v>7857</v>
      </c>
      <c r="AQ383" t="s">
        <v>74</v>
      </c>
      <c r="AR383" t="s">
        <v>7843</v>
      </c>
      <c r="AS383" t="s">
        <v>1047</v>
      </c>
      <c r="AT383" t="s">
        <v>5544</v>
      </c>
      <c r="AU383">
        <v>2017</v>
      </c>
      <c r="AV383">
        <v>98</v>
      </c>
      <c r="AW383">
        <v>9</v>
      </c>
      <c r="AX383" t="s">
        <v>74</v>
      </c>
      <c r="AY383" t="s">
        <v>74</v>
      </c>
      <c r="AZ383" t="s">
        <v>74</v>
      </c>
      <c r="BA383" t="s">
        <v>74</v>
      </c>
      <c r="BB383">
        <v>2425</v>
      </c>
      <c r="BC383">
        <v>2436</v>
      </c>
      <c r="BD383" t="s">
        <v>74</v>
      </c>
      <c r="BE383" t="s">
        <v>7858</v>
      </c>
      <c r="BF383" t="str">
        <f>HYPERLINK("http://dx.doi.org/10.1002/ecy.1932","http://dx.doi.org/10.1002/ecy.1932")</f>
        <v>http://dx.doi.org/10.1002/ecy.1932</v>
      </c>
      <c r="BG383" t="s">
        <v>74</v>
      </c>
      <c r="BH383" t="s">
        <v>74</v>
      </c>
      <c r="BI383">
        <v>12</v>
      </c>
      <c r="BJ383" t="s">
        <v>1047</v>
      </c>
      <c r="BK383" t="s">
        <v>101</v>
      </c>
      <c r="BL383" t="s">
        <v>1048</v>
      </c>
      <c r="BM383" t="s">
        <v>7859</v>
      </c>
      <c r="BN383">
        <v>28628212</v>
      </c>
      <c r="BO383" t="s">
        <v>7860</v>
      </c>
      <c r="BP383" t="s">
        <v>74</v>
      </c>
      <c r="BQ383" t="s">
        <v>74</v>
      </c>
      <c r="BR383" t="s">
        <v>105</v>
      </c>
      <c r="BS383" t="s">
        <v>7861</v>
      </c>
      <c r="BT383" t="str">
        <f>HYPERLINK("https%3A%2F%2Fwww.webofscience.com%2Fwos%2Fwoscc%2Ffull-record%2FWOS:000408836600020","View Full Record in Web of Science")</f>
        <v>View Full Record in Web of Science</v>
      </c>
    </row>
    <row r="384" spans="1:72" x14ac:dyDescent="0.15">
      <c r="A384" t="s">
        <v>72</v>
      </c>
      <c r="B384" t="s">
        <v>7862</v>
      </c>
      <c r="C384" t="s">
        <v>74</v>
      </c>
      <c r="D384" t="s">
        <v>74</v>
      </c>
      <c r="E384" t="s">
        <v>74</v>
      </c>
      <c r="F384" t="s">
        <v>7863</v>
      </c>
      <c r="G384" t="s">
        <v>74</v>
      </c>
      <c r="H384" t="s">
        <v>74</v>
      </c>
      <c r="I384" t="s">
        <v>7864</v>
      </c>
      <c r="J384" t="s">
        <v>7843</v>
      </c>
      <c r="K384" t="s">
        <v>74</v>
      </c>
      <c r="L384" t="s">
        <v>74</v>
      </c>
      <c r="M384" t="s">
        <v>78</v>
      </c>
      <c r="N384" t="s">
        <v>2737</v>
      </c>
      <c r="O384" t="s">
        <v>74</v>
      </c>
      <c r="P384" t="s">
        <v>74</v>
      </c>
      <c r="Q384" t="s">
        <v>74</v>
      </c>
      <c r="R384" t="s">
        <v>74</v>
      </c>
      <c r="S384" t="s">
        <v>74</v>
      </c>
      <c r="T384" t="s">
        <v>74</v>
      </c>
      <c r="U384" t="s">
        <v>74</v>
      </c>
      <c r="V384" t="s">
        <v>74</v>
      </c>
      <c r="W384" t="s">
        <v>7865</v>
      </c>
      <c r="X384" t="s">
        <v>7866</v>
      </c>
      <c r="Y384" t="s">
        <v>7867</v>
      </c>
      <c r="Z384" t="s">
        <v>7868</v>
      </c>
      <c r="AA384" t="s">
        <v>7869</v>
      </c>
      <c r="AB384" t="s">
        <v>7870</v>
      </c>
      <c r="AC384" t="s">
        <v>7871</v>
      </c>
      <c r="AD384" t="s">
        <v>7872</v>
      </c>
      <c r="AE384" t="s">
        <v>7873</v>
      </c>
      <c r="AF384" t="s">
        <v>74</v>
      </c>
      <c r="AG384">
        <v>0</v>
      </c>
      <c r="AH384">
        <v>3</v>
      </c>
      <c r="AI384">
        <v>4</v>
      </c>
      <c r="AJ384">
        <v>1</v>
      </c>
      <c r="AK384">
        <v>14</v>
      </c>
      <c r="AL384" t="s">
        <v>1338</v>
      </c>
      <c r="AM384" t="s">
        <v>1339</v>
      </c>
      <c r="AN384" t="s">
        <v>1340</v>
      </c>
      <c r="AO384" t="s">
        <v>7856</v>
      </c>
      <c r="AP384" t="s">
        <v>7857</v>
      </c>
      <c r="AQ384" t="s">
        <v>74</v>
      </c>
      <c r="AR384" t="s">
        <v>7843</v>
      </c>
      <c r="AS384" t="s">
        <v>1047</v>
      </c>
      <c r="AT384" t="s">
        <v>5544</v>
      </c>
      <c r="AU384">
        <v>2017</v>
      </c>
      <c r="AV384">
        <v>98</v>
      </c>
      <c r="AW384">
        <v>9</v>
      </c>
      <c r="AX384" t="s">
        <v>74</v>
      </c>
      <c r="AY384" t="s">
        <v>74</v>
      </c>
      <c r="AZ384" t="s">
        <v>74</v>
      </c>
      <c r="BA384" t="s">
        <v>74</v>
      </c>
      <c r="BB384">
        <v>2485</v>
      </c>
      <c r="BC384">
        <v>2487</v>
      </c>
      <c r="BD384" t="s">
        <v>74</v>
      </c>
      <c r="BE384" t="s">
        <v>7874</v>
      </c>
      <c r="BF384" t="str">
        <f>HYPERLINK("http://dx.doi.org/10.1002/ecy.1873","http://dx.doi.org/10.1002/ecy.1873")</f>
        <v>http://dx.doi.org/10.1002/ecy.1873</v>
      </c>
      <c r="BG384" t="s">
        <v>74</v>
      </c>
      <c r="BH384" t="s">
        <v>74</v>
      </c>
      <c r="BI384">
        <v>3</v>
      </c>
      <c r="BJ384" t="s">
        <v>1047</v>
      </c>
      <c r="BK384" t="s">
        <v>101</v>
      </c>
      <c r="BL384" t="s">
        <v>1048</v>
      </c>
      <c r="BM384" t="s">
        <v>7859</v>
      </c>
      <c r="BN384">
        <v>28632900</v>
      </c>
      <c r="BO384" t="s">
        <v>74</v>
      </c>
      <c r="BP384" t="s">
        <v>74</v>
      </c>
      <c r="BQ384" t="s">
        <v>74</v>
      </c>
      <c r="BR384" t="s">
        <v>105</v>
      </c>
      <c r="BS384" t="s">
        <v>7875</v>
      </c>
      <c r="BT384" t="str">
        <f>HYPERLINK("https%3A%2F%2Fwww.webofscience.com%2Fwos%2Fwoscc%2Ffull-record%2FWOS:000408836600027","View Full Record in Web of Science")</f>
        <v>View Full Record in Web of Science</v>
      </c>
    </row>
    <row r="385" spans="1:72" x14ac:dyDescent="0.15">
      <c r="A385" t="s">
        <v>72</v>
      </c>
      <c r="B385" t="s">
        <v>7876</v>
      </c>
      <c r="C385" t="s">
        <v>74</v>
      </c>
      <c r="D385" t="s">
        <v>74</v>
      </c>
      <c r="E385" t="s">
        <v>74</v>
      </c>
      <c r="F385" t="s">
        <v>7877</v>
      </c>
      <c r="G385" t="s">
        <v>74</v>
      </c>
      <c r="H385" t="s">
        <v>74</v>
      </c>
      <c r="I385" t="s">
        <v>7878</v>
      </c>
      <c r="J385" t="s">
        <v>7879</v>
      </c>
      <c r="K385" t="s">
        <v>74</v>
      </c>
      <c r="L385" t="s">
        <v>74</v>
      </c>
      <c r="M385" t="s">
        <v>78</v>
      </c>
      <c r="N385" t="s">
        <v>79</v>
      </c>
      <c r="O385" t="s">
        <v>74</v>
      </c>
      <c r="P385" t="s">
        <v>74</v>
      </c>
      <c r="Q385" t="s">
        <v>74</v>
      </c>
      <c r="R385" t="s">
        <v>74</v>
      </c>
      <c r="S385" t="s">
        <v>74</v>
      </c>
      <c r="T385" t="s">
        <v>7880</v>
      </c>
      <c r="U385" t="s">
        <v>7881</v>
      </c>
      <c r="V385" t="s">
        <v>7882</v>
      </c>
      <c r="W385" t="s">
        <v>7883</v>
      </c>
      <c r="X385" t="s">
        <v>7884</v>
      </c>
      <c r="Y385" t="s">
        <v>7885</v>
      </c>
      <c r="Z385" t="s">
        <v>7886</v>
      </c>
      <c r="AA385" t="s">
        <v>7887</v>
      </c>
      <c r="AB385" t="s">
        <v>7888</v>
      </c>
      <c r="AC385" t="s">
        <v>7889</v>
      </c>
      <c r="AD385" t="s">
        <v>7889</v>
      </c>
      <c r="AE385" t="s">
        <v>7890</v>
      </c>
      <c r="AF385" t="s">
        <v>74</v>
      </c>
      <c r="AG385">
        <v>63</v>
      </c>
      <c r="AH385">
        <v>1</v>
      </c>
      <c r="AI385">
        <v>1</v>
      </c>
      <c r="AJ385">
        <v>0</v>
      </c>
      <c r="AK385">
        <v>2</v>
      </c>
      <c r="AL385" t="s">
        <v>1338</v>
      </c>
      <c r="AM385" t="s">
        <v>1339</v>
      </c>
      <c r="AN385" t="s">
        <v>1340</v>
      </c>
      <c r="AO385" t="s">
        <v>7891</v>
      </c>
      <c r="AP385" t="s">
        <v>7892</v>
      </c>
      <c r="AQ385" t="s">
        <v>74</v>
      </c>
      <c r="AR385" t="s">
        <v>7893</v>
      </c>
      <c r="AS385" t="s">
        <v>7894</v>
      </c>
      <c r="AT385" t="s">
        <v>5544</v>
      </c>
      <c r="AU385">
        <v>2017</v>
      </c>
      <c r="AV385">
        <v>36</v>
      </c>
      <c r="AW385">
        <v>3</v>
      </c>
      <c r="AX385" t="s">
        <v>74</v>
      </c>
      <c r="AY385" t="s">
        <v>74</v>
      </c>
      <c r="AZ385" t="s">
        <v>74</v>
      </c>
      <c r="BA385" t="s">
        <v>74</v>
      </c>
      <c r="BB385">
        <v>317</v>
      </c>
      <c r="BC385">
        <v>334</v>
      </c>
      <c r="BD385" t="s">
        <v>74</v>
      </c>
      <c r="BE385" t="s">
        <v>7895</v>
      </c>
      <c r="BF385" t="str">
        <f>HYPERLINK("http://dx.doi.org/10.1111/1759-3441.12182","http://dx.doi.org/10.1111/1759-3441.12182")</f>
        <v>http://dx.doi.org/10.1111/1759-3441.12182</v>
      </c>
      <c r="BG385" t="s">
        <v>74</v>
      </c>
      <c r="BH385" t="s">
        <v>74</v>
      </c>
      <c r="BI385">
        <v>18</v>
      </c>
      <c r="BJ385" t="s">
        <v>7896</v>
      </c>
      <c r="BK385" t="s">
        <v>3172</v>
      </c>
      <c r="BL385" t="s">
        <v>7897</v>
      </c>
      <c r="BM385" t="s">
        <v>7898</v>
      </c>
      <c r="BN385" t="s">
        <v>74</v>
      </c>
      <c r="BO385" t="s">
        <v>74</v>
      </c>
      <c r="BP385" t="s">
        <v>74</v>
      </c>
      <c r="BQ385" t="s">
        <v>74</v>
      </c>
      <c r="BR385" t="s">
        <v>105</v>
      </c>
      <c r="BS385" t="s">
        <v>7899</v>
      </c>
      <c r="BT385" t="str">
        <f>HYPERLINK("https%3A%2F%2Fwww.webofscience.com%2Fwos%2Fwoscc%2Ffull-record%2FWOS:000408896700007","View Full Record in Web of Science")</f>
        <v>View Full Record in Web of Science</v>
      </c>
    </row>
    <row r="386" spans="1:72" x14ac:dyDescent="0.15">
      <c r="A386" t="s">
        <v>72</v>
      </c>
      <c r="B386" t="s">
        <v>7900</v>
      </c>
      <c r="C386" t="s">
        <v>74</v>
      </c>
      <c r="D386" t="s">
        <v>74</v>
      </c>
      <c r="E386" t="s">
        <v>74</v>
      </c>
      <c r="F386" t="s">
        <v>7901</v>
      </c>
      <c r="G386" t="s">
        <v>74</v>
      </c>
      <c r="H386" t="s">
        <v>74</v>
      </c>
      <c r="I386" t="s">
        <v>7902</v>
      </c>
      <c r="J386" t="s">
        <v>7903</v>
      </c>
      <c r="K386" t="s">
        <v>74</v>
      </c>
      <c r="L386" t="s">
        <v>74</v>
      </c>
      <c r="M386" t="s">
        <v>78</v>
      </c>
      <c r="N386" t="s">
        <v>79</v>
      </c>
      <c r="O386" t="s">
        <v>74</v>
      </c>
      <c r="P386" t="s">
        <v>74</v>
      </c>
      <c r="Q386" t="s">
        <v>74</v>
      </c>
      <c r="R386" t="s">
        <v>74</v>
      </c>
      <c r="S386" t="s">
        <v>74</v>
      </c>
      <c r="T386" t="s">
        <v>7904</v>
      </c>
      <c r="U386" t="s">
        <v>7905</v>
      </c>
      <c r="V386" t="s">
        <v>7906</v>
      </c>
      <c r="W386" t="s">
        <v>7907</v>
      </c>
      <c r="X386" t="s">
        <v>7908</v>
      </c>
      <c r="Y386" t="s">
        <v>7909</v>
      </c>
      <c r="Z386" t="s">
        <v>7910</v>
      </c>
      <c r="AA386" t="s">
        <v>7911</v>
      </c>
      <c r="AB386" t="s">
        <v>7912</v>
      </c>
      <c r="AC386" t="s">
        <v>7913</v>
      </c>
      <c r="AD386" t="s">
        <v>7914</v>
      </c>
      <c r="AE386" t="s">
        <v>7915</v>
      </c>
      <c r="AF386" t="s">
        <v>74</v>
      </c>
      <c r="AG386">
        <v>65</v>
      </c>
      <c r="AH386">
        <v>18</v>
      </c>
      <c r="AI386">
        <v>18</v>
      </c>
      <c r="AJ386">
        <v>1</v>
      </c>
      <c r="AK386">
        <v>29</v>
      </c>
      <c r="AL386" t="s">
        <v>208</v>
      </c>
      <c r="AM386" t="s">
        <v>209</v>
      </c>
      <c r="AN386" t="s">
        <v>2659</v>
      </c>
      <c r="AO386" t="s">
        <v>7916</v>
      </c>
      <c r="AP386" t="s">
        <v>7917</v>
      </c>
      <c r="AQ386" t="s">
        <v>74</v>
      </c>
      <c r="AR386" t="s">
        <v>7918</v>
      </c>
      <c r="AS386" t="s">
        <v>7919</v>
      </c>
      <c r="AT386" t="s">
        <v>5544</v>
      </c>
      <c r="AU386">
        <v>2017</v>
      </c>
      <c r="AV386">
        <v>100</v>
      </c>
      <c r="AW386">
        <v>9</v>
      </c>
      <c r="AX386" t="s">
        <v>74</v>
      </c>
      <c r="AY386" t="s">
        <v>74</v>
      </c>
      <c r="AZ386" t="s">
        <v>74</v>
      </c>
      <c r="BA386" t="s">
        <v>74</v>
      </c>
      <c r="BB386">
        <v>1121</v>
      </c>
      <c r="BC386">
        <v>1137</v>
      </c>
      <c r="BD386" t="s">
        <v>74</v>
      </c>
      <c r="BE386" t="s">
        <v>7920</v>
      </c>
      <c r="BF386" t="str">
        <f>HYPERLINK("http://dx.doi.org/10.1007/s10641-017-0632-z","http://dx.doi.org/10.1007/s10641-017-0632-z")</f>
        <v>http://dx.doi.org/10.1007/s10641-017-0632-z</v>
      </c>
      <c r="BG386" t="s">
        <v>74</v>
      </c>
      <c r="BH386" t="s">
        <v>74</v>
      </c>
      <c r="BI386">
        <v>17</v>
      </c>
      <c r="BJ386" t="s">
        <v>7921</v>
      </c>
      <c r="BK386" t="s">
        <v>101</v>
      </c>
      <c r="BL386" t="s">
        <v>4979</v>
      </c>
      <c r="BM386" t="s">
        <v>7922</v>
      </c>
      <c r="BN386" t="s">
        <v>74</v>
      </c>
      <c r="BO386" t="s">
        <v>74</v>
      </c>
      <c r="BP386" t="s">
        <v>74</v>
      </c>
      <c r="BQ386" t="s">
        <v>74</v>
      </c>
      <c r="BR386" t="s">
        <v>105</v>
      </c>
      <c r="BS386" t="s">
        <v>7923</v>
      </c>
      <c r="BT386" t="str">
        <f>HYPERLINK("https%3A%2F%2Fwww.webofscience.com%2Fwos%2Fwoscc%2Ffull-record%2FWOS:000412126400007","View Full Record in Web of Science")</f>
        <v>View Full Record in Web of Science</v>
      </c>
    </row>
    <row r="387" spans="1:72" x14ac:dyDescent="0.15">
      <c r="A387" t="s">
        <v>72</v>
      </c>
      <c r="B387" t="s">
        <v>7924</v>
      </c>
      <c r="C387" t="s">
        <v>74</v>
      </c>
      <c r="D387" t="s">
        <v>74</v>
      </c>
      <c r="E387" t="s">
        <v>74</v>
      </c>
      <c r="F387" t="s">
        <v>7925</v>
      </c>
      <c r="G387" t="s">
        <v>74</v>
      </c>
      <c r="H387" t="s">
        <v>74</v>
      </c>
      <c r="I387" t="s">
        <v>7926</v>
      </c>
      <c r="J387" t="s">
        <v>7496</v>
      </c>
      <c r="K387" t="s">
        <v>74</v>
      </c>
      <c r="L387" t="s">
        <v>74</v>
      </c>
      <c r="M387" t="s">
        <v>78</v>
      </c>
      <c r="N387" t="s">
        <v>79</v>
      </c>
      <c r="O387" t="s">
        <v>74</v>
      </c>
      <c r="P387" t="s">
        <v>74</v>
      </c>
      <c r="Q387" t="s">
        <v>74</v>
      </c>
      <c r="R387" t="s">
        <v>74</v>
      </c>
      <c r="S387" t="s">
        <v>74</v>
      </c>
      <c r="T387" t="s">
        <v>7927</v>
      </c>
      <c r="U387" t="s">
        <v>7928</v>
      </c>
      <c r="V387" t="s">
        <v>7929</v>
      </c>
      <c r="W387" t="s">
        <v>7930</v>
      </c>
      <c r="X387" t="s">
        <v>7931</v>
      </c>
      <c r="Y387" t="s">
        <v>7932</v>
      </c>
      <c r="Z387" t="s">
        <v>7933</v>
      </c>
      <c r="AA387" t="s">
        <v>7934</v>
      </c>
      <c r="AB387" t="s">
        <v>7935</v>
      </c>
      <c r="AC387" t="s">
        <v>7936</v>
      </c>
      <c r="AD387" t="s">
        <v>7937</v>
      </c>
      <c r="AE387" t="s">
        <v>7938</v>
      </c>
      <c r="AF387" t="s">
        <v>74</v>
      </c>
      <c r="AG387">
        <v>71</v>
      </c>
      <c r="AH387">
        <v>19</v>
      </c>
      <c r="AI387">
        <v>22</v>
      </c>
      <c r="AJ387">
        <v>1</v>
      </c>
      <c r="AK387">
        <v>16</v>
      </c>
      <c r="AL387" t="s">
        <v>7508</v>
      </c>
      <c r="AM387" t="s">
        <v>7509</v>
      </c>
      <c r="AN387" t="s">
        <v>7939</v>
      </c>
      <c r="AO387" t="s">
        <v>7511</v>
      </c>
      <c r="AP387" t="s">
        <v>7512</v>
      </c>
      <c r="AQ387" t="s">
        <v>74</v>
      </c>
      <c r="AR387" t="s">
        <v>7496</v>
      </c>
      <c r="AS387" t="s">
        <v>7513</v>
      </c>
      <c r="AT387" t="s">
        <v>5544</v>
      </c>
      <c r="AU387">
        <v>2017</v>
      </c>
      <c r="AV387">
        <v>21</v>
      </c>
      <c r="AW387">
        <v>5</v>
      </c>
      <c r="AX387" t="s">
        <v>74</v>
      </c>
      <c r="AY387" t="s">
        <v>74</v>
      </c>
      <c r="AZ387" t="s">
        <v>74</v>
      </c>
      <c r="BA387" t="s">
        <v>74</v>
      </c>
      <c r="BB387">
        <v>851</v>
      </c>
      <c r="BC387">
        <v>860</v>
      </c>
      <c r="BD387" t="s">
        <v>74</v>
      </c>
      <c r="BE387" t="s">
        <v>7940</v>
      </c>
      <c r="BF387" t="str">
        <f>HYPERLINK("http://dx.doi.org/10.1007/s00792-017-0947-x","http://dx.doi.org/10.1007/s00792-017-0947-x")</f>
        <v>http://dx.doi.org/10.1007/s00792-017-0947-x</v>
      </c>
      <c r="BG387" t="s">
        <v>74</v>
      </c>
      <c r="BH387" t="s">
        <v>74</v>
      </c>
      <c r="BI387">
        <v>10</v>
      </c>
      <c r="BJ387" t="s">
        <v>3584</v>
      </c>
      <c r="BK387" t="s">
        <v>101</v>
      </c>
      <c r="BL387" t="s">
        <v>3584</v>
      </c>
      <c r="BM387" t="s">
        <v>7515</v>
      </c>
      <c r="BN387">
        <v>28660362</v>
      </c>
      <c r="BO387" t="s">
        <v>74</v>
      </c>
      <c r="BP387" t="s">
        <v>74</v>
      </c>
      <c r="BQ387" t="s">
        <v>74</v>
      </c>
      <c r="BR387" t="s">
        <v>105</v>
      </c>
      <c r="BS387" t="s">
        <v>7941</v>
      </c>
      <c r="BT387" t="str">
        <f>HYPERLINK("https%3A%2F%2Fwww.webofscience.com%2Fwos%2Fwoscc%2Ffull-record%2FWOS:000408230000003","View Full Record in Web of Science")</f>
        <v>View Full Record in Web of Science</v>
      </c>
    </row>
    <row r="388" spans="1:72" x14ac:dyDescent="0.15">
      <c r="A388" t="s">
        <v>72</v>
      </c>
      <c r="B388" t="s">
        <v>7942</v>
      </c>
      <c r="C388" t="s">
        <v>74</v>
      </c>
      <c r="D388" t="s">
        <v>74</v>
      </c>
      <c r="E388" t="s">
        <v>74</v>
      </c>
      <c r="F388" t="s">
        <v>7943</v>
      </c>
      <c r="G388" t="s">
        <v>74</v>
      </c>
      <c r="H388" t="s">
        <v>74</v>
      </c>
      <c r="I388" t="s">
        <v>7944</v>
      </c>
      <c r="J388" t="s">
        <v>7945</v>
      </c>
      <c r="K388" t="s">
        <v>74</v>
      </c>
      <c r="L388" t="s">
        <v>74</v>
      </c>
      <c r="M388" t="s">
        <v>78</v>
      </c>
      <c r="N388" t="s">
        <v>79</v>
      </c>
      <c r="O388" t="s">
        <v>74</v>
      </c>
      <c r="P388" t="s">
        <v>74</v>
      </c>
      <c r="Q388" t="s">
        <v>74</v>
      </c>
      <c r="R388" t="s">
        <v>74</v>
      </c>
      <c r="S388" t="s">
        <v>74</v>
      </c>
      <c r="T388" t="s">
        <v>7946</v>
      </c>
      <c r="U388" t="s">
        <v>7947</v>
      </c>
      <c r="V388" t="s">
        <v>7948</v>
      </c>
      <c r="W388" t="s">
        <v>7949</v>
      </c>
      <c r="X388" t="s">
        <v>7950</v>
      </c>
      <c r="Y388" t="s">
        <v>7951</v>
      </c>
      <c r="Z388" t="s">
        <v>7952</v>
      </c>
      <c r="AA388" t="s">
        <v>7953</v>
      </c>
      <c r="AB388" t="s">
        <v>7954</v>
      </c>
      <c r="AC388" t="s">
        <v>7955</v>
      </c>
      <c r="AD388" t="s">
        <v>7955</v>
      </c>
      <c r="AE388" t="s">
        <v>7956</v>
      </c>
      <c r="AF388" t="s">
        <v>74</v>
      </c>
      <c r="AG388">
        <v>55</v>
      </c>
      <c r="AH388">
        <v>19</v>
      </c>
      <c r="AI388">
        <v>19</v>
      </c>
      <c r="AJ388">
        <v>1</v>
      </c>
      <c r="AK388">
        <v>20</v>
      </c>
      <c r="AL388" t="s">
        <v>7508</v>
      </c>
      <c r="AM388" t="s">
        <v>7509</v>
      </c>
      <c r="AN388" t="s">
        <v>7510</v>
      </c>
      <c r="AO388" t="s">
        <v>7957</v>
      </c>
      <c r="AP388" t="s">
        <v>7958</v>
      </c>
      <c r="AQ388" t="s">
        <v>74</v>
      </c>
      <c r="AR388" t="s">
        <v>7959</v>
      </c>
      <c r="AS388" t="s">
        <v>7960</v>
      </c>
      <c r="AT388" t="s">
        <v>5544</v>
      </c>
      <c r="AU388">
        <v>2017</v>
      </c>
      <c r="AV388">
        <v>83</v>
      </c>
      <c r="AW388">
        <v>5</v>
      </c>
      <c r="AX388" t="s">
        <v>74</v>
      </c>
      <c r="AY388" t="s">
        <v>74</v>
      </c>
      <c r="AZ388" t="s">
        <v>74</v>
      </c>
      <c r="BA388" t="s">
        <v>74</v>
      </c>
      <c r="BB388">
        <v>725</v>
      </c>
      <c r="BC388">
        <v>734</v>
      </c>
      <c r="BD388" t="s">
        <v>74</v>
      </c>
      <c r="BE388" t="s">
        <v>7961</v>
      </c>
      <c r="BF388" t="str">
        <f>HYPERLINK("http://dx.doi.org/10.1007/s12562-017-1104-2","http://dx.doi.org/10.1007/s12562-017-1104-2")</f>
        <v>http://dx.doi.org/10.1007/s12562-017-1104-2</v>
      </c>
      <c r="BG388" t="s">
        <v>74</v>
      </c>
      <c r="BH388" t="s">
        <v>74</v>
      </c>
      <c r="BI388">
        <v>10</v>
      </c>
      <c r="BJ388" t="s">
        <v>7962</v>
      </c>
      <c r="BK388" t="s">
        <v>101</v>
      </c>
      <c r="BL388" t="s">
        <v>7962</v>
      </c>
      <c r="BM388" t="s">
        <v>7963</v>
      </c>
      <c r="BN388" t="s">
        <v>74</v>
      </c>
      <c r="BO388" t="s">
        <v>74</v>
      </c>
      <c r="BP388" t="s">
        <v>74</v>
      </c>
      <c r="BQ388" t="s">
        <v>74</v>
      </c>
      <c r="BR388" t="s">
        <v>105</v>
      </c>
      <c r="BS388" t="s">
        <v>7964</v>
      </c>
      <c r="BT388" t="str">
        <f>HYPERLINK("https%3A%2F%2Fwww.webofscience.com%2Fwos%2Fwoscc%2Ffull-record%2FWOS:000409038500007","View Full Record in Web of Science")</f>
        <v>View Full Record in Web of Science</v>
      </c>
    </row>
    <row r="389" spans="1:72" x14ac:dyDescent="0.15">
      <c r="A389" t="s">
        <v>72</v>
      </c>
      <c r="B389" t="s">
        <v>7965</v>
      </c>
      <c r="C389" t="s">
        <v>74</v>
      </c>
      <c r="D389" t="s">
        <v>74</v>
      </c>
      <c r="E389" t="s">
        <v>74</v>
      </c>
      <c r="F389" t="s">
        <v>7966</v>
      </c>
      <c r="G389" t="s">
        <v>74</v>
      </c>
      <c r="H389" t="s">
        <v>74</v>
      </c>
      <c r="I389" t="s">
        <v>7967</v>
      </c>
      <c r="J389" t="s">
        <v>7968</v>
      </c>
      <c r="K389" t="s">
        <v>74</v>
      </c>
      <c r="L389" t="s">
        <v>74</v>
      </c>
      <c r="M389" t="s">
        <v>78</v>
      </c>
      <c r="N389" t="s">
        <v>79</v>
      </c>
      <c r="O389" t="s">
        <v>74</v>
      </c>
      <c r="P389" t="s">
        <v>74</v>
      </c>
      <c r="Q389" t="s">
        <v>74</v>
      </c>
      <c r="R389" t="s">
        <v>74</v>
      </c>
      <c r="S389" t="s">
        <v>74</v>
      </c>
      <c r="T389" t="s">
        <v>74</v>
      </c>
      <c r="U389" t="s">
        <v>7969</v>
      </c>
      <c r="V389" t="s">
        <v>7970</v>
      </c>
      <c r="W389" t="s">
        <v>7971</v>
      </c>
      <c r="X389" t="s">
        <v>7972</v>
      </c>
      <c r="Y389" t="s">
        <v>7973</v>
      </c>
      <c r="Z389" t="s">
        <v>7974</v>
      </c>
      <c r="AA389" t="s">
        <v>74</v>
      </c>
      <c r="AB389" t="s">
        <v>7975</v>
      </c>
      <c r="AC389" t="s">
        <v>7976</v>
      </c>
      <c r="AD389" t="s">
        <v>7977</v>
      </c>
      <c r="AE389" t="s">
        <v>7978</v>
      </c>
      <c r="AF389" t="s">
        <v>74</v>
      </c>
      <c r="AG389">
        <v>47</v>
      </c>
      <c r="AH389">
        <v>8</v>
      </c>
      <c r="AI389">
        <v>10</v>
      </c>
      <c r="AJ389">
        <v>0</v>
      </c>
      <c r="AK389">
        <v>22</v>
      </c>
      <c r="AL389" t="s">
        <v>208</v>
      </c>
      <c r="AM389" t="s">
        <v>3872</v>
      </c>
      <c r="AN389" t="s">
        <v>3873</v>
      </c>
      <c r="AO389" t="s">
        <v>7979</v>
      </c>
      <c r="AP389" t="s">
        <v>7980</v>
      </c>
      <c r="AQ389" t="s">
        <v>74</v>
      </c>
      <c r="AR389" t="s">
        <v>7981</v>
      </c>
      <c r="AS389" t="s">
        <v>7982</v>
      </c>
      <c r="AT389" t="s">
        <v>5544</v>
      </c>
      <c r="AU389">
        <v>2017</v>
      </c>
      <c r="AV389">
        <v>62</v>
      </c>
      <c r="AW389">
        <v>5</v>
      </c>
      <c r="AX389" t="s">
        <v>74</v>
      </c>
      <c r="AY389" t="s">
        <v>74</v>
      </c>
      <c r="AZ389" t="s">
        <v>74</v>
      </c>
      <c r="BA389" t="s">
        <v>74</v>
      </c>
      <c r="BB389">
        <v>409</v>
      </c>
      <c r="BC389">
        <v>416</v>
      </c>
      <c r="BD389" t="s">
        <v>74</v>
      </c>
      <c r="BE389" t="s">
        <v>7983</v>
      </c>
      <c r="BF389" t="str">
        <f>HYPERLINK("http://dx.doi.org/10.1007/s12223-017-0511-1","http://dx.doi.org/10.1007/s12223-017-0511-1")</f>
        <v>http://dx.doi.org/10.1007/s12223-017-0511-1</v>
      </c>
      <c r="BG389" t="s">
        <v>74</v>
      </c>
      <c r="BH389" t="s">
        <v>74</v>
      </c>
      <c r="BI389">
        <v>8</v>
      </c>
      <c r="BJ389" t="s">
        <v>6657</v>
      </c>
      <c r="BK389" t="s">
        <v>101</v>
      </c>
      <c r="BL389" t="s">
        <v>6657</v>
      </c>
      <c r="BM389" t="s">
        <v>7984</v>
      </c>
      <c r="BN389">
        <v>28283945</v>
      </c>
      <c r="BO389" t="s">
        <v>74</v>
      </c>
      <c r="BP389" t="s">
        <v>74</v>
      </c>
      <c r="BQ389" t="s">
        <v>74</v>
      </c>
      <c r="BR389" t="s">
        <v>105</v>
      </c>
      <c r="BS389" t="s">
        <v>7985</v>
      </c>
      <c r="BT389" t="str">
        <f>HYPERLINK("https%3A%2F%2Fwww.webofscience.com%2Fwos%2Fwoscc%2Ffull-record%2FWOS:000409167900006","View Full Record in Web of Science")</f>
        <v>View Full Record in Web of Science</v>
      </c>
    </row>
    <row r="390" spans="1:72" x14ac:dyDescent="0.15">
      <c r="A390" t="s">
        <v>72</v>
      </c>
      <c r="B390" t="s">
        <v>7986</v>
      </c>
      <c r="C390" t="s">
        <v>74</v>
      </c>
      <c r="D390" t="s">
        <v>74</v>
      </c>
      <c r="E390" t="s">
        <v>74</v>
      </c>
      <c r="F390" t="s">
        <v>7987</v>
      </c>
      <c r="G390" t="s">
        <v>74</v>
      </c>
      <c r="H390" t="s">
        <v>74</v>
      </c>
      <c r="I390" t="s">
        <v>7988</v>
      </c>
      <c r="J390" t="s">
        <v>7989</v>
      </c>
      <c r="K390" t="s">
        <v>74</v>
      </c>
      <c r="L390" t="s">
        <v>74</v>
      </c>
      <c r="M390" t="s">
        <v>78</v>
      </c>
      <c r="N390" t="s">
        <v>79</v>
      </c>
      <c r="O390" t="s">
        <v>74</v>
      </c>
      <c r="P390" t="s">
        <v>74</v>
      </c>
      <c r="Q390" t="s">
        <v>74</v>
      </c>
      <c r="R390" t="s">
        <v>74</v>
      </c>
      <c r="S390" t="s">
        <v>74</v>
      </c>
      <c r="T390" t="s">
        <v>7990</v>
      </c>
      <c r="U390" t="s">
        <v>7991</v>
      </c>
      <c r="V390" t="s">
        <v>7992</v>
      </c>
      <c r="W390" t="s">
        <v>7993</v>
      </c>
      <c r="X390" t="s">
        <v>7994</v>
      </c>
      <c r="Y390" t="s">
        <v>7995</v>
      </c>
      <c r="Z390" t="s">
        <v>7996</v>
      </c>
      <c r="AA390" t="s">
        <v>7997</v>
      </c>
      <c r="AB390" t="s">
        <v>7998</v>
      </c>
      <c r="AC390" t="s">
        <v>7999</v>
      </c>
      <c r="AD390" t="s">
        <v>8000</v>
      </c>
      <c r="AE390" t="s">
        <v>8001</v>
      </c>
      <c r="AF390" t="s">
        <v>74</v>
      </c>
      <c r="AG390">
        <v>57</v>
      </c>
      <c r="AH390">
        <v>32</v>
      </c>
      <c r="AI390">
        <v>35</v>
      </c>
      <c r="AJ390">
        <v>2</v>
      </c>
      <c r="AK390">
        <v>46</v>
      </c>
      <c r="AL390" t="s">
        <v>1338</v>
      </c>
      <c r="AM390" t="s">
        <v>1339</v>
      </c>
      <c r="AN390" t="s">
        <v>1340</v>
      </c>
      <c r="AO390" t="s">
        <v>8002</v>
      </c>
      <c r="AP390" t="s">
        <v>8003</v>
      </c>
      <c r="AQ390" t="s">
        <v>74</v>
      </c>
      <c r="AR390" t="s">
        <v>8004</v>
      </c>
      <c r="AS390" t="s">
        <v>8005</v>
      </c>
      <c r="AT390" t="s">
        <v>5544</v>
      </c>
      <c r="AU390">
        <v>2017</v>
      </c>
      <c r="AV390">
        <v>31</v>
      </c>
      <c r="AW390">
        <v>9</v>
      </c>
      <c r="AX390" t="s">
        <v>74</v>
      </c>
      <c r="AY390" t="s">
        <v>74</v>
      </c>
      <c r="AZ390" t="s">
        <v>74</v>
      </c>
      <c r="BA390" t="s">
        <v>74</v>
      </c>
      <c r="BB390">
        <v>1750</v>
      </c>
      <c r="BC390">
        <v>1760</v>
      </c>
      <c r="BD390" t="s">
        <v>74</v>
      </c>
      <c r="BE390" t="s">
        <v>8006</v>
      </c>
      <c r="BF390" t="str">
        <f>HYPERLINK("http://dx.doi.org/10.1111/1365-2435.12873","http://dx.doi.org/10.1111/1365-2435.12873")</f>
        <v>http://dx.doi.org/10.1111/1365-2435.12873</v>
      </c>
      <c r="BG390" t="s">
        <v>74</v>
      </c>
      <c r="BH390" t="s">
        <v>74</v>
      </c>
      <c r="BI390">
        <v>11</v>
      </c>
      <c r="BJ390" t="s">
        <v>1047</v>
      </c>
      <c r="BK390" t="s">
        <v>101</v>
      </c>
      <c r="BL390" t="s">
        <v>1048</v>
      </c>
      <c r="BM390" t="s">
        <v>8007</v>
      </c>
      <c r="BN390" t="s">
        <v>74</v>
      </c>
      <c r="BO390" t="s">
        <v>104</v>
      </c>
      <c r="BP390" t="s">
        <v>74</v>
      </c>
      <c r="BQ390" t="s">
        <v>74</v>
      </c>
      <c r="BR390" t="s">
        <v>105</v>
      </c>
      <c r="BS390" t="s">
        <v>8008</v>
      </c>
      <c r="BT390" t="str">
        <f>HYPERLINK("https%3A%2F%2Fwww.webofscience.com%2Fwos%2Fwoscc%2Ffull-record%2FWOS:000409112700008","View Full Record in Web of Science")</f>
        <v>View Full Record in Web of Science</v>
      </c>
    </row>
    <row r="391" spans="1:72" x14ac:dyDescent="0.15">
      <c r="A391" t="s">
        <v>72</v>
      </c>
      <c r="B391" t="s">
        <v>8009</v>
      </c>
      <c r="C391" t="s">
        <v>74</v>
      </c>
      <c r="D391" t="s">
        <v>74</v>
      </c>
      <c r="E391" t="s">
        <v>74</v>
      </c>
      <c r="F391" t="s">
        <v>8010</v>
      </c>
      <c r="G391" t="s">
        <v>74</v>
      </c>
      <c r="H391" t="s">
        <v>74</v>
      </c>
      <c r="I391" t="s">
        <v>8011</v>
      </c>
      <c r="J391" t="s">
        <v>8012</v>
      </c>
      <c r="K391" t="s">
        <v>74</v>
      </c>
      <c r="L391" t="s">
        <v>74</v>
      </c>
      <c r="M391" t="s">
        <v>78</v>
      </c>
      <c r="N391" t="s">
        <v>79</v>
      </c>
      <c r="O391" t="s">
        <v>74</v>
      </c>
      <c r="P391" t="s">
        <v>74</v>
      </c>
      <c r="Q391" t="s">
        <v>74</v>
      </c>
      <c r="R391" t="s">
        <v>74</v>
      </c>
      <c r="S391" t="s">
        <v>74</v>
      </c>
      <c r="T391" t="s">
        <v>8013</v>
      </c>
      <c r="U391" t="s">
        <v>8014</v>
      </c>
      <c r="V391" t="s">
        <v>8015</v>
      </c>
      <c r="W391" t="s">
        <v>8016</v>
      </c>
      <c r="X391" t="s">
        <v>8017</v>
      </c>
      <c r="Y391" t="s">
        <v>8018</v>
      </c>
      <c r="Z391" t="s">
        <v>8019</v>
      </c>
      <c r="AA391" t="s">
        <v>8020</v>
      </c>
      <c r="AB391" t="s">
        <v>8021</v>
      </c>
      <c r="AC391" t="s">
        <v>8022</v>
      </c>
      <c r="AD391" t="s">
        <v>8023</v>
      </c>
      <c r="AE391" t="s">
        <v>8024</v>
      </c>
      <c r="AF391" t="s">
        <v>74</v>
      </c>
      <c r="AG391">
        <v>3196</v>
      </c>
      <c r="AH391">
        <v>305</v>
      </c>
      <c r="AI391">
        <v>350</v>
      </c>
      <c r="AJ391">
        <v>14</v>
      </c>
      <c r="AK391">
        <v>269</v>
      </c>
      <c r="AL391" t="s">
        <v>208</v>
      </c>
      <c r="AM391" t="s">
        <v>209</v>
      </c>
      <c r="AN391" t="s">
        <v>2659</v>
      </c>
      <c r="AO391" t="s">
        <v>8025</v>
      </c>
      <c r="AP391" t="s">
        <v>8026</v>
      </c>
      <c r="AQ391" t="s">
        <v>74</v>
      </c>
      <c r="AR391" t="s">
        <v>8027</v>
      </c>
      <c r="AS391" t="s">
        <v>8028</v>
      </c>
      <c r="AT391" t="s">
        <v>5544</v>
      </c>
      <c r="AU391">
        <v>2017</v>
      </c>
      <c r="AV391">
        <v>86</v>
      </c>
      <c r="AW391">
        <v>1</v>
      </c>
      <c r="AX391" t="s">
        <v>74</v>
      </c>
      <c r="AY391" t="s">
        <v>74</v>
      </c>
      <c r="AZ391" t="s">
        <v>74</v>
      </c>
      <c r="BA391" t="s">
        <v>74</v>
      </c>
      <c r="BB391">
        <v>1</v>
      </c>
      <c r="BC391">
        <v>594</v>
      </c>
      <c r="BD391" t="s">
        <v>74</v>
      </c>
      <c r="BE391" t="s">
        <v>74</v>
      </c>
      <c r="BF391" t="s">
        <v>74</v>
      </c>
      <c r="BG391" t="s">
        <v>74</v>
      </c>
      <c r="BH391" t="s">
        <v>74</v>
      </c>
      <c r="BI391">
        <v>594</v>
      </c>
      <c r="BJ391" t="s">
        <v>1215</v>
      </c>
      <c r="BK391" t="s">
        <v>101</v>
      </c>
      <c r="BL391" t="s">
        <v>1215</v>
      </c>
      <c r="BM391" t="s">
        <v>8029</v>
      </c>
      <c r="BN391" t="s">
        <v>74</v>
      </c>
      <c r="BO391" t="s">
        <v>2091</v>
      </c>
      <c r="BP391" t="s">
        <v>352</v>
      </c>
      <c r="BQ391" t="s">
        <v>353</v>
      </c>
      <c r="BR391" t="s">
        <v>105</v>
      </c>
      <c r="BS391" t="s">
        <v>8030</v>
      </c>
      <c r="BT391" t="str">
        <f>HYPERLINK("https%3A%2F%2Fwww.webofscience.com%2Fwos%2Fwoscc%2Ffull-record%2FWOS:000413448200001","View Full Record in Web of Science")</f>
        <v>View Full Record in Web of Science</v>
      </c>
    </row>
    <row r="392" spans="1:72" x14ac:dyDescent="0.15">
      <c r="A392" t="s">
        <v>72</v>
      </c>
      <c r="B392" t="s">
        <v>8031</v>
      </c>
      <c r="C392" t="s">
        <v>74</v>
      </c>
      <c r="D392" t="s">
        <v>74</v>
      </c>
      <c r="E392" t="s">
        <v>74</v>
      </c>
      <c r="F392" t="s">
        <v>8032</v>
      </c>
      <c r="G392" t="s">
        <v>74</v>
      </c>
      <c r="H392" t="s">
        <v>74</v>
      </c>
      <c r="I392" t="s">
        <v>8033</v>
      </c>
      <c r="J392" t="s">
        <v>3156</v>
      </c>
      <c r="K392" t="s">
        <v>74</v>
      </c>
      <c r="L392" t="s">
        <v>74</v>
      </c>
      <c r="M392" t="s">
        <v>78</v>
      </c>
      <c r="N392" t="s">
        <v>79</v>
      </c>
      <c r="O392" t="s">
        <v>74</v>
      </c>
      <c r="P392" t="s">
        <v>74</v>
      </c>
      <c r="Q392" t="s">
        <v>74</v>
      </c>
      <c r="R392" t="s">
        <v>74</v>
      </c>
      <c r="S392" t="s">
        <v>74</v>
      </c>
      <c r="T392" t="s">
        <v>74</v>
      </c>
      <c r="U392" t="s">
        <v>74</v>
      </c>
      <c r="V392" t="s">
        <v>8034</v>
      </c>
      <c r="W392" t="s">
        <v>8035</v>
      </c>
      <c r="X392" t="s">
        <v>8036</v>
      </c>
      <c r="Y392" t="s">
        <v>8037</v>
      </c>
      <c r="Z392" t="s">
        <v>8038</v>
      </c>
      <c r="AA392" t="s">
        <v>8039</v>
      </c>
      <c r="AB392" t="s">
        <v>8040</v>
      </c>
      <c r="AC392" t="s">
        <v>8041</v>
      </c>
      <c r="AD392" t="s">
        <v>8042</v>
      </c>
      <c r="AE392" t="s">
        <v>8043</v>
      </c>
      <c r="AF392" t="s">
        <v>74</v>
      </c>
      <c r="AG392">
        <v>3</v>
      </c>
      <c r="AH392">
        <v>4</v>
      </c>
      <c r="AI392">
        <v>4</v>
      </c>
      <c r="AJ392">
        <v>0</v>
      </c>
      <c r="AK392">
        <v>3</v>
      </c>
      <c r="AL392" t="s">
        <v>3166</v>
      </c>
      <c r="AM392" t="s">
        <v>92</v>
      </c>
      <c r="AN392" t="s">
        <v>3167</v>
      </c>
      <c r="AO392" t="s">
        <v>74</v>
      </c>
      <c r="AP392" t="s">
        <v>3168</v>
      </c>
      <c r="AQ392" t="s">
        <v>74</v>
      </c>
      <c r="AR392" t="s">
        <v>3156</v>
      </c>
      <c r="AS392" t="s">
        <v>3169</v>
      </c>
      <c r="AT392" t="s">
        <v>5544</v>
      </c>
      <c r="AU392">
        <v>2017</v>
      </c>
      <c r="AV392">
        <v>5</v>
      </c>
      <c r="AW392">
        <v>36</v>
      </c>
      <c r="AX392" t="s">
        <v>74</v>
      </c>
      <c r="AY392" t="s">
        <v>74</v>
      </c>
      <c r="AZ392" t="s">
        <v>74</v>
      </c>
      <c r="BA392" t="s">
        <v>74</v>
      </c>
      <c r="BB392" t="s">
        <v>74</v>
      </c>
      <c r="BC392" t="s">
        <v>74</v>
      </c>
      <c r="BD392" t="s">
        <v>8044</v>
      </c>
      <c r="BE392" t="s">
        <v>8045</v>
      </c>
      <c r="BF392" t="str">
        <f>HYPERLINK("http://dx.doi.org/10.1128/genomeA.01001-17","http://dx.doi.org/10.1128/genomeA.01001-17")</f>
        <v>http://dx.doi.org/10.1128/genomeA.01001-17</v>
      </c>
      <c r="BG392" t="s">
        <v>74</v>
      </c>
      <c r="BH392" t="s">
        <v>74</v>
      </c>
      <c r="BI392">
        <v>2</v>
      </c>
      <c r="BJ392" t="s">
        <v>457</v>
      </c>
      <c r="BK392" t="s">
        <v>3172</v>
      </c>
      <c r="BL392" t="s">
        <v>457</v>
      </c>
      <c r="BM392" t="s">
        <v>8046</v>
      </c>
      <c r="BN392">
        <v>28883153</v>
      </c>
      <c r="BO392" t="s">
        <v>658</v>
      </c>
      <c r="BP392" t="s">
        <v>74</v>
      </c>
      <c r="BQ392" t="s">
        <v>74</v>
      </c>
      <c r="BR392" t="s">
        <v>105</v>
      </c>
      <c r="BS392" t="s">
        <v>8047</v>
      </c>
      <c r="BT392" t="str">
        <f>HYPERLINK("https%3A%2F%2Fwww.webofscience.com%2Fwos%2Fwoscc%2Ffull-record%2FWOS:000460732900028","View Full Record in Web of Science")</f>
        <v>View Full Record in Web of Science</v>
      </c>
    </row>
    <row r="393" spans="1:72" x14ac:dyDescent="0.15">
      <c r="A393" t="s">
        <v>72</v>
      </c>
      <c r="B393" t="s">
        <v>3153</v>
      </c>
      <c r="C393" t="s">
        <v>74</v>
      </c>
      <c r="D393" t="s">
        <v>74</v>
      </c>
      <c r="E393" t="s">
        <v>74</v>
      </c>
      <c r="F393" t="s">
        <v>3154</v>
      </c>
      <c r="G393" t="s">
        <v>74</v>
      </c>
      <c r="H393" t="s">
        <v>74</v>
      </c>
      <c r="I393" t="s">
        <v>8048</v>
      </c>
      <c r="J393" t="s">
        <v>3156</v>
      </c>
      <c r="K393" t="s">
        <v>74</v>
      </c>
      <c r="L393" t="s">
        <v>74</v>
      </c>
      <c r="M393" t="s">
        <v>78</v>
      </c>
      <c r="N393" t="s">
        <v>79</v>
      </c>
      <c r="O393" t="s">
        <v>74</v>
      </c>
      <c r="P393" t="s">
        <v>74</v>
      </c>
      <c r="Q393" t="s">
        <v>74</v>
      </c>
      <c r="R393" t="s">
        <v>74</v>
      </c>
      <c r="S393" t="s">
        <v>74</v>
      </c>
      <c r="T393" t="s">
        <v>74</v>
      </c>
      <c r="U393" t="s">
        <v>74</v>
      </c>
      <c r="V393" t="s">
        <v>8049</v>
      </c>
      <c r="W393" t="s">
        <v>3158</v>
      </c>
      <c r="X393" t="s">
        <v>8050</v>
      </c>
      <c r="Y393" t="s">
        <v>3160</v>
      </c>
      <c r="Z393" t="s">
        <v>3161</v>
      </c>
      <c r="AA393" t="s">
        <v>8051</v>
      </c>
      <c r="AB393" t="s">
        <v>8052</v>
      </c>
      <c r="AC393" t="s">
        <v>8053</v>
      </c>
      <c r="AD393" t="s">
        <v>8053</v>
      </c>
      <c r="AE393" t="s">
        <v>8054</v>
      </c>
      <c r="AF393" t="s">
        <v>74</v>
      </c>
      <c r="AG393">
        <v>12</v>
      </c>
      <c r="AH393">
        <v>3</v>
      </c>
      <c r="AI393">
        <v>3</v>
      </c>
      <c r="AJ393">
        <v>0</v>
      </c>
      <c r="AK393">
        <v>2</v>
      </c>
      <c r="AL393" t="s">
        <v>3166</v>
      </c>
      <c r="AM393" t="s">
        <v>92</v>
      </c>
      <c r="AN393" t="s">
        <v>3167</v>
      </c>
      <c r="AO393" t="s">
        <v>74</v>
      </c>
      <c r="AP393" t="s">
        <v>3168</v>
      </c>
      <c r="AQ393" t="s">
        <v>74</v>
      </c>
      <c r="AR393" t="s">
        <v>3156</v>
      </c>
      <c r="AS393" t="s">
        <v>3169</v>
      </c>
      <c r="AT393" t="s">
        <v>5544</v>
      </c>
      <c r="AU393">
        <v>2017</v>
      </c>
      <c r="AV393">
        <v>5</v>
      </c>
      <c r="AW393">
        <v>36</v>
      </c>
      <c r="AX393" t="s">
        <v>74</v>
      </c>
      <c r="AY393" t="s">
        <v>74</v>
      </c>
      <c r="AZ393" t="s">
        <v>74</v>
      </c>
      <c r="BA393" t="s">
        <v>74</v>
      </c>
      <c r="BB393" t="s">
        <v>74</v>
      </c>
      <c r="BC393" t="s">
        <v>74</v>
      </c>
      <c r="BD393" t="s">
        <v>8055</v>
      </c>
      <c r="BE393" t="s">
        <v>8056</v>
      </c>
      <c r="BF393" t="str">
        <f>HYPERLINK("http://dx.doi.org/10.1128/genomeA.00898-17","http://dx.doi.org/10.1128/genomeA.00898-17")</f>
        <v>http://dx.doi.org/10.1128/genomeA.00898-17</v>
      </c>
      <c r="BG393" t="s">
        <v>74</v>
      </c>
      <c r="BH393" t="s">
        <v>74</v>
      </c>
      <c r="BI393">
        <v>2</v>
      </c>
      <c r="BJ393" t="s">
        <v>457</v>
      </c>
      <c r="BK393" t="s">
        <v>3172</v>
      </c>
      <c r="BL393" t="s">
        <v>457</v>
      </c>
      <c r="BM393" t="s">
        <v>8046</v>
      </c>
      <c r="BN393">
        <v>28883137</v>
      </c>
      <c r="BO393" t="s">
        <v>3037</v>
      </c>
      <c r="BP393" t="s">
        <v>74</v>
      </c>
      <c r="BQ393" t="s">
        <v>74</v>
      </c>
      <c r="BR393" t="s">
        <v>105</v>
      </c>
      <c r="BS393" t="s">
        <v>8057</v>
      </c>
      <c r="BT393" t="str">
        <f>HYPERLINK("https%3A%2F%2Fwww.webofscience.com%2Fwos%2Fwoscc%2Ffull-record%2FWOS:000460732900012","View Full Record in Web of Science")</f>
        <v>View Full Record in Web of Science</v>
      </c>
    </row>
    <row r="394" spans="1:72" x14ac:dyDescent="0.15">
      <c r="A394" t="s">
        <v>72</v>
      </c>
      <c r="B394" t="s">
        <v>8058</v>
      </c>
      <c r="C394" t="s">
        <v>74</v>
      </c>
      <c r="D394" t="s">
        <v>74</v>
      </c>
      <c r="E394" t="s">
        <v>74</v>
      </c>
      <c r="F394" t="s">
        <v>8059</v>
      </c>
      <c r="G394" t="s">
        <v>74</v>
      </c>
      <c r="H394" t="s">
        <v>74</v>
      </c>
      <c r="I394" t="s">
        <v>8060</v>
      </c>
      <c r="J394" t="s">
        <v>8061</v>
      </c>
      <c r="K394" t="s">
        <v>74</v>
      </c>
      <c r="L394" t="s">
        <v>74</v>
      </c>
      <c r="M394" t="s">
        <v>78</v>
      </c>
      <c r="N394" t="s">
        <v>79</v>
      </c>
      <c r="O394" t="s">
        <v>74</v>
      </c>
      <c r="P394" t="s">
        <v>74</v>
      </c>
      <c r="Q394" t="s">
        <v>74</v>
      </c>
      <c r="R394" t="s">
        <v>74</v>
      </c>
      <c r="S394" t="s">
        <v>74</v>
      </c>
      <c r="T394" t="s">
        <v>8062</v>
      </c>
      <c r="U394" t="s">
        <v>8063</v>
      </c>
      <c r="V394" t="s">
        <v>8064</v>
      </c>
      <c r="W394" t="s">
        <v>8065</v>
      </c>
      <c r="X394" t="s">
        <v>1958</v>
      </c>
      <c r="Y394" t="s">
        <v>8066</v>
      </c>
      <c r="Z394" t="s">
        <v>8067</v>
      </c>
      <c r="AA394" t="s">
        <v>8068</v>
      </c>
      <c r="AB394" t="s">
        <v>8069</v>
      </c>
      <c r="AC394" t="s">
        <v>74</v>
      </c>
      <c r="AD394" t="s">
        <v>74</v>
      </c>
      <c r="AE394" t="s">
        <v>74</v>
      </c>
      <c r="AF394" t="s">
        <v>74</v>
      </c>
      <c r="AG394">
        <v>87</v>
      </c>
      <c r="AH394">
        <v>11</v>
      </c>
      <c r="AI394">
        <v>13</v>
      </c>
      <c r="AJ394">
        <v>1</v>
      </c>
      <c r="AK394">
        <v>9</v>
      </c>
      <c r="AL394" t="s">
        <v>8070</v>
      </c>
      <c r="AM394" t="s">
        <v>8071</v>
      </c>
      <c r="AN394" t="s">
        <v>8072</v>
      </c>
      <c r="AO394" t="s">
        <v>8073</v>
      </c>
      <c r="AP394" t="s">
        <v>74</v>
      </c>
      <c r="AQ394" t="s">
        <v>74</v>
      </c>
      <c r="AR394" t="s">
        <v>8074</v>
      </c>
      <c r="AS394" t="s">
        <v>8075</v>
      </c>
      <c r="AT394" t="s">
        <v>5544</v>
      </c>
      <c r="AU394">
        <v>2017</v>
      </c>
      <c r="AV394">
        <v>8</v>
      </c>
      <c r="AW394">
        <v>5</v>
      </c>
      <c r="AX394" t="s">
        <v>74</v>
      </c>
      <c r="AY394" t="s">
        <v>74</v>
      </c>
      <c r="AZ394" t="s">
        <v>74</v>
      </c>
      <c r="BA394" t="s">
        <v>74</v>
      </c>
      <c r="BB394">
        <v>1009</v>
      </c>
      <c r="BC394">
        <v>1024</v>
      </c>
      <c r="BD394" t="s">
        <v>74</v>
      </c>
      <c r="BE394" t="s">
        <v>8076</v>
      </c>
      <c r="BF394" t="str">
        <f>HYPERLINK("http://dx.doi.org/10.1016/j.gsf.2016.10.006","http://dx.doi.org/10.1016/j.gsf.2016.10.006")</f>
        <v>http://dx.doi.org/10.1016/j.gsf.2016.10.006</v>
      </c>
      <c r="BG394" t="s">
        <v>74</v>
      </c>
      <c r="BH394" t="s">
        <v>74</v>
      </c>
      <c r="BI394">
        <v>16</v>
      </c>
      <c r="BJ394" t="s">
        <v>100</v>
      </c>
      <c r="BK394" t="s">
        <v>101</v>
      </c>
      <c r="BL394" t="s">
        <v>102</v>
      </c>
      <c r="BM394" t="s">
        <v>8077</v>
      </c>
      <c r="BN394" t="s">
        <v>74</v>
      </c>
      <c r="BO394" t="s">
        <v>1278</v>
      </c>
      <c r="BP394" t="s">
        <v>74</v>
      </c>
      <c r="BQ394" t="s">
        <v>74</v>
      </c>
      <c r="BR394" t="s">
        <v>105</v>
      </c>
      <c r="BS394" t="s">
        <v>8078</v>
      </c>
      <c r="BT394" t="str">
        <f>HYPERLINK("https%3A%2F%2Fwww.webofscience.com%2Fwos%2Fwoscc%2Ffull-record%2FWOS:000407926300008","View Full Record in Web of Science")</f>
        <v>View Full Record in Web of Science</v>
      </c>
    </row>
    <row r="395" spans="1:72" x14ac:dyDescent="0.15">
      <c r="A395" t="s">
        <v>72</v>
      </c>
      <c r="B395" t="s">
        <v>8079</v>
      </c>
      <c r="C395" t="s">
        <v>74</v>
      </c>
      <c r="D395" t="s">
        <v>74</v>
      </c>
      <c r="E395" t="s">
        <v>74</v>
      </c>
      <c r="F395" t="s">
        <v>8080</v>
      </c>
      <c r="G395" t="s">
        <v>74</v>
      </c>
      <c r="H395" t="s">
        <v>74</v>
      </c>
      <c r="I395" t="s">
        <v>8081</v>
      </c>
      <c r="J395" t="s">
        <v>8082</v>
      </c>
      <c r="K395" t="s">
        <v>74</v>
      </c>
      <c r="L395" t="s">
        <v>74</v>
      </c>
      <c r="M395" t="s">
        <v>78</v>
      </c>
      <c r="N395" t="s">
        <v>79</v>
      </c>
      <c r="O395" t="s">
        <v>74</v>
      </c>
      <c r="P395" t="s">
        <v>74</v>
      </c>
      <c r="Q395" t="s">
        <v>74</v>
      </c>
      <c r="R395" t="s">
        <v>74</v>
      </c>
      <c r="S395" t="s">
        <v>74</v>
      </c>
      <c r="T395" t="s">
        <v>8083</v>
      </c>
      <c r="U395" t="s">
        <v>8084</v>
      </c>
      <c r="V395" t="s">
        <v>8085</v>
      </c>
      <c r="W395" t="s">
        <v>8086</v>
      </c>
      <c r="X395" t="s">
        <v>8087</v>
      </c>
      <c r="Y395" t="s">
        <v>8088</v>
      </c>
      <c r="Z395" t="s">
        <v>8089</v>
      </c>
      <c r="AA395" t="s">
        <v>8090</v>
      </c>
      <c r="AB395" t="s">
        <v>8091</v>
      </c>
      <c r="AC395" t="s">
        <v>8092</v>
      </c>
      <c r="AD395" t="s">
        <v>8093</v>
      </c>
      <c r="AE395" t="s">
        <v>8094</v>
      </c>
      <c r="AF395" t="s">
        <v>74</v>
      </c>
      <c r="AG395">
        <v>74</v>
      </c>
      <c r="AH395">
        <v>8</v>
      </c>
      <c r="AI395">
        <v>8</v>
      </c>
      <c r="AJ395">
        <v>0</v>
      </c>
      <c r="AK395">
        <v>7</v>
      </c>
      <c r="AL395" t="s">
        <v>3485</v>
      </c>
      <c r="AM395" t="s">
        <v>3486</v>
      </c>
      <c r="AN395" t="s">
        <v>3487</v>
      </c>
      <c r="AO395" t="s">
        <v>74</v>
      </c>
      <c r="AP395" t="s">
        <v>8095</v>
      </c>
      <c r="AQ395" t="s">
        <v>74</v>
      </c>
      <c r="AR395" t="s">
        <v>8082</v>
      </c>
      <c r="AS395" t="s">
        <v>8096</v>
      </c>
      <c r="AT395" t="s">
        <v>5544</v>
      </c>
      <c r="AU395">
        <v>2017</v>
      </c>
      <c r="AV395">
        <v>7</v>
      </c>
      <c r="AW395">
        <v>3</v>
      </c>
      <c r="AX395" t="s">
        <v>74</v>
      </c>
      <c r="AY395" t="s">
        <v>74</v>
      </c>
      <c r="AZ395" t="s">
        <v>74</v>
      </c>
      <c r="BA395" t="s">
        <v>74</v>
      </c>
      <c r="BB395" t="s">
        <v>74</v>
      </c>
      <c r="BC395" t="s">
        <v>74</v>
      </c>
      <c r="BD395">
        <v>47</v>
      </c>
      <c r="BE395" t="s">
        <v>8097</v>
      </c>
      <c r="BF395" t="str">
        <f>HYPERLINK("http://dx.doi.org/10.3390/geosciences7030047","http://dx.doi.org/10.3390/geosciences7030047")</f>
        <v>http://dx.doi.org/10.3390/geosciences7030047</v>
      </c>
      <c r="BG395" t="s">
        <v>74</v>
      </c>
      <c r="BH395" t="s">
        <v>74</v>
      </c>
      <c r="BI395">
        <v>19</v>
      </c>
      <c r="BJ395" t="s">
        <v>100</v>
      </c>
      <c r="BK395" t="s">
        <v>3172</v>
      </c>
      <c r="BL395" t="s">
        <v>102</v>
      </c>
      <c r="BM395" t="s">
        <v>8098</v>
      </c>
      <c r="BN395" t="s">
        <v>74</v>
      </c>
      <c r="BO395" t="s">
        <v>322</v>
      </c>
      <c r="BP395" t="s">
        <v>74</v>
      </c>
      <c r="BQ395" t="s">
        <v>74</v>
      </c>
      <c r="BR395" t="s">
        <v>105</v>
      </c>
      <c r="BS395" t="s">
        <v>8099</v>
      </c>
      <c r="BT395" t="str">
        <f>HYPERLINK("https%3A%2F%2Fwww.webofscience.com%2Fwos%2Fwoscc%2Ffull-record%2FWOS:000410302700004","View Full Record in Web of Science")</f>
        <v>View Full Record in Web of Science</v>
      </c>
    </row>
    <row r="396" spans="1:72" x14ac:dyDescent="0.15">
      <c r="A396" t="s">
        <v>72</v>
      </c>
      <c r="B396" t="s">
        <v>8100</v>
      </c>
      <c r="C396" t="s">
        <v>74</v>
      </c>
      <c r="D396" t="s">
        <v>74</v>
      </c>
      <c r="E396" t="s">
        <v>74</v>
      </c>
      <c r="F396" t="s">
        <v>8101</v>
      </c>
      <c r="G396" t="s">
        <v>74</v>
      </c>
      <c r="H396" t="s">
        <v>74</v>
      </c>
      <c r="I396" t="s">
        <v>8102</v>
      </c>
      <c r="J396" t="s">
        <v>1908</v>
      </c>
      <c r="K396" t="s">
        <v>74</v>
      </c>
      <c r="L396" t="s">
        <v>74</v>
      </c>
      <c r="M396" t="s">
        <v>78</v>
      </c>
      <c r="N396" t="s">
        <v>79</v>
      </c>
      <c r="O396" t="s">
        <v>74</v>
      </c>
      <c r="P396" t="s">
        <v>74</v>
      </c>
      <c r="Q396" t="s">
        <v>74</v>
      </c>
      <c r="R396" t="s">
        <v>74</v>
      </c>
      <c r="S396" t="s">
        <v>74</v>
      </c>
      <c r="T396" t="s">
        <v>8103</v>
      </c>
      <c r="U396" t="s">
        <v>8104</v>
      </c>
      <c r="V396" t="s">
        <v>8105</v>
      </c>
      <c r="W396" t="s">
        <v>8106</v>
      </c>
      <c r="X396" t="s">
        <v>8107</v>
      </c>
      <c r="Y396" t="s">
        <v>8108</v>
      </c>
      <c r="Z396" t="s">
        <v>8109</v>
      </c>
      <c r="AA396" t="s">
        <v>8110</v>
      </c>
      <c r="AB396" t="s">
        <v>8111</v>
      </c>
      <c r="AC396" t="s">
        <v>8112</v>
      </c>
      <c r="AD396" t="s">
        <v>8113</v>
      </c>
      <c r="AE396" t="s">
        <v>8114</v>
      </c>
      <c r="AF396" t="s">
        <v>74</v>
      </c>
      <c r="AG396">
        <v>32</v>
      </c>
      <c r="AH396">
        <v>26</v>
      </c>
      <c r="AI396">
        <v>26</v>
      </c>
      <c r="AJ396">
        <v>0</v>
      </c>
      <c r="AK396">
        <v>6</v>
      </c>
      <c r="AL396" t="s">
        <v>371</v>
      </c>
      <c r="AM396" t="s">
        <v>372</v>
      </c>
      <c r="AN396" t="s">
        <v>373</v>
      </c>
      <c r="AO396" t="s">
        <v>1920</v>
      </c>
      <c r="AP396" t="s">
        <v>1921</v>
      </c>
      <c r="AQ396" t="s">
        <v>74</v>
      </c>
      <c r="AR396" t="s">
        <v>1922</v>
      </c>
      <c r="AS396" t="s">
        <v>1923</v>
      </c>
      <c r="AT396" t="s">
        <v>5544</v>
      </c>
      <c r="AU396">
        <v>2017</v>
      </c>
      <c r="AV396">
        <v>156</v>
      </c>
      <c r="AW396" t="s">
        <v>74</v>
      </c>
      <c r="AX396" t="s">
        <v>74</v>
      </c>
      <c r="AY396" t="s">
        <v>74</v>
      </c>
      <c r="AZ396" t="s">
        <v>74</v>
      </c>
      <c r="BA396" t="s">
        <v>74</v>
      </c>
      <c r="BB396">
        <v>34</v>
      </c>
      <c r="BC396">
        <v>45</v>
      </c>
      <c r="BD396" t="s">
        <v>74</v>
      </c>
      <c r="BE396" t="s">
        <v>8115</v>
      </c>
      <c r="BF396" t="str">
        <f>HYPERLINK("http://dx.doi.org/10.1016/j.gloplacha.2017.06.007","http://dx.doi.org/10.1016/j.gloplacha.2017.06.007")</f>
        <v>http://dx.doi.org/10.1016/j.gloplacha.2017.06.007</v>
      </c>
      <c r="BG396" t="s">
        <v>74</v>
      </c>
      <c r="BH396" t="s">
        <v>74</v>
      </c>
      <c r="BI396">
        <v>12</v>
      </c>
      <c r="BJ396" t="s">
        <v>319</v>
      </c>
      <c r="BK396" t="s">
        <v>101</v>
      </c>
      <c r="BL396" t="s">
        <v>320</v>
      </c>
      <c r="BM396" t="s">
        <v>5900</v>
      </c>
      <c r="BN396" t="s">
        <v>74</v>
      </c>
      <c r="BO396" t="s">
        <v>1240</v>
      </c>
      <c r="BP396" t="s">
        <v>74</v>
      </c>
      <c r="BQ396" t="s">
        <v>74</v>
      </c>
      <c r="BR396" t="s">
        <v>105</v>
      </c>
      <c r="BS396" t="s">
        <v>8116</v>
      </c>
      <c r="BT396" t="str">
        <f>HYPERLINK("https%3A%2F%2Fwww.webofscience.com%2Fwos%2Fwoscc%2Ffull-record%2FWOS:000413280700005","View Full Record in Web of Science")</f>
        <v>View Full Record in Web of Science</v>
      </c>
    </row>
    <row r="397" spans="1:72" x14ac:dyDescent="0.15">
      <c r="A397" t="s">
        <v>72</v>
      </c>
      <c r="B397" t="s">
        <v>8117</v>
      </c>
      <c r="C397" t="s">
        <v>74</v>
      </c>
      <c r="D397" t="s">
        <v>74</v>
      </c>
      <c r="E397" t="s">
        <v>74</v>
      </c>
      <c r="F397" t="s">
        <v>8118</v>
      </c>
      <c r="G397" t="s">
        <v>74</v>
      </c>
      <c r="H397" t="s">
        <v>74</v>
      </c>
      <c r="I397" t="s">
        <v>8119</v>
      </c>
      <c r="J397" t="s">
        <v>5635</v>
      </c>
      <c r="K397" t="s">
        <v>74</v>
      </c>
      <c r="L397" t="s">
        <v>74</v>
      </c>
      <c r="M397" t="s">
        <v>78</v>
      </c>
      <c r="N397" t="s">
        <v>79</v>
      </c>
      <c r="O397" t="s">
        <v>74</v>
      </c>
      <c r="P397" t="s">
        <v>74</v>
      </c>
      <c r="Q397" t="s">
        <v>74</v>
      </c>
      <c r="R397" t="s">
        <v>74</v>
      </c>
      <c r="S397" t="s">
        <v>74</v>
      </c>
      <c r="T397" t="s">
        <v>74</v>
      </c>
      <c r="U397" t="s">
        <v>8120</v>
      </c>
      <c r="V397" t="s">
        <v>8121</v>
      </c>
      <c r="W397" t="s">
        <v>8122</v>
      </c>
      <c r="X397" t="s">
        <v>8123</v>
      </c>
      <c r="Y397" t="s">
        <v>8124</v>
      </c>
      <c r="Z397" t="s">
        <v>8125</v>
      </c>
      <c r="AA397" t="s">
        <v>8126</v>
      </c>
      <c r="AB397" t="s">
        <v>8127</v>
      </c>
      <c r="AC397" t="s">
        <v>8128</v>
      </c>
      <c r="AD397" t="s">
        <v>8129</v>
      </c>
      <c r="AE397" t="s">
        <v>8130</v>
      </c>
      <c r="AF397" t="s">
        <v>74</v>
      </c>
      <c r="AG397">
        <v>76</v>
      </c>
      <c r="AH397">
        <v>33</v>
      </c>
      <c r="AI397">
        <v>37</v>
      </c>
      <c r="AJ397">
        <v>1</v>
      </c>
      <c r="AK397">
        <v>46</v>
      </c>
      <c r="AL397" t="s">
        <v>91</v>
      </c>
      <c r="AM397" t="s">
        <v>92</v>
      </c>
      <c r="AN397" t="s">
        <v>93</v>
      </c>
      <c r="AO397" t="s">
        <v>5647</v>
      </c>
      <c r="AP397" t="s">
        <v>5648</v>
      </c>
      <c r="AQ397" t="s">
        <v>74</v>
      </c>
      <c r="AR397" t="s">
        <v>5649</v>
      </c>
      <c r="AS397" t="s">
        <v>5650</v>
      </c>
      <c r="AT397" t="s">
        <v>5544</v>
      </c>
      <c r="AU397">
        <v>2017</v>
      </c>
      <c r="AV397">
        <v>31</v>
      </c>
      <c r="AW397">
        <v>9</v>
      </c>
      <c r="AX397" t="s">
        <v>74</v>
      </c>
      <c r="AY397" t="s">
        <v>74</v>
      </c>
      <c r="AZ397" t="s">
        <v>74</v>
      </c>
      <c r="BA397" t="s">
        <v>74</v>
      </c>
      <c r="BB397">
        <v>1420</v>
      </c>
      <c r="BC397">
        <v>1434</v>
      </c>
      <c r="BD397" t="s">
        <v>74</v>
      </c>
      <c r="BE397" t="s">
        <v>8131</v>
      </c>
      <c r="BF397" t="str">
        <f>HYPERLINK("http://dx.doi.org/10.1002/2017GB005652","http://dx.doi.org/10.1002/2017GB005652")</f>
        <v>http://dx.doi.org/10.1002/2017GB005652</v>
      </c>
      <c r="BG397" t="s">
        <v>74</v>
      </c>
      <c r="BH397" t="s">
        <v>74</v>
      </c>
      <c r="BI397">
        <v>15</v>
      </c>
      <c r="BJ397" t="s">
        <v>2986</v>
      </c>
      <c r="BK397" t="s">
        <v>101</v>
      </c>
      <c r="BL397" t="s">
        <v>2987</v>
      </c>
      <c r="BM397" t="s">
        <v>5652</v>
      </c>
      <c r="BN397" t="s">
        <v>74</v>
      </c>
      <c r="BO397" t="s">
        <v>74</v>
      </c>
      <c r="BP397" t="s">
        <v>74</v>
      </c>
      <c r="BQ397" t="s">
        <v>74</v>
      </c>
      <c r="BR397" t="s">
        <v>105</v>
      </c>
      <c r="BS397" t="s">
        <v>8132</v>
      </c>
      <c r="BT397" t="str">
        <f>HYPERLINK("https%3A%2F%2Fwww.webofscience.com%2Fwos%2Fwoscc%2Ffull-record%2FWOS:000416624000004","View Full Record in Web of Science")</f>
        <v>View Full Record in Web of Science</v>
      </c>
    </row>
    <row r="398" spans="1:72" x14ac:dyDescent="0.15">
      <c r="A398" t="s">
        <v>72</v>
      </c>
      <c r="B398" t="s">
        <v>8133</v>
      </c>
      <c r="C398" t="s">
        <v>74</v>
      </c>
      <c r="D398" t="s">
        <v>74</v>
      </c>
      <c r="E398" t="s">
        <v>74</v>
      </c>
      <c r="F398" t="s">
        <v>8134</v>
      </c>
      <c r="G398" t="s">
        <v>74</v>
      </c>
      <c r="H398" t="s">
        <v>74</v>
      </c>
      <c r="I398" t="s">
        <v>8135</v>
      </c>
      <c r="J398" t="s">
        <v>1380</v>
      </c>
      <c r="K398" t="s">
        <v>74</v>
      </c>
      <c r="L398" t="s">
        <v>74</v>
      </c>
      <c r="M398" t="s">
        <v>78</v>
      </c>
      <c r="N398" t="s">
        <v>79</v>
      </c>
      <c r="O398" t="s">
        <v>74</v>
      </c>
      <c r="P398" t="s">
        <v>74</v>
      </c>
      <c r="Q398" t="s">
        <v>74</v>
      </c>
      <c r="R398" t="s">
        <v>74</v>
      </c>
      <c r="S398" t="s">
        <v>74</v>
      </c>
      <c r="T398" t="s">
        <v>8136</v>
      </c>
      <c r="U398" t="s">
        <v>8137</v>
      </c>
      <c r="V398" t="s">
        <v>8138</v>
      </c>
      <c r="W398" t="s">
        <v>8139</v>
      </c>
      <c r="X398" t="s">
        <v>8140</v>
      </c>
      <c r="Y398" t="s">
        <v>8141</v>
      </c>
      <c r="Z398" t="s">
        <v>8142</v>
      </c>
      <c r="AA398" t="s">
        <v>8143</v>
      </c>
      <c r="AB398" t="s">
        <v>8144</v>
      </c>
      <c r="AC398" t="s">
        <v>8145</v>
      </c>
      <c r="AD398" t="s">
        <v>8146</v>
      </c>
      <c r="AE398" t="s">
        <v>8147</v>
      </c>
      <c r="AF398" t="s">
        <v>74</v>
      </c>
      <c r="AG398">
        <v>93</v>
      </c>
      <c r="AH398">
        <v>20</v>
      </c>
      <c r="AI398">
        <v>22</v>
      </c>
      <c r="AJ398">
        <v>0</v>
      </c>
      <c r="AK398">
        <v>12</v>
      </c>
      <c r="AL398" t="s">
        <v>1392</v>
      </c>
      <c r="AM398" t="s">
        <v>1393</v>
      </c>
      <c r="AN398" t="s">
        <v>1394</v>
      </c>
      <c r="AO398" t="s">
        <v>1395</v>
      </c>
      <c r="AP398" t="s">
        <v>1396</v>
      </c>
      <c r="AQ398" t="s">
        <v>74</v>
      </c>
      <c r="AR398" t="s">
        <v>1397</v>
      </c>
      <c r="AS398" t="s">
        <v>1398</v>
      </c>
      <c r="AT398" t="s">
        <v>5544</v>
      </c>
      <c r="AU398">
        <v>2017</v>
      </c>
      <c r="AV398">
        <v>55</v>
      </c>
      <c r="AW398">
        <v>9</v>
      </c>
      <c r="AX398" t="s">
        <v>74</v>
      </c>
      <c r="AY398" t="s">
        <v>74</v>
      </c>
      <c r="AZ398" t="s">
        <v>74</v>
      </c>
      <c r="BA398" t="s">
        <v>74</v>
      </c>
      <c r="BB398">
        <v>5391</v>
      </c>
      <c r="BC398">
        <v>5406</v>
      </c>
      <c r="BD398" t="s">
        <v>74</v>
      </c>
      <c r="BE398" t="s">
        <v>8148</v>
      </c>
      <c r="BF398" t="str">
        <f>HYPERLINK("http://dx.doi.org/10.1109/TGRS.2017.2707303","http://dx.doi.org/10.1109/TGRS.2017.2707303")</f>
        <v>http://dx.doi.org/10.1109/TGRS.2017.2707303</v>
      </c>
      <c r="BG398" t="s">
        <v>74</v>
      </c>
      <c r="BH398" t="s">
        <v>74</v>
      </c>
      <c r="BI398">
        <v>16</v>
      </c>
      <c r="BJ398" t="s">
        <v>1400</v>
      </c>
      <c r="BK398" t="s">
        <v>765</v>
      </c>
      <c r="BL398" t="s">
        <v>1401</v>
      </c>
      <c r="BM398" t="s">
        <v>7427</v>
      </c>
      <c r="BN398" t="s">
        <v>74</v>
      </c>
      <c r="BO398" t="s">
        <v>74</v>
      </c>
      <c r="BP398" t="s">
        <v>74</v>
      </c>
      <c r="BQ398" t="s">
        <v>74</v>
      </c>
      <c r="BR398" t="s">
        <v>105</v>
      </c>
      <c r="BS398" t="s">
        <v>8149</v>
      </c>
      <c r="BT398" t="str">
        <f>HYPERLINK("https%3A%2F%2Fwww.webofscience.com%2Fwos%2Fwoscc%2Ffull-record%2FWOS:000408346600045","View Full Record in Web of Science")</f>
        <v>View Full Record in Web of Science</v>
      </c>
    </row>
    <row r="399" spans="1:72" x14ac:dyDescent="0.15">
      <c r="A399" t="s">
        <v>72</v>
      </c>
      <c r="B399" t="s">
        <v>8150</v>
      </c>
      <c r="C399" t="s">
        <v>74</v>
      </c>
      <c r="D399" t="s">
        <v>74</v>
      </c>
      <c r="E399" t="s">
        <v>74</v>
      </c>
      <c r="F399" t="s">
        <v>8151</v>
      </c>
      <c r="G399" t="s">
        <v>74</v>
      </c>
      <c r="H399" t="s">
        <v>74</v>
      </c>
      <c r="I399" t="s">
        <v>8152</v>
      </c>
      <c r="J399" t="s">
        <v>8153</v>
      </c>
      <c r="K399" t="s">
        <v>74</v>
      </c>
      <c r="L399" t="s">
        <v>74</v>
      </c>
      <c r="M399" t="s">
        <v>78</v>
      </c>
      <c r="N399" t="s">
        <v>79</v>
      </c>
      <c r="O399" t="s">
        <v>74</v>
      </c>
      <c r="P399" t="s">
        <v>74</v>
      </c>
      <c r="Q399" t="s">
        <v>74</v>
      </c>
      <c r="R399" t="s">
        <v>74</v>
      </c>
      <c r="S399" t="s">
        <v>74</v>
      </c>
      <c r="T399" t="s">
        <v>8154</v>
      </c>
      <c r="U399" t="s">
        <v>8155</v>
      </c>
      <c r="V399" t="s">
        <v>8156</v>
      </c>
      <c r="W399" t="s">
        <v>8157</v>
      </c>
      <c r="X399" t="s">
        <v>8158</v>
      </c>
      <c r="Y399" t="s">
        <v>8159</v>
      </c>
      <c r="Z399" t="s">
        <v>8160</v>
      </c>
      <c r="AA399" t="s">
        <v>8161</v>
      </c>
      <c r="AB399" t="s">
        <v>8162</v>
      </c>
      <c r="AC399" t="s">
        <v>8163</v>
      </c>
      <c r="AD399" t="s">
        <v>8164</v>
      </c>
      <c r="AE399" t="s">
        <v>8165</v>
      </c>
      <c r="AF399" t="s">
        <v>74</v>
      </c>
      <c r="AG399">
        <v>64</v>
      </c>
      <c r="AH399">
        <v>14</v>
      </c>
      <c r="AI399">
        <v>18</v>
      </c>
      <c r="AJ399">
        <v>0</v>
      </c>
      <c r="AK399">
        <v>15</v>
      </c>
      <c r="AL399" t="s">
        <v>1981</v>
      </c>
      <c r="AM399" t="s">
        <v>729</v>
      </c>
      <c r="AN399" t="s">
        <v>1982</v>
      </c>
      <c r="AO399" t="s">
        <v>8166</v>
      </c>
      <c r="AP399" t="s">
        <v>8167</v>
      </c>
      <c r="AQ399" t="s">
        <v>74</v>
      </c>
      <c r="AR399" t="s">
        <v>8168</v>
      </c>
      <c r="AS399" t="s">
        <v>8169</v>
      </c>
      <c r="AT399" t="s">
        <v>5838</v>
      </c>
      <c r="AU399">
        <v>2017</v>
      </c>
      <c r="AV399">
        <v>145</v>
      </c>
      <c r="AW399" t="s">
        <v>74</v>
      </c>
      <c r="AX399" t="s">
        <v>3721</v>
      </c>
      <c r="AY399" t="s">
        <v>74</v>
      </c>
      <c r="AZ399" t="s">
        <v>1188</v>
      </c>
      <c r="BA399" t="s">
        <v>74</v>
      </c>
      <c r="BB399">
        <v>679</v>
      </c>
      <c r="BC399">
        <v>690</v>
      </c>
      <c r="BD399" t="s">
        <v>74</v>
      </c>
      <c r="BE399" t="s">
        <v>8170</v>
      </c>
      <c r="BF399" t="str">
        <f>HYPERLINK("http://dx.doi.org/10.1016/j.jseaes.2017.06.012","http://dx.doi.org/10.1016/j.jseaes.2017.06.012")</f>
        <v>http://dx.doi.org/10.1016/j.jseaes.2017.06.012</v>
      </c>
      <c r="BG399" t="s">
        <v>74</v>
      </c>
      <c r="BH399" t="s">
        <v>74</v>
      </c>
      <c r="BI399">
        <v>12</v>
      </c>
      <c r="BJ399" t="s">
        <v>100</v>
      </c>
      <c r="BK399" t="s">
        <v>101</v>
      </c>
      <c r="BL399" t="s">
        <v>102</v>
      </c>
      <c r="BM399" t="s">
        <v>8171</v>
      </c>
      <c r="BN399" t="s">
        <v>74</v>
      </c>
      <c r="BO399" t="s">
        <v>74</v>
      </c>
      <c r="BP399" t="s">
        <v>74</v>
      </c>
      <c r="BQ399" t="s">
        <v>74</v>
      </c>
      <c r="BR399" t="s">
        <v>105</v>
      </c>
      <c r="BS399" t="s">
        <v>8172</v>
      </c>
      <c r="BT399" t="str">
        <f>HYPERLINK("https%3A%2F%2Fwww.webofscience.com%2Fwos%2Fwoscc%2Ffull-record%2FWOS:000411533600026","View Full Record in Web of Science")</f>
        <v>View Full Record in Web of Science</v>
      </c>
    </row>
    <row r="400" spans="1:72" x14ac:dyDescent="0.15">
      <c r="A400" t="s">
        <v>72</v>
      </c>
      <c r="B400" t="s">
        <v>8173</v>
      </c>
      <c r="C400" t="s">
        <v>74</v>
      </c>
      <c r="D400" t="s">
        <v>74</v>
      </c>
      <c r="E400" t="s">
        <v>74</v>
      </c>
      <c r="F400" t="s">
        <v>8174</v>
      </c>
      <c r="G400" t="s">
        <v>74</v>
      </c>
      <c r="H400" t="s">
        <v>74</v>
      </c>
      <c r="I400" t="s">
        <v>8175</v>
      </c>
      <c r="J400" t="s">
        <v>2406</v>
      </c>
      <c r="K400" t="s">
        <v>74</v>
      </c>
      <c r="L400" t="s">
        <v>74</v>
      </c>
      <c r="M400" t="s">
        <v>78</v>
      </c>
      <c r="N400" t="s">
        <v>79</v>
      </c>
      <c r="O400" t="s">
        <v>74</v>
      </c>
      <c r="P400" t="s">
        <v>74</v>
      </c>
      <c r="Q400" t="s">
        <v>74</v>
      </c>
      <c r="R400" t="s">
        <v>74</v>
      </c>
      <c r="S400" t="s">
        <v>74</v>
      </c>
      <c r="T400" t="s">
        <v>74</v>
      </c>
      <c r="U400" t="s">
        <v>8176</v>
      </c>
      <c r="V400" t="s">
        <v>8177</v>
      </c>
      <c r="W400" t="s">
        <v>8178</v>
      </c>
      <c r="X400" t="s">
        <v>8179</v>
      </c>
      <c r="Y400" t="s">
        <v>8180</v>
      </c>
      <c r="Z400" t="s">
        <v>8181</v>
      </c>
      <c r="AA400" t="s">
        <v>8182</v>
      </c>
      <c r="AB400" t="s">
        <v>8183</v>
      </c>
      <c r="AC400" t="s">
        <v>8184</v>
      </c>
      <c r="AD400" t="s">
        <v>8185</v>
      </c>
      <c r="AE400" t="s">
        <v>8186</v>
      </c>
      <c r="AF400" t="s">
        <v>74</v>
      </c>
      <c r="AG400">
        <v>73</v>
      </c>
      <c r="AH400">
        <v>40</v>
      </c>
      <c r="AI400">
        <v>41</v>
      </c>
      <c r="AJ400">
        <v>4</v>
      </c>
      <c r="AK400">
        <v>59</v>
      </c>
      <c r="AL400" t="s">
        <v>1366</v>
      </c>
      <c r="AM400" t="s">
        <v>1367</v>
      </c>
      <c r="AN400" t="s">
        <v>1368</v>
      </c>
      <c r="AO400" t="s">
        <v>2418</v>
      </c>
      <c r="AP400" t="s">
        <v>2419</v>
      </c>
      <c r="AQ400" t="s">
        <v>74</v>
      </c>
      <c r="AR400" t="s">
        <v>2420</v>
      </c>
      <c r="AS400" t="s">
        <v>2421</v>
      </c>
      <c r="AT400" t="s">
        <v>5544</v>
      </c>
      <c r="AU400">
        <v>2017</v>
      </c>
      <c r="AV400">
        <v>30</v>
      </c>
      <c r="AW400">
        <v>17</v>
      </c>
      <c r="AX400" t="s">
        <v>74</v>
      </c>
      <c r="AY400" t="s">
        <v>74</v>
      </c>
      <c r="AZ400" t="s">
        <v>74</v>
      </c>
      <c r="BA400" t="s">
        <v>74</v>
      </c>
      <c r="BB400">
        <v>6701</v>
      </c>
      <c r="BC400">
        <v>6722</v>
      </c>
      <c r="BD400" t="s">
        <v>74</v>
      </c>
      <c r="BE400" t="s">
        <v>8187</v>
      </c>
      <c r="BF400" t="str">
        <f>HYPERLINK("http://dx.doi.org/10.1175/JCLI-D-16-0536.1","http://dx.doi.org/10.1175/JCLI-D-16-0536.1")</f>
        <v>http://dx.doi.org/10.1175/JCLI-D-16-0536.1</v>
      </c>
      <c r="BG400" t="s">
        <v>74</v>
      </c>
      <c r="BH400" t="s">
        <v>74</v>
      </c>
      <c r="BI400">
        <v>22</v>
      </c>
      <c r="BJ400" t="s">
        <v>162</v>
      </c>
      <c r="BK400" t="s">
        <v>101</v>
      </c>
      <c r="BL400" t="s">
        <v>162</v>
      </c>
      <c r="BM400" t="s">
        <v>8188</v>
      </c>
      <c r="BN400" t="s">
        <v>74</v>
      </c>
      <c r="BO400" t="s">
        <v>1375</v>
      </c>
      <c r="BP400" t="s">
        <v>74</v>
      </c>
      <c r="BQ400" t="s">
        <v>74</v>
      </c>
      <c r="BR400" t="s">
        <v>105</v>
      </c>
      <c r="BS400" t="s">
        <v>8189</v>
      </c>
      <c r="BT400" t="str">
        <f>HYPERLINK("https%3A%2F%2Fwww.webofscience.com%2Fwos%2Fwoscc%2Ffull-record%2FWOS:000407276600007","View Full Record in Web of Science")</f>
        <v>View Full Record in Web of Science</v>
      </c>
    </row>
    <row r="401" spans="1:72" x14ac:dyDescent="0.15">
      <c r="A401" t="s">
        <v>72</v>
      </c>
      <c r="B401" t="s">
        <v>8190</v>
      </c>
      <c r="C401" t="s">
        <v>74</v>
      </c>
      <c r="D401" t="s">
        <v>74</v>
      </c>
      <c r="E401" t="s">
        <v>74</v>
      </c>
      <c r="F401" t="s">
        <v>8191</v>
      </c>
      <c r="G401" t="s">
        <v>74</v>
      </c>
      <c r="H401" t="s">
        <v>74</v>
      </c>
      <c r="I401" t="s">
        <v>8192</v>
      </c>
      <c r="J401" t="s">
        <v>2406</v>
      </c>
      <c r="K401" t="s">
        <v>74</v>
      </c>
      <c r="L401" t="s">
        <v>74</v>
      </c>
      <c r="M401" t="s">
        <v>78</v>
      </c>
      <c r="N401" t="s">
        <v>79</v>
      </c>
      <c r="O401" t="s">
        <v>74</v>
      </c>
      <c r="P401" t="s">
        <v>74</v>
      </c>
      <c r="Q401" t="s">
        <v>74</v>
      </c>
      <c r="R401" t="s">
        <v>74</v>
      </c>
      <c r="S401" t="s">
        <v>74</v>
      </c>
      <c r="T401" t="s">
        <v>74</v>
      </c>
      <c r="U401" t="s">
        <v>8193</v>
      </c>
      <c r="V401" t="s">
        <v>8194</v>
      </c>
      <c r="W401" t="s">
        <v>8195</v>
      </c>
      <c r="X401" t="s">
        <v>8196</v>
      </c>
      <c r="Y401" t="s">
        <v>8197</v>
      </c>
      <c r="Z401" t="s">
        <v>8198</v>
      </c>
      <c r="AA401" t="s">
        <v>8199</v>
      </c>
      <c r="AB401" t="s">
        <v>74</v>
      </c>
      <c r="AC401" t="s">
        <v>8200</v>
      </c>
      <c r="AD401" t="s">
        <v>8201</v>
      </c>
      <c r="AE401" t="s">
        <v>8202</v>
      </c>
      <c r="AF401" t="s">
        <v>74</v>
      </c>
      <c r="AG401">
        <v>34</v>
      </c>
      <c r="AH401">
        <v>9</v>
      </c>
      <c r="AI401">
        <v>11</v>
      </c>
      <c r="AJ401">
        <v>1</v>
      </c>
      <c r="AK401">
        <v>22</v>
      </c>
      <c r="AL401" t="s">
        <v>1366</v>
      </c>
      <c r="AM401" t="s">
        <v>1367</v>
      </c>
      <c r="AN401" t="s">
        <v>1574</v>
      </c>
      <c r="AO401" t="s">
        <v>2418</v>
      </c>
      <c r="AP401" t="s">
        <v>2419</v>
      </c>
      <c r="AQ401" t="s">
        <v>74</v>
      </c>
      <c r="AR401" t="s">
        <v>2420</v>
      </c>
      <c r="AS401" t="s">
        <v>2421</v>
      </c>
      <c r="AT401" t="s">
        <v>5544</v>
      </c>
      <c r="AU401">
        <v>2017</v>
      </c>
      <c r="AV401">
        <v>30</v>
      </c>
      <c r="AW401">
        <v>18</v>
      </c>
      <c r="AX401" t="s">
        <v>74</v>
      </c>
      <c r="AY401" t="s">
        <v>74</v>
      </c>
      <c r="AZ401" t="s">
        <v>74</v>
      </c>
      <c r="BA401" t="s">
        <v>74</v>
      </c>
      <c r="BB401">
        <v>7247</v>
      </c>
      <c r="BC401">
        <v>7253</v>
      </c>
      <c r="BD401" t="s">
        <v>74</v>
      </c>
      <c r="BE401" t="s">
        <v>8203</v>
      </c>
      <c r="BF401" t="str">
        <f>HYPERLINK("http://dx.doi.org/10.1175/JCLI-D-17-0027.1","http://dx.doi.org/10.1175/JCLI-D-17-0027.1")</f>
        <v>http://dx.doi.org/10.1175/JCLI-D-17-0027.1</v>
      </c>
      <c r="BG401" t="s">
        <v>74</v>
      </c>
      <c r="BH401" t="s">
        <v>74</v>
      </c>
      <c r="BI401">
        <v>7</v>
      </c>
      <c r="BJ401" t="s">
        <v>162</v>
      </c>
      <c r="BK401" t="s">
        <v>101</v>
      </c>
      <c r="BL401" t="s">
        <v>162</v>
      </c>
      <c r="BM401" t="s">
        <v>7313</v>
      </c>
      <c r="BN401" t="s">
        <v>74</v>
      </c>
      <c r="BO401" t="s">
        <v>511</v>
      </c>
      <c r="BP401" t="s">
        <v>74</v>
      </c>
      <c r="BQ401" t="s">
        <v>74</v>
      </c>
      <c r="BR401" t="s">
        <v>105</v>
      </c>
      <c r="BS401" t="s">
        <v>8204</v>
      </c>
      <c r="BT401" t="str">
        <f>HYPERLINK("https%3A%2F%2Fwww.webofscience.com%2Fwos%2Fwoscc%2Ffull-record%2FWOS:000408613400009","View Full Record in Web of Science")</f>
        <v>View Full Record in Web of Science</v>
      </c>
    </row>
    <row r="402" spans="1:72" x14ac:dyDescent="0.15">
      <c r="A402" t="s">
        <v>72</v>
      </c>
      <c r="B402" t="s">
        <v>8205</v>
      </c>
      <c r="C402" t="s">
        <v>74</v>
      </c>
      <c r="D402" t="s">
        <v>74</v>
      </c>
      <c r="E402" t="s">
        <v>74</v>
      </c>
      <c r="F402" t="s">
        <v>8206</v>
      </c>
      <c r="G402" t="s">
        <v>74</v>
      </c>
      <c r="H402" t="s">
        <v>74</v>
      </c>
      <c r="I402" t="s">
        <v>8207</v>
      </c>
      <c r="J402" t="s">
        <v>8208</v>
      </c>
      <c r="K402" t="s">
        <v>74</v>
      </c>
      <c r="L402" t="s">
        <v>74</v>
      </c>
      <c r="M402" t="s">
        <v>78</v>
      </c>
      <c r="N402" t="s">
        <v>79</v>
      </c>
      <c r="O402" t="s">
        <v>74</v>
      </c>
      <c r="P402" t="s">
        <v>74</v>
      </c>
      <c r="Q402" t="s">
        <v>74</v>
      </c>
      <c r="R402" t="s">
        <v>74</v>
      </c>
      <c r="S402" t="s">
        <v>74</v>
      </c>
      <c r="T402" t="s">
        <v>74</v>
      </c>
      <c r="U402" t="s">
        <v>8209</v>
      </c>
      <c r="V402" t="s">
        <v>8210</v>
      </c>
      <c r="W402" t="s">
        <v>8211</v>
      </c>
      <c r="X402" t="s">
        <v>8212</v>
      </c>
      <c r="Y402" t="s">
        <v>8213</v>
      </c>
      <c r="Z402" t="s">
        <v>8214</v>
      </c>
      <c r="AA402" t="s">
        <v>8215</v>
      </c>
      <c r="AB402" t="s">
        <v>8216</v>
      </c>
      <c r="AC402" t="s">
        <v>8217</v>
      </c>
      <c r="AD402" t="s">
        <v>8218</v>
      </c>
      <c r="AE402" t="s">
        <v>8219</v>
      </c>
      <c r="AF402" t="s">
        <v>74</v>
      </c>
      <c r="AG402">
        <v>113</v>
      </c>
      <c r="AH402">
        <v>24</v>
      </c>
      <c r="AI402">
        <v>24</v>
      </c>
      <c r="AJ402">
        <v>4</v>
      </c>
      <c r="AK402">
        <v>51</v>
      </c>
      <c r="AL402" t="s">
        <v>371</v>
      </c>
      <c r="AM402" t="s">
        <v>372</v>
      </c>
      <c r="AN402" t="s">
        <v>373</v>
      </c>
      <c r="AO402" t="s">
        <v>8220</v>
      </c>
      <c r="AP402" t="s">
        <v>8221</v>
      </c>
      <c r="AQ402" t="s">
        <v>74</v>
      </c>
      <c r="AR402" t="s">
        <v>8222</v>
      </c>
      <c r="AS402" t="s">
        <v>8223</v>
      </c>
      <c r="AT402" t="s">
        <v>5544</v>
      </c>
      <c r="AU402">
        <v>2017</v>
      </c>
      <c r="AV402">
        <v>494</v>
      </c>
      <c r="AW402" t="s">
        <v>74</v>
      </c>
      <c r="AX402" t="s">
        <v>74</v>
      </c>
      <c r="AY402" t="s">
        <v>74</v>
      </c>
      <c r="AZ402" t="s">
        <v>74</v>
      </c>
      <c r="BA402" t="s">
        <v>74</v>
      </c>
      <c r="BB402">
        <v>1</v>
      </c>
      <c r="BC402">
        <v>9</v>
      </c>
      <c r="BD402" t="s">
        <v>74</v>
      </c>
      <c r="BE402" t="s">
        <v>8224</v>
      </c>
      <c r="BF402" t="str">
        <f>HYPERLINK("http://dx.doi.org/10.1016/j.jembe.2017.04.004","http://dx.doi.org/10.1016/j.jembe.2017.04.004")</f>
        <v>http://dx.doi.org/10.1016/j.jembe.2017.04.004</v>
      </c>
      <c r="BG402" t="s">
        <v>74</v>
      </c>
      <c r="BH402" t="s">
        <v>74</v>
      </c>
      <c r="BI402">
        <v>9</v>
      </c>
      <c r="BJ402" t="s">
        <v>7921</v>
      </c>
      <c r="BK402" t="s">
        <v>101</v>
      </c>
      <c r="BL402" t="s">
        <v>4979</v>
      </c>
      <c r="BM402" t="s">
        <v>8225</v>
      </c>
      <c r="BN402" t="s">
        <v>74</v>
      </c>
      <c r="BO402" t="s">
        <v>74</v>
      </c>
      <c r="BP402" t="s">
        <v>74</v>
      </c>
      <c r="BQ402" t="s">
        <v>74</v>
      </c>
      <c r="BR402" t="s">
        <v>105</v>
      </c>
      <c r="BS402" t="s">
        <v>8226</v>
      </c>
      <c r="BT402" t="str">
        <f>HYPERLINK("https%3A%2F%2Fwww.webofscience.com%2Fwos%2Fwoscc%2Ffull-record%2FWOS:000404196100001","View Full Record in Web of Science")</f>
        <v>View Full Record in Web of Science</v>
      </c>
    </row>
    <row r="403" spans="1:72" x14ac:dyDescent="0.15">
      <c r="A403" t="s">
        <v>72</v>
      </c>
      <c r="B403" t="s">
        <v>8227</v>
      </c>
      <c r="C403" t="s">
        <v>74</v>
      </c>
      <c r="D403" t="s">
        <v>74</v>
      </c>
      <c r="E403" t="s">
        <v>74</v>
      </c>
      <c r="F403" t="s">
        <v>8228</v>
      </c>
      <c r="G403" t="s">
        <v>74</v>
      </c>
      <c r="H403" t="s">
        <v>74</v>
      </c>
      <c r="I403" t="s">
        <v>8229</v>
      </c>
      <c r="J403" t="s">
        <v>8230</v>
      </c>
      <c r="K403" t="s">
        <v>74</v>
      </c>
      <c r="L403" t="s">
        <v>74</v>
      </c>
      <c r="M403" t="s">
        <v>78</v>
      </c>
      <c r="N403" t="s">
        <v>79</v>
      </c>
      <c r="O403" t="s">
        <v>74</v>
      </c>
      <c r="P403" t="s">
        <v>74</v>
      </c>
      <c r="Q403" t="s">
        <v>74</v>
      </c>
      <c r="R403" t="s">
        <v>74</v>
      </c>
      <c r="S403" t="s">
        <v>74</v>
      </c>
      <c r="T403" t="s">
        <v>8231</v>
      </c>
      <c r="U403" t="s">
        <v>8232</v>
      </c>
      <c r="V403" t="s">
        <v>8233</v>
      </c>
      <c r="W403" t="s">
        <v>8234</v>
      </c>
      <c r="X403" t="s">
        <v>8235</v>
      </c>
      <c r="Y403" t="s">
        <v>8236</v>
      </c>
      <c r="Z403" t="s">
        <v>8237</v>
      </c>
      <c r="AA403" t="s">
        <v>8238</v>
      </c>
      <c r="AB403" t="s">
        <v>8239</v>
      </c>
      <c r="AC403" t="s">
        <v>8240</v>
      </c>
      <c r="AD403" t="s">
        <v>8241</v>
      </c>
      <c r="AE403" t="s">
        <v>8242</v>
      </c>
      <c r="AF403" t="s">
        <v>74</v>
      </c>
      <c r="AG403">
        <v>28</v>
      </c>
      <c r="AH403">
        <v>28</v>
      </c>
      <c r="AI403">
        <v>29</v>
      </c>
      <c r="AJ403">
        <v>2</v>
      </c>
      <c r="AK403">
        <v>35</v>
      </c>
      <c r="AL403" t="s">
        <v>208</v>
      </c>
      <c r="AM403" t="s">
        <v>209</v>
      </c>
      <c r="AN403" t="s">
        <v>210</v>
      </c>
      <c r="AO403" t="s">
        <v>8243</v>
      </c>
      <c r="AP403" t="s">
        <v>8244</v>
      </c>
      <c r="AQ403" t="s">
        <v>74</v>
      </c>
      <c r="AR403" t="s">
        <v>8245</v>
      </c>
      <c r="AS403" t="s">
        <v>8246</v>
      </c>
      <c r="AT403" t="s">
        <v>5544</v>
      </c>
      <c r="AU403">
        <v>2017</v>
      </c>
      <c r="AV403">
        <v>91</v>
      </c>
      <c r="AW403">
        <v>9</v>
      </c>
      <c r="AX403" t="s">
        <v>74</v>
      </c>
      <c r="AY403" t="s">
        <v>74</v>
      </c>
      <c r="AZ403" t="s">
        <v>74</v>
      </c>
      <c r="BA403" t="s">
        <v>74</v>
      </c>
      <c r="BB403">
        <v>1087</v>
      </c>
      <c r="BC403">
        <v>1097</v>
      </c>
      <c r="BD403" t="s">
        <v>74</v>
      </c>
      <c r="BE403" t="s">
        <v>8247</v>
      </c>
      <c r="BF403" t="str">
        <f>HYPERLINK("http://dx.doi.org/10.1007/s00190-017-1011-4","http://dx.doi.org/10.1007/s00190-017-1011-4")</f>
        <v>http://dx.doi.org/10.1007/s00190-017-1011-4</v>
      </c>
      <c r="BG403" t="s">
        <v>74</v>
      </c>
      <c r="BH403" t="s">
        <v>74</v>
      </c>
      <c r="BI403">
        <v>11</v>
      </c>
      <c r="BJ403" t="s">
        <v>8248</v>
      </c>
      <c r="BK403" t="s">
        <v>101</v>
      </c>
      <c r="BL403" t="s">
        <v>8248</v>
      </c>
      <c r="BM403" t="s">
        <v>8249</v>
      </c>
      <c r="BN403" t="s">
        <v>74</v>
      </c>
      <c r="BO403" t="s">
        <v>74</v>
      </c>
      <c r="BP403" t="s">
        <v>74</v>
      </c>
      <c r="BQ403" t="s">
        <v>74</v>
      </c>
      <c r="BR403" t="s">
        <v>105</v>
      </c>
      <c r="BS403" t="s">
        <v>8250</v>
      </c>
      <c r="BT403" t="str">
        <f>HYPERLINK("https%3A%2F%2Fwww.webofscience.com%2Fwos%2Fwoscc%2Ffull-record%2FWOS:000407942700005","View Full Record in Web of Science")</f>
        <v>View Full Record in Web of Science</v>
      </c>
    </row>
    <row r="404" spans="1:72" x14ac:dyDescent="0.15">
      <c r="A404" t="s">
        <v>72</v>
      </c>
      <c r="B404" t="s">
        <v>8251</v>
      </c>
      <c r="C404" t="s">
        <v>74</v>
      </c>
      <c r="D404" t="s">
        <v>74</v>
      </c>
      <c r="E404" t="s">
        <v>74</v>
      </c>
      <c r="F404" t="s">
        <v>8252</v>
      </c>
      <c r="G404" t="s">
        <v>74</v>
      </c>
      <c r="H404" t="s">
        <v>74</v>
      </c>
      <c r="I404" t="s">
        <v>8253</v>
      </c>
      <c r="J404" t="s">
        <v>8230</v>
      </c>
      <c r="K404" t="s">
        <v>74</v>
      </c>
      <c r="L404" t="s">
        <v>74</v>
      </c>
      <c r="M404" t="s">
        <v>78</v>
      </c>
      <c r="N404" t="s">
        <v>79</v>
      </c>
      <c r="O404" t="s">
        <v>74</v>
      </c>
      <c r="P404" t="s">
        <v>74</v>
      </c>
      <c r="Q404" t="s">
        <v>74</v>
      </c>
      <c r="R404" t="s">
        <v>74</v>
      </c>
      <c r="S404" t="s">
        <v>74</v>
      </c>
      <c r="T404" t="s">
        <v>8254</v>
      </c>
      <c r="U404" t="s">
        <v>8255</v>
      </c>
      <c r="V404" t="s">
        <v>8256</v>
      </c>
      <c r="W404" t="s">
        <v>8257</v>
      </c>
      <c r="X404" t="s">
        <v>8258</v>
      </c>
      <c r="Y404" t="s">
        <v>8259</v>
      </c>
      <c r="Z404" t="s">
        <v>8260</v>
      </c>
      <c r="AA404" t="s">
        <v>74</v>
      </c>
      <c r="AB404" t="s">
        <v>74</v>
      </c>
      <c r="AC404" t="s">
        <v>8261</v>
      </c>
      <c r="AD404" t="s">
        <v>8261</v>
      </c>
      <c r="AE404" t="s">
        <v>8262</v>
      </c>
      <c r="AF404" t="s">
        <v>74</v>
      </c>
      <c r="AG404">
        <v>42</v>
      </c>
      <c r="AH404">
        <v>6</v>
      </c>
      <c r="AI404">
        <v>6</v>
      </c>
      <c r="AJ404">
        <v>0</v>
      </c>
      <c r="AK404">
        <v>10</v>
      </c>
      <c r="AL404" t="s">
        <v>208</v>
      </c>
      <c r="AM404" t="s">
        <v>209</v>
      </c>
      <c r="AN404" t="s">
        <v>210</v>
      </c>
      <c r="AO404" t="s">
        <v>8243</v>
      </c>
      <c r="AP404" t="s">
        <v>8244</v>
      </c>
      <c r="AQ404" t="s">
        <v>74</v>
      </c>
      <c r="AR404" t="s">
        <v>8245</v>
      </c>
      <c r="AS404" t="s">
        <v>8246</v>
      </c>
      <c r="AT404" t="s">
        <v>5544</v>
      </c>
      <c r="AU404">
        <v>2017</v>
      </c>
      <c r="AV404">
        <v>91</v>
      </c>
      <c r="AW404">
        <v>9</v>
      </c>
      <c r="AX404" t="s">
        <v>74</v>
      </c>
      <c r="AY404" t="s">
        <v>74</v>
      </c>
      <c r="AZ404" t="s">
        <v>74</v>
      </c>
      <c r="BA404" t="s">
        <v>74</v>
      </c>
      <c r="BB404">
        <v>1117</v>
      </c>
      <c r="BC404">
        <v>1133</v>
      </c>
      <c r="BD404" t="s">
        <v>74</v>
      </c>
      <c r="BE404" t="s">
        <v>8263</v>
      </c>
      <c r="BF404" t="str">
        <f>HYPERLINK("http://dx.doi.org/10.1007/s00190-017-1013-2","http://dx.doi.org/10.1007/s00190-017-1013-2")</f>
        <v>http://dx.doi.org/10.1007/s00190-017-1013-2</v>
      </c>
      <c r="BG404" t="s">
        <v>74</v>
      </c>
      <c r="BH404" t="s">
        <v>74</v>
      </c>
      <c r="BI404">
        <v>17</v>
      </c>
      <c r="BJ404" t="s">
        <v>8248</v>
      </c>
      <c r="BK404" t="s">
        <v>101</v>
      </c>
      <c r="BL404" t="s">
        <v>8248</v>
      </c>
      <c r="BM404" t="s">
        <v>8249</v>
      </c>
      <c r="BN404" t="s">
        <v>74</v>
      </c>
      <c r="BO404" t="s">
        <v>74</v>
      </c>
      <c r="BP404" t="s">
        <v>74</v>
      </c>
      <c r="BQ404" t="s">
        <v>74</v>
      </c>
      <c r="BR404" t="s">
        <v>105</v>
      </c>
      <c r="BS404" t="s">
        <v>8264</v>
      </c>
      <c r="BT404" t="str">
        <f>HYPERLINK("https%3A%2F%2Fwww.webofscience.com%2Fwos%2Fwoscc%2Ffull-record%2FWOS:000407942700007","View Full Record in Web of Science")</f>
        <v>View Full Record in Web of Science</v>
      </c>
    </row>
    <row r="405" spans="1:72" x14ac:dyDescent="0.15">
      <c r="A405" t="s">
        <v>72</v>
      </c>
      <c r="B405" t="s">
        <v>8265</v>
      </c>
      <c r="C405" t="s">
        <v>74</v>
      </c>
      <c r="D405" t="s">
        <v>74</v>
      </c>
      <c r="E405" t="s">
        <v>74</v>
      </c>
      <c r="F405" t="s">
        <v>8266</v>
      </c>
      <c r="G405" t="s">
        <v>74</v>
      </c>
      <c r="H405" t="s">
        <v>74</v>
      </c>
      <c r="I405" t="s">
        <v>8267</v>
      </c>
      <c r="J405" t="s">
        <v>1441</v>
      </c>
      <c r="K405" t="s">
        <v>74</v>
      </c>
      <c r="L405" t="s">
        <v>74</v>
      </c>
      <c r="M405" t="s">
        <v>78</v>
      </c>
      <c r="N405" t="s">
        <v>79</v>
      </c>
      <c r="O405" t="s">
        <v>74</v>
      </c>
      <c r="P405" t="s">
        <v>74</v>
      </c>
      <c r="Q405" t="s">
        <v>74</v>
      </c>
      <c r="R405" t="s">
        <v>74</v>
      </c>
      <c r="S405" t="s">
        <v>74</v>
      </c>
      <c r="T405" t="s">
        <v>8268</v>
      </c>
      <c r="U405" t="s">
        <v>8269</v>
      </c>
      <c r="V405" t="s">
        <v>8270</v>
      </c>
      <c r="W405" t="s">
        <v>8271</v>
      </c>
      <c r="X405" t="s">
        <v>8272</v>
      </c>
      <c r="Y405" t="s">
        <v>8273</v>
      </c>
      <c r="Z405" t="s">
        <v>8274</v>
      </c>
      <c r="AA405" t="s">
        <v>8275</v>
      </c>
      <c r="AB405" t="s">
        <v>8276</v>
      </c>
      <c r="AC405" t="s">
        <v>8277</v>
      </c>
      <c r="AD405" t="s">
        <v>8278</v>
      </c>
      <c r="AE405" t="s">
        <v>8279</v>
      </c>
      <c r="AF405" t="s">
        <v>74</v>
      </c>
      <c r="AG405">
        <v>65</v>
      </c>
      <c r="AH405">
        <v>24</v>
      </c>
      <c r="AI405">
        <v>25</v>
      </c>
      <c r="AJ405">
        <v>1</v>
      </c>
      <c r="AK405">
        <v>29</v>
      </c>
      <c r="AL405" t="s">
        <v>91</v>
      </c>
      <c r="AM405" t="s">
        <v>92</v>
      </c>
      <c r="AN405" t="s">
        <v>93</v>
      </c>
      <c r="AO405" t="s">
        <v>1454</v>
      </c>
      <c r="AP405" t="s">
        <v>1455</v>
      </c>
      <c r="AQ405" t="s">
        <v>74</v>
      </c>
      <c r="AR405" t="s">
        <v>1456</v>
      </c>
      <c r="AS405" t="s">
        <v>1457</v>
      </c>
      <c r="AT405" t="s">
        <v>5544</v>
      </c>
      <c r="AU405">
        <v>2017</v>
      </c>
      <c r="AV405">
        <v>122</v>
      </c>
      <c r="AW405">
        <v>9</v>
      </c>
      <c r="AX405" t="s">
        <v>74</v>
      </c>
      <c r="AY405" t="s">
        <v>74</v>
      </c>
      <c r="AZ405" t="s">
        <v>74</v>
      </c>
      <c r="BA405" t="s">
        <v>74</v>
      </c>
      <c r="BB405">
        <v>7344</v>
      </c>
      <c r="BC405">
        <v>7363</v>
      </c>
      <c r="BD405" t="s">
        <v>74</v>
      </c>
      <c r="BE405" t="s">
        <v>8280</v>
      </c>
      <c r="BF405" t="str">
        <f>HYPERLINK("http://dx.doi.org/10.1002/2017JC012964","http://dx.doi.org/10.1002/2017JC012964")</f>
        <v>http://dx.doi.org/10.1002/2017JC012964</v>
      </c>
      <c r="BG405" t="s">
        <v>74</v>
      </c>
      <c r="BH405" t="s">
        <v>74</v>
      </c>
      <c r="BI405">
        <v>20</v>
      </c>
      <c r="BJ405" t="s">
        <v>1459</v>
      </c>
      <c r="BK405" t="s">
        <v>101</v>
      </c>
      <c r="BL405" t="s">
        <v>1459</v>
      </c>
      <c r="BM405" t="s">
        <v>6091</v>
      </c>
      <c r="BN405" t="s">
        <v>74</v>
      </c>
      <c r="BO405" t="s">
        <v>164</v>
      </c>
      <c r="BP405" t="s">
        <v>74</v>
      </c>
      <c r="BQ405" t="s">
        <v>74</v>
      </c>
      <c r="BR405" t="s">
        <v>105</v>
      </c>
      <c r="BS405" t="s">
        <v>8281</v>
      </c>
      <c r="BT405" t="str">
        <f>HYPERLINK("https%3A%2F%2Fwww.webofscience.com%2Fwos%2Fwoscc%2Ffull-record%2FWOS:000413167200021","View Full Record in Web of Science")</f>
        <v>View Full Record in Web of Science</v>
      </c>
    </row>
    <row r="406" spans="1:72" x14ac:dyDescent="0.15">
      <c r="A406" t="s">
        <v>72</v>
      </c>
      <c r="B406" t="s">
        <v>8282</v>
      </c>
      <c r="C406" t="s">
        <v>74</v>
      </c>
      <c r="D406" t="s">
        <v>74</v>
      </c>
      <c r="E406" t="s">
        <v>74</v>
      </c>
      <c r="F406" t="s">
        <v>8283</v>
      </c>
      <c r="G406" t="s">
        <v>74</v>
      </c>
      <c r="H406" t="s">
        <v>74</v>
      </c>
      <c r="I406" t="s">
        <v>8284</v>
      </c>
      <c r="J406" t="s">
        <v>1441</v>
      </c>
      <c r="K406" t="s">
        <v>74</v>
      </c>
      <c r="L406" t="s">
        <v>74</v>
      </c>
      <c r="M406" t="s">
        <v>78</v>
      </c>
      <c r="N406" t="s">
        <v>79</v>
      </c>
      <c r="O406" t="s">
        <v>74</v>
      </c>
      <c r="P406" t="s">
        <v>74</v>
      </c>
      <c r="Q406" t="s">
        <v>74</v>
      </c>
      <c r="R406" t="s">
        <v>74</v>
      </c>
      <c r="S406" t="s">
        <v>74</v>
      </c>
      <c r="T406" t="s">
        <v>8285</v>
      </c>
      <c r="U406" t="s">
        <v>8286</v>
      </c>
      <c r="V406" t="s">
        <v>8287</v>
      </c>
      <c r="W406" t="s">
        <v>8288</v>
      </c>
      <c r="X406" t="s">
        <v>4340</v>
      </c>
      <c r="Y406" t="s">
        <v>8289</v>
      </c>
      <c r="Z406" t="s">
        <v>8290</v>
      </c>
      <c r="AA406" t="s">
        <v>8291</v>
      </c>
      <c r="AB406" t="s">
        <v>8292</v>
      </c>
      <c r="AC406" t="s">
        <v>8293</v>
      </c>
      <c r="AD406" t="s">
        <v>8294</v>
      </c>
      <c r="AE406" t="s">
        <v>8295</v>
      </c>
      <c r="AF406" t="s">
        <v>74</v>
      </c>
      <c r="AG406">
        <v>88</v>
      </c>
      <c r="AH406">
        <v>20</v>
      </c>
      <c r="AI406">
        <v>21</v>
      </c>
      <c r="AJ406">
        <v>2</v>
      </c>
      <c r="AK406">
        <v>16</v>
      </c>
      <c r="AL406" t="s">
        <v>91</v>
      </c>
      <c r="AM406" t="s">
        <v>92</v>
      </c>
      <c r="AN406" t="s">
        <v>93</v>
      </c>
      <c r="AO406" t="s">
        <v>1454</v>
      </c>
      <c r="AP406" t="s">
        <v>1455</v>
      </c>
      <c r="AQ406" t="s">
        <v>74</v>
      </c>
      <c r="AR406" t="s">
        <v>1456</v>
      </c>
      <c r="AS406" t="s">
        <v>1457</v>
      </c>
      <c r="AT406" t="s">
        <v>5544</v>
      </c>
      <c r="AU406">
        <v>2017</v>
      </c>
      <c r="AV406">
        <v>122</v>
      </c>
      <c r="AW406">
        <v>9</v>
      </c>
      <c r="AX406" t="s">
        <v>74</v>
      </c>
      <c r="AY406" t="s">
        <v>74</v>
      </c>
      <c r="AZ406" t="s">
        <v>74</v>
      </c>
      <c r="BA406" t="s">
        <v>74</v>
      </c>
      <c r="BB406">
        <v>7407</v>
      </c>
      <c r="BC406">
        <v>7432</v>
      </c>
      <c r="BD406" t="s">
        <v>74</v>
      </c>
      <c r="BE406" t="s">
        <v>8296</v>
      </c>
      <c r="BF406" t="str">
        <f>HYPERLINK("http://dx.doi.org/10.1002/2016JC012646","http://dx.doi.org/10.1002/2016JC012646")</f>
        <v>http://dx.doi.org/10.1002/2016JC012646</v>
      </c>
      <c r="BG406" t="s">
        <v>74</v>
      </c>
      <c r="BH406" t="s">
        <v>74</v>
      </c>
      <c r="BI406">
        <v>26</v>
      </c>
      <c r="BJ406" t="s">
        <v>1459</v>
      </c>
      <c r="BK406" t="s">
        <v>101</v>
      </c>
      <c r="BL406" t="s">
        <v>1459</v>
      </c>
      <c r="BM406" t="s">
        <v>6091</v>
      </c>
      <c r="BN406" t="s">
        <v>74</v>
      </c>
      <c r="BO406" t="s">
        <v>8297</v>
      </c>
      <c r="BP406" t="s">
        <v>74</v>
      </c>
      <c r="BQ406" t="s">
        <v>74</v>
      </c>
      <c r="BR406" t="s">
        <v>105</v>
      </c>
      <c r="BS406" t="s">
        <v>8298</v>
      </c>
      <c r="BT406" t="str">
        <f>HYPERLINK("https%3A%2F%2Fwww.webofscience.com%2Fwos%2Fwoscc%2Ffull-record%2FWOS:000413167200025","View Full Record in Web of Science")</f>
        <v>View Full Record in Web of Science</v>
      </c>
    </row>
    <row r="407" spans="1:72" x14ac:dyDescent="0.15">
      <c r="A407" t="s">
        <v>72</v>
      </c>
      <c r="B407" t="s">
        <v>8299</v>
      </c>
      <c r="C407" t="s">
        <v>74</v>
      </c>
      <c r="D407" t="s">
        <v>74</v>
      </c>
      <c r="E407" t="s">
        <v>74</v>
      </c>
      <c r="F407" t="s">
        <v>8300</v>
      </c>
      <c r="G407" t="s">
        <v>74</v>
      </c>
      <c r="H407" t="s">
        <v>74</v>
      </c>
      <c r="I407" t="s">
        <v>8301</v>
      </c>
      <c r="J407" t="s">
        <v>8302</v>
      </c>
      <c r="K407" t="s">
        <v>74</v>
      </c>
      <c r="L407" t="s">
        <v>74</v>
      </c>
      <c r="M407" t="s">
        <v>78</v>
      </c>
      <c r="N407" t="s">
        <v>79</v>
      </c>
      <c r="O407" t="s">
        <v>74</v>
      </c>
      <c r="P407" t="s">
        <v>74</v>
      </c>
      <c r="Q407" t="s">
        <v>74</v>
      </c>
      <c r="R407" t="s">
        <v>74</v>
      </c>
      <c r="S407" t="s">
        <v>74</v>
      </c>
      <c r="T407" t="s">
        <v>8303</v>
      </c>
      <c r="U407" t="s">
        <v>8304</v>
      </c>
      <c r="V407" t="s">
        <v>8305</v>
      </c>
      <c r="W407" t="s">
        <v>8306</v>
      </c>
      <c r="X407" t="s">
        <v>8307</v>
      </c>
      <c r="Y407" t="s">
        <v>8308</v>
      </c>
      <c r="Z407" t="s">
        <v>8309</v>
      </c>
      <c r="AA407" t="s">
        <v>8310</v>
      </c>
      <c r="AB407" t="s">
        <v>8311</v>
      </c>
      <c r="AC407" t="s">
        <v>8312</v>
      </c>
      <c r="AD407" t="s">
        <v>8312</v>
      </c>
      <c r="AE407" t="s">
        <v>8313</v>
      </c>
      <c r="AF407" t="s">
        <v>74</v>
      </c>
      <c r="AG407">
        <v>128</v>
      </c>
      <c r="AH407">
        <v>48</v>
      </c>
      <c r="AI407">
        <v>52</v>
      </c>
      <c r="AJ407">
        <v>1</v>
      </c>
      <c r="AK407">
        <v>31</v>
      </c>
      <c r="AL407" t="s">
        <v>91</v>
      </c>
      <c r="AM407" t="s">
        <v>92</v>
      </c>
      <c r="AN407" t="s">
        <v>93</v>
      </c>
      <c r="AO407" t="s">
        <v>8314</v>
      </c>
      <c r="AP407" t="s">
        <v>8315</v>
      </c>
      <c r="AQ407" t="s">
        <v>74</v>
      </c>
      <c r="AR407" t="s">
        <v>8316</v>
      </c>
      <c r="AS407" t="s">
        <v>8317</v>
      </c>
      <c r="AT407" t="s">
        <v>5544</v>
      </c>
      <c r="AU407">
        <v>2017</v>
      </c>
      <c r="AV407">
        <v>122</v>
      </c>
      <c r="AW407">
        <v>9</v>
      </c>
      <c r="AX407" t="s">
        <v>74</v>
      </c>
      <c r="AY407" t="s">
        <v>74</v>
      </c>
      <c r="AZ407" t="s">
        <v>74</v>
      </c>
      <c r="BA407" t="s">
        <v>74</v>
      </c>
      <c r="BB407">
        <v>7127</v>
      </c>
      <c r="BC407">
        <v>7155</v>
      </c>
      <c r="BD407" t="s">
        <v>74</v>
      </c>
      <c r="BE407" t="s">
        <v>8318</v>
      </c>
      <c r="BF407" t="str">
        <f>HYPERLINK("http://dx.doi.org/10.1002/2017JB014423","http://dx.doi.org/10.1002/2017JB014423")</f>
        <v>http://dx.doi.org/10.1002/2017JB014423</v>
      </c>
      <c r="BG407" t="s">
        <v>74</v>
      </c>
      <c r="BH407" t="s">
        <v>74</v>
      </c>
      <c r="BI407">
        <v>29</v>
      </c>
      <c r="BJ407" t="s">
        <v>509</v>
      </c>
      <c r="BK407" t="s">
        <v>101</v>
      </c>
      <c r="BL407" t="s">
        <v>509</v>
      </c>
      <c r="BM407" t="s">
        <v>8319</v>
      </c>
      <c r="BN407" t="s">
        <v>74</v>
      </c>
      <c r="BO407" t="s">
        <v>74</v>
      </c>
      <c r="BP407" t="s">
        <v>74</v>
      </c>
      <c r="BQ407" t="s">
        <v>74</v>
      </c>
      <c r="BR407" t="s">
        <v>105</v>
      </c>
      <c r="BS407" t="s">
        <v>8320</v>
      </c>
      <c r="BT407" t="str">
        <f>HYPERLINK("https%3A%2F%2Fwww.webofscience.com%2Fwos%2Fwoscc%2Ffull-record%2FWOS:000412881700010","View Full Record in Web of Science")</f>
        <v>View Full Record in Web of Science</v>
      </c>
    </row>
    <row r="408" spans="1:72" x14ac:dyDescent="0.15">
      <c r="A408" t="s">
        <v>72</v>
      </c>
      <c r="B408" t="s">
        <v>8321</v>
      </c>
      <c r="C408" t="s">
        <v>74</v>
      </c>
      <c r="D408" t="s">
        <v>74</v>
      </c>
      <c r="E408" t="s">
        <v>74</v>
      </c>
      <c r="F408" t="s">
        <v>8322</v>
      </c>
      <c r="G408" t="s">
        <v>74</v>
      </c>
      <c r="H408" t="s">
        <v>74</v>
      </c>
      <c r="I408" t="s">
        <v>8323</v>
      </c>
      <c r="J408" t="s">
        <v>1221</v>
      </c>
      <c r="K408" t="s">
        <v>74</v>
      </c>
      <c r="L408" t="s">
        <v>74</v>
      </c>
      <c r="M408" t="s">
        <v>78</v>
      </c>
      <c r="N408" t="s">
        <v>79</v>
      </c>
      <c r="O408" t="s">
        <v>74</v>
      </c>
      <c r="P408" t="s">
        <v>74</v>
      </c>
      <c r="Q408" t="s">
        <v>74</v>
      </c>
      <c r="R408" t="s">
        <v>74</v>
      </c>
      <c r="S408" t="s">
        <v>74</v>
      </c>
      <c r="T408" t="s">
        <v>74</v>
      </c>
      <c r="U408" t="s">
        <v>8324</v>
      </c>
      <c r="V408" t="s">
        <v>8325</v>
      </c>
      <c r="W408" t="s">
        <v>8326</v>
      </c>
      <c r="X408" t="s">
        <v>8327</v>
      </c>
      <c r="Y408" t="s">
        <v>8328</v>
      </c>
      <c r="Z408" t="s">
        <v>8329</v>
      </c>
      <c r="AA408" t="s">
        <v>8330</v>
      </c>
      <c r="AB408" t="s">
        <v>8331</v>
      </c>
      <c r="AC408" t="s">
        <v>8332</v>
      </c>
      <c r="AD408" t="s">
        <v>8333</v>
      </c>
      <c r="AE408" t="s">
        <v>8334</v>
      </c>
      <c r="AF408" t="s">
        <v>74</v>
      </c>
      <c r="AG408">
        <v>34</v>
      </c>
      <c r="AH408">
        <v>11</v>
      </c>
      <c r="AI408">
        <v>11</v>
      </c>
      <c r="AJ408">
        <v>1</v>
      </c>
      <c r="AK408">
        <v>10</v>
      </c>
      <c r="AL408" t="s">
        <v>91</v>
      </c>
      <c r="AM408" t="s">
        <v>92</v>
      </c>
      <c r="AN408" t="s">
        <v>93</v>
      </c>
      <c r="AO408" t="s">
        <v>1233</v>
      </c>
      <c r="AP408" t="s">
        <v>1234</v>
      </c>
      <c r="AQ408" t="s">
        <v>74</v>
      </c>
      <c r="AR408" t="s">
        <v>1235</v>
      </c>
      <c r="AS408" t="s">
        <v>1236</v>
      </c>
      <c r="AT408" t="s">
        <v>5544</v>
      </c>
      <c r="AU408">
        <v>2017</v>
      </c>
      <c r="AV408">
        <v>122</v>
      </c>
      <c r="AW408">
        <v>9</v>
      </c>
      <c r="AX408" t="s">
        <v>74</v>
      </c>
      <c r="AY408" t="s">
        <v>74</v>
      </c>
      <c r="AZ408" t="s">
        <v>74</v>
      </c>
      <c r="BA408" t="s">
        <v>74</v>
      </c>
      <c r="BB408">
        <v>9685</v>
      </c>
      <c r="BC408">
        <v>9695</v>
      </c>
      <c r="BD408" t="s">
        <v>74</v>
      </c>
      <c r="BE408" t="s">
        <v>8335</v>
      </c>
      <c r="BF408" t="str">
        <f>HYPERLINK("http://dx.doi.org/10.1002/2017JA024408","http://dx.doi.org/10.1002/2017JA024408")</f>
        <v>http://dx.doi.org/10.1002/2017JA024408</v>
      </c>
      <c r="BG408" t="s">
        <v>74</v>
      </c>
      <c r="BH408" t="s">
        <v>74</v>
      </c>
      <c r="BI408">
        <v>11</v>
      </c>
      <c r="BJ408" t="s">
        <v>349</v>
      </c>
      <c r="BK408" t="s">
        <v>101</v>
      </c>
      <c r="BL408" t="s">
        <v>349</v>
      </c>
      <c r="BM408" t="s">
        <v>6159</v>
      </c>
      <c r="BN408" t="s">
        <v>74</v>
      </c>
      <c r="BO408" t="s">
        <v>74</v>
      </c>
      <c r="BP408" t="s">
        <v>74</v>
      </c>
      <c r="BQ408" t="s">
        <v>74</v>
      </c>
      <c r="BR408" t="s">
        <v>105</v>
      </c>
      <c r="BS408" t="s">
        <v>8336</v>
      </c>
      <c r="BT408" t="str">
        <f>HYPERLINK("https%3A%2F%2Fwww.webofscience.com%2Fwos%2Fwoscc%2Ffull-record%2FWOS:000413491700040","View Full Record in Web of Science")</f>
        <v>View Full Record in Web of Science</v>
      </c>
    </row>
    <row r="409" spans="1:72" x14ac:dyDescent="0.15">
      <c r="A409" t="s">
        <v>72</v>
      </c>
      <c r="B409" t="s">
        <v>8337</v>
      </c>
      <c r="C409" t="s">
        <v>74</v>
      </c>
      <c r="D409" t="s">
        <v>74</v>
      </c>
      <c r="E409" t="s">
        <v>74</v>
      </c>
      <c r="F409" t="s">
        <v>8338</v>
      </c>
      <c r="G409" t="s">
        <v>74</v>
      </c>
      <c r="H409" t="s">
        <v>74</v>
      </c>
      <c r="I409" t="s">
        <v>8339</v>
      </c>
      <c r="J409" t="s">
        <v>8340</v>
      </c>
      <c r="K409" t="s">
        <v>74</v>
      </c>
      <c r="L409" t="s">
        <v>74</v>
      </c>
      <c r="M409" t="s">
        <v>78</v>
      </c>
      <c r="N409" t="s">
        <v>79</v>
      </c>
      <c r="O409" t="s">
        <v>74</v>
      </c>
      <c r="P409" t="s">
        <v>74</v>
      </c>
      <c r="Q409" t="s">
        <v>74</v>
      </c>
      <c r="R409" t="s">
        <v>74</v>
      </c>
      <c r="S409" t="s">
        <v>74</v>
      </c>
      <c r="T409" t="s">
        <v>8341</v>
      </c>
      <c r="U409" t="s">
        <v>8342</v>
      </c>
      <c r="V409" t="s">
        <v>8343</v>
      </c>
      <c r="W409" t="s">
        <v>8344</v>
      </c>
      <c r="X409" t="s">
        <v>8345</v>
      </c>
      <c r="Y409" t="s">
        <v>8346</v>
      </c>
      <c r="Z409" t="s">
        <v>8347</v>
      </c>
      <c r="AA409" t="s">
        <v>8348</v>
      </c>
      <c r="AB409" t="s">
        <v>8349</v>
      </c>
      <c r="AC409" t="s">
        <v>8350</v>
      </c>
      <c r="AD409" t="s">
        <v>8351</v>
      </c>
      <c r="AE409" t="s">
        <v>8352</v>
      </c>
      <c r="AF409" t="s">
        <v>74</v>
      </c>
      <c r="AG409">
        <v>55</v>
      </c>
      <c r="AH409">
        <v>48</v>
      </c>
      <c r="AI409">
        <v>51</v>
      </c>
      <c r="AJ409">
        <v>9</v>
      </c>
      <c r="AK409">
        <v>144</v>
      </c>
      <c r="AL409" t="s">
        <v>371</v>
      </c>
      <c r="AM409" t="s">
        <v>372</v>
      </c>
      <c r="AN409" t="s">
        <v>373</v>
      </c>
      <c r="AO409" t="s">
        <v>8353</v>
      </c>
      <c r="AP409" t="s">
        <v>8354</v>
      </c>
      <c r="AQ409" t="s">
        <v>74</v>
      </c>
      <c r="AR409" t="s">
        <v>8355</v>
      </c>
      <c r="AS409" t="s">
        <v>8356</v>
      </c>
      <c r="AT409" t="s">
        <v>5544</v>
      </c>
      <c r="AU409">
        <v>2017</v>
      </c>
      <c r="AV409">
        <v>140</v>
      </c>
      <c r="AW409" t="s">
        <v>74</v>
      </c>
      <c r="AX409" t="s">
        <v>74</v>
      </c>
      <c r="AY409" t="s">
        <v>74</v>
      </c>
      <c r="AZ409" t="s">
        <v>74</v>
      </c>
      <c r="BA409" t="s">
        <v>74</v>
      </c>
      <c r="BB409">
        <v>15</v>
      </c>
      <c r="BC409">
        <v>22</v>
      </c>
      <c r="BD409" t="s">
        <v>74</v>
      </c>
      <c r="BE409" t="s">
        <v>8357</v>
      </c>
      <c r="BF409" t="str">
        <f>HYPERLINK("http://dx.doi.org/10.1016/j.mimet.2017.06.017","http://dx.doi.org/10.1016/j.mimet.2017.06.017")</f>
        <v>http://dx.doi.org/10.1016/j.mimet.2017.06.017</v>
      </c>
      <c r="BG409" t="s">
        <v>74</v>
      </c>
      <c r="BH409" t="s">
        <v>74</v>
      </c>
      <c r="BI409">
        <v>8</v>
      </c>
      <c r="BJ409" t="s">
        <v>8358</v>
      </c>
      <c r="BK409" t="s">
        <v>101</v>
      </c>
      <c r="BL409" t="s">
        <v>3584</v>
      </c>
      <c r="BM409" t="s">
        <v>8359</v>
      </c>
      <c r="BN409">
        <v>28655556</v>
      </c>
      <c r="BO409" t="s">
        <v>1240</v>
      </c>
      <c r="BP409" t="s">
        <v>74</v>
      </c>
      <c r="BQ409" t="s">
        <v>74</v>
      </c>
      <c r="BR409" t="s">
        <v>105</v>
      </c>
      <c r="BS409" t="s">
        <v>8360</v>
      </c>
      <c r="BT409" t="str">
        <f>HYPERLINK("https%3A%2F%2Fwww.webofscience.com%2Fwos%2Fwoscc%2Ffull-record%2FWOS:000407982100004","View Full Record in Web of Science")</f>
        <v>View Full Record in Web of Science</v>
      </c>
    </row>
    <row r="410" spans="1:72" x14ac:dyDescent="0.15">
      <c r="A410" t="s">
        <v>72</v>
      </c>
      <c r="B410" t="s">
        <v>8361</v>
      </c>
      <c r="C410" t="s">
        <v>74</v>
      </c>
      <c r="D410" t="s">
        <v>74</v>
      </c>
      <c r="E410" t="s">
        <v>74</v>
      </c>
      <c r="F410" t="s">
        <v>8362</v>
      </c>
      <c r="G410" t="s">
        <v>74</v>
      </c>
      <c r="H410" t="s">
        <v>74</v>
      </c>
      <c r="I410" t="s">
        <v>8363</v>
      </c>
      <c r="J410" t="s">
        <v>8364</v>
      </c>
      <c r="K410" t="s">
        <v>74</v>
      </c>
      <c r="L410" t="s">
        <v>74</v>
      </c>
      <c r="M410" t="s">
        <v>78</v>
      </c>
      <c r="N410" t="s">
        <v>79</v>
      </c>
      <c r="O410" t="s">
        <v>74</v>
      </c>
      <c r="P410" t="s">
        <v>74</v>
      </c>
      <c r="Q410" t="s">
        <v>74</v>
      </c>
      <c r="R410" t="s">
        <v>74</v>
      </c>
      <c r="S410" t="s">
        <v>74</v>
      </c>
      <c r="T410" t="s">
        <v>8365</v>
      </c>
      <c r="U410" t="s">
        <v>74</v>
      </c>
      <c r="V410" t="s">
        <v>8366</v>
      </c>
      <c r="W410" t="s">
        <v>74</v>
      </c>
      <c r="X410" t="s">
        <v>74</v>
      </c>
      <c r="Y410" t="s">
        <v>74</v>
      </c>
      <c r="Z410" t="s">
        <v>74</v>
      </c>
      <c r="AA410" t="s">
        <v>74</v>
      </c>
      <c r="AB410" t="s">
        <v>74</v>
      </c>
      <c r="AC410" t="s">
        <v>74</v>
      </c>
      <c r="AD410" t="s">
        <v>74</v>
      </c>
      <c r="AE410" t="s">
        <v>74</v>
      </c>
      <c r="AF410" t="s">
        <v>74</v>
      </c>
      <c r="AG410">
        <v>2</v>
      </c>
      <c r="AH410">
        <v>0</v>
      </c>
      <c r="AI410">
        <v>0</v>
      </c>
      <c r="AJ410">
        <v>0</v>
      </c>
      <c r="AK410">
        <v>7</v>
      </c>
      <c r="AL410" t="s">
        <v>5233</v>
      </c>
      <c r="AM410" t="s">
        <v>2902</v>
      </c>
      <c r="AN410" t="s">
        <v>8367</v>
      </c>
      <c r="AO410" t="s">
        <v>8368</v>
      </c>
      <c r="AP410" t="s">
        <v>8369</v>
      </c>
      <c r="AQ410" t="s">
        <v>74</v>
      </c>
      <c r="AR410" t="s">
        <v>8370</v>
      </c>
      <c r="AS410" t="s">
        <v>8371</v>
      </c>
      <c r="AT410" t="s">
        <v>5544</v>
      </c>
      <c r="AU410">
        <v>2017</v>
      </c>
      <c r="AV410">
        <v>5</v>
      </c>
      <c r="AW410">
        <v>4</v>
      </c>
      <c r="AX410" t="s">
        <v>74</v>
      </c>
      <c r="AY410" t="s">
        <v>74</v>
      </c>
      <c r="AZ410" t="s">
        <v>74</v>
      </c>
      <c r="BA410" t="s">
        <v>74</v>
      </c>
      <c r="BB410">
        <v>80</v>
      </c>
      <c r="BC410">
        <v>95</v>
      </c>
      <c r="BD410" t="s">
        <v>74</v>
      </c>
      <c r="BE410" t="s">
        <v>8372</v>
      </c>
      <c r="BF410" t="str">
        <f>HYPERLINK("http://dx.doi.org/10.15302/J-LAF-20170409","http://dx.doi.org/10.15302/J-LAF-20170409")</f>
        <v>http://dx.doi.org/10.15302/J-LAF-20170409</v>
      </c>
      <c r="BG410" t="s">
        <v>74</v>
      </c>
      <c r="BH410" t="s">
        <v>74</v>
      </c>
      <c r="BI410">
        <v>16</v>
      </c>
      <c r="BJ410" t="s">
        <v>8373</v>
      </c>
      <c r="BK410" t="s">
        <v>3172</v>
      </c>
      <c r="BL410" t="s">
        <v>8373</v>
      </c>
      <c r="BM410" t="s">
        <v>8374</v>
      </c>
      <c r="BN410" t="s">
        <v>74</v>
      </c>
      <c r="BO410" t="s">
        <v>104</v>
      </c>
      <c r="BP410" t="s">
        <v>74</v>
      </c>
      <c r="BQ410" t="s">
        <v>74</v>
      </c>
      <c r="BR410" t="s">
        <v>105</v>
      </c>
      <c r="BS410" t="s">
        <v>8375</v>
      </c>
      <c r="BT410" t="str">
        <f>HYPERLINK("https%3A%2F%2Fwww.webofscience.com%2Fwos%2Fwoscc%2Ffull-record%2FWOS:000455843700008","View Full Record in Web of Science")</f>
        <v>View Full Record in Web of Science</v>
      </c>
    </row>
    <row r="411" spans="1:72" x14ac:dyDescent="0.15">
      <c r="A411" t="s">
        <v>72</v>
      </c>
      <c r="B411" t="s">
        <v>8376</v>
      </c>
      <c r="C411" t="s">
        <v>74</v>
      </c>
      <c r="D411" t="s">
        <v>74</v>
      </c>
      <c r="E411" t="s">
        <v>74</v>
      </c>
      <c r="F411" t="s">
        <v>8377</v>
      </c>
      <c r="G411" t="s">
        <v>74</v>
      </c>
      <c r="H411" t="s">
        <v>74</v>
      </c>
      <c r="I411" t="s">
        <v>8378</v>
      </c>
      <c r="J411" t="s">
        <v>8379</v>
      </c>
      <c r="K411" t="s">
        <v>74</v>
      </c>
      <c r="L411" t="s">
        <v>74</v>
      </c>
      <c r="M411" t="s">
        <v>78</v>
      </c>
      <c r="N411" t="s">
        <v>79</v>
      </c>
      <c r="O411" t="s">
        <v>74</v>
      </c>
      <c r="P411" t="s">
        <v>74</v>
      </c>
      <c r="Q411" t="s">
        <v>74</v>
      </c>
      <c r="R411" t="s">
        <v>74</v>
      </c>
      <c r="S411" t="s">
        <v>74</v>
      </c>
      <c r="T411" t="s">
        <v>74</v>
      </c>
      <c r="U411" t="s">
        <v>8380</v>
      </c>
      <c r="V411" t="s">
        <v>8381</v>
      </c>
      <c r="W411" t="s">
        <v>8382</v>
      </c>
      <c r="X411" t="s">
        <v>8383</v>
      </c>
      <c r="Y411" t="s">
        <v>8384</v>
      </c>
      <c r="Z411" t="s">
        <v>8385</v>
      </c>
      <c r="AA411" t="s">
        <v>8386</v>
      </c>
      <c r="AB411" t="s">
        <v>8387</v>
      </c>
      <c r="AC411" t="s">
        <v>8388</v>
      </c>
      <c r="AD411" t="s">
        <v>8389</v>
      </c>
      <c r="AE411" t="s">
        <v>8390</v>
      </c>
      <c r="AF411" t="s">
        <v>74</v>
      </c>
      <c r="AG411">
        <v>34</v>
      </c>
      <c r="AH411">
        <v>12</v>
      </c>
      <c r="AI411">
        <v>14</v>
      </c>
      <c r="AJ411">
        <v>2</v>
      </c>
      <c r="AK411">
        <v>37</v>
      </c>
      <c r="AL411" t="s">
        <v>2520</v>
      </c>
      <c r="AM411" t="s">
        <v>2521</v>
      </c>
      <c r="AN411" t="s">
        <v>2522</v>
      </c>
      <c r="AO411" t="s">
        <v>8391</v>
      </c>
      <c r="AP411" t="s">
        <v>8392</v>
      </c>
      <c r="AQ411" t="s">
        <v>74</v>
      </c>
      <c r="AR411" t="s">
        <v>8393</v>
      </c>
      <c r="AS411" t="s">
        <v>8394</v>
      </c>
      <c r="AT411" t="s">
        <v>5544</v>
      </c>
      <c r="AU411">
        <v>2017</v>
      </c>
      <c r="AV411">
        <v>164</v>
      </c>
      <c r="AW411">
        <v>9</v>
      </c>
      <c r="AX411" t="s">
        <v>74</v>
      </c>
      <c r="AY411" t="s">
        <v>74</v>
      </c>
      <c r="AZ411" t="s">
        <v>74</v>
      </c>
      <c r="BA411" t="s">
        <v>74</v>
      </c>
      <c r="BB411" t="s">
        <v>74</v>
      </c>
      <c r="BC411" t="s">
        <v>74</v>
      </c>
      <c r="BD411">
        <v>192</v>
      </c>
      <c r="BE411" t="s">
        <v>8395</v>
      </c>
      <c r="BF411" t="str">
        <f>HYPERLINK("http://dx.doi.org/10.1007/s00227-017-3224-8","http://dx.doi.org/10.1007/s00227-017-3224-8")</f>
        <v>http://dx.doi.org/10.1007/s00227-017-3224-8</v>
      </c>
      <c r="BG411" t="s">
        <v>74</v>
      </c>
      <c r="BH411" t="s">
        <v>74</v>
      </c>
      <c r="BI411">
        <v>7</v>
      </c>
      <c r="BJ411" t="s">
        <v>5546</v>
      </c>
      <c r="BK411" t="s">
        <v>101</v>
      </c>
      <c r="BL411" t="s">
        <v>5546</v>
      </c>
      <c r="BM411" t="s">
        <v>8396</v>
      </c>
      <c r="BN411" t="s">
        <v>74</v>
      </c>
      <c r="BO411" t="s">
        <v>74</v>
      </c>
      <c r="BP411" t="s">
        <v>74</v>
      </c>
      <c r="BQ411" t="s">
        <v>74</v>
      </c>
      <c r="BR411" t="s">
        <v>105</v>
      </c>
      <c r="BS411" t="s">
        <v>8397</v>
      </c>
      <c r="BT411" t="str">
        <f>HYPERLINK("https%3A%2F%2Fwww.webofscience.com%2Fwos%2Fwoscc%2Ffull-record%2FWOS:000410485900016","View Full Record in Web of Science")</f>
        <v>View Full Record in Web of Science</v>
      </c>
    </row>
    <row r="412" spans="1:72" x14ac:dyDescent="0.15">
      <c r="A412" t="s">
        <v>72</v>
      </c>
      <c r="B412" t="s">
        <v>8398</v>
      </c>
      <c r="C412" t="s">
        <v>74</v>
      </c>
      <c r="D412" t="s">
        <v>74</v>
      </c>
      <c r="E412" t="s">
        <v>74</v>
      </c>
      <c r="F412" t="s">
        <v>8399</v>
      </c>
      <c r="G412" t="s">
        <v>74</v>
      </c>
      <c r="H412" t="s">
        <v>74</v>
      </c>
      <c r="I412" t="s">
        <v>8400</v>
      </c>
      <c r="J412" t="s">
        <v>8401</v>
      </c>
      <c r="K412" t="s">
        <v>74</v>
      </c>
      <c r="L412" t="s">
        <v>74</v>
      </c>
      <c r="M412" t="s">
        <v>78</v>
      </c>
      <c r="N412" t="s">
        <v>79</v>
      </c>
      <c r="O412" t="s">
        <v>74</v>
      </c>
      <c r="P412" t="s">
        <v>74</v>
      </c>
      <c r="Q412" t="s">
        <v>74</v>
      </c>
      <c r="R412" t="s">
        <v>74</v>
      </c>
      <c r="S412" t="s">
        <v>74</v>
      </c>
      <c r="T412" t="s">
        <v>8402</v>
      </c>
      <c r="U412" t="s">
        <v>8403</v>
      </c>
      <c r="V412" t="s">
        <v>8404</v>
      </c>
      <c r="W412" t="s">
        <v>8405</v>
      </c>
      <c r="X412" t="s">
        <v>8406</v>
      </c>
      <c r="Y412" t="s">
        <v>8407</v>
      </c>
      <c r="Z412" t="s">
        <v>8408</v>
      </c>
      <c r="AA412" t="s">
        <v>8409</v>
      </c>
      <c r="AB412" t="s">
        <v>8410</v>
      </c>
      <c r="AC412" t="s">
        <v>8411</v>
      </c>
      <c r="AD412" t="s">
        <v>8412</v>
      </c>
      <c r="AE412" t="s">
        <v>8413</v>
      </c>
      <c r="AF412" t="s">
        <v>74</v>
      </c>
      <c r="AG412">
        <v>63</v>
      </c>
      <c r="AH412">
        <v>45</v>
      </c>
      <c r="AI412">
        <v>46</v>
      </c>
      <c r="AJ412">
        <v>2</v>
      </c>
      <c r="AK412">
        <v>85</v>
      </c>
      <c r="AL412" t="s">
        <v>502</v>
      </c>
      <c r="AM412" t="s">
        <v>372</v>
      </c>
      <c r="AN412" t="s">
        <v>503</v>
      </c>
      <c r="AO412" t="s">
        <v>8414</v>
      </c>
      <c r="AP412" t="s">
        <v>8415</v>
      </c>
      <c r="AQ412" t="s">
        <v>74</v>
      </c>
      <c r="AR412" t="s">
        <v>8416</v>
      </c>
      <c r="AS412" t="s">
        <v>8417</v>
      </c>
      <c r="AT412" t="s">
        <v>5838</v>
      </c>
      <c r="AU412">
        <v>2017</v>
      </c>
      <c r="AV412">
        <v>78</v>
      </c>
      <c r="AW412" t="s">
        <v>74</v>
      </c>
      <c r="AX412" t="s">
        <v>74</v>
      </c>
      <c r="AY412" t="s">
        <v>74</v>
      </c>
      <c r="AZ412" t="s">
        <v>74</v>
      </c>
      <c r="BA412" t="s">
        <v>74</v>
      </c>
      <c r="BB412">
        <v>787</v>
      </c>
      <c r="BC412">
        <v>795</v>
      </c>
      <c r="BD412" t="s">
        <v>74</v>
      </c>
      <c r="BE412" t="s">
        <v>8418</v>
      </c>
      <c r="BF412" t="str">
        <f>HYPERLINK("http://dx.doi.org/10.1016/j.msec.2017.04.122","http://dx.doi.org/10.1016/j.msec.2017.04.122")</f>
        <v>http://dx.doi.org/10.1016/j.msec.2017.04.122</v>
      </c>
      <c r="BG412" t="s">
        <v>74</v>
      </c>
      <c r="BH412" t="s">
        <v>74</v>
      </c>
      <c r="BI412">
        <v>9</v>
      </c>
      <c r="BJ412" t="s">
        <v>8419</v>
      </c>
      <c r="BK412" t="s">
        <v>101</v>
      </c>
      <c r="BL412" t="s">
        <v>8420</v>
      </c>
      <c r="BM412" t="s">
        <v>8421</v>
      </c>
      <c r="BN412">
        <v>28576050</v>
      </c>
      <c r="BO412" t="s">
        <v>633</v>
      </c>
      <c r="BP412" t="s">
        <v>74</v>
      </c>
      <c r="BQ412" t="s">
        <v>74</v>
      </c>
      <c r="BR412" t="s">
        <v>105</v>
      </c>
      <c r="BS412" t="s">
        <v>8422</v>
      </c>
      <c r="BT412" t="str">
        <f>HYPERLINK("https%3A%2F%2Fwww.webofscience.com%2Fwos%2Fwoscc%2Ffull-record%2FWOS:000404944700092","View Full Record in Web of Science")</f>
        <v>View Full Record in Web of Science</v>
      </c>
    </row>
    <row r="413" spans="1:72" x14ac:dyDescent="0.15">
      <c r="A413" t="s">
        <v>72</v>
      </c>
      <c r="B413" t="s">
        <v>8423</v>
      </c>
      <c r="C413" t="s">
        <v>74</v>
      </c>
      <c r="D413" t="s">
        <v>74</v>
      </c>
      <c r="E413" t="s">
        <v>74</v>
      </c>
      <c r="F413" t="s">
        <v>8424</v>
      </c>
      <c r="G413" t="s">
        <v>74</v>
      </c>
      <c r="H413" t="s">
        <v>74</v>
      </c>
      <c r="I413" t="s">
        <v>8425</v>
      </c>
      <c r="J413" t="s">
        <v>8426</v>
      </c>
      <c r="K413" t="s">
        <v>74</v>
      </c>
      <c r="L413" t="s">
        <v>74</v>
      </c>
      <c r="M413" t="s">
        <v>78</v>
      </c>
      <c r="N413" t="s">
        <v>79</v>
      </c>
      <c r="O413" t="s">
        <v>74</v>
      </c>
      <c r="P413" t="s">
        <v>74</v>
      </c>
      <c r="Q413" t="s">
        <v>74</v>
      </c>
      <c r="R413" t="s">
        <v>74</v>
      </c>
      <c r="S413" t="s">
        <v>74</v>
      </c>
      <c r="T413" t="s">
        <v>8427</v>
      </c>
      <c r="U413" t="s">
        <v>8428</v>
      </c>
      <c r="V413" t="s">
        <v>8429</v>
      </c>
      <c r="W413" t="s">
        <v>8430</v>
      </c>
      <c r="X413" t="s">
        <v>8431</v>
      </c>
      <c r="Y413" t="s">
        <v>8432</v>
      </c>
      <c r="Z413" t="s">
        <v>8433</v>
      </c>
      <c r="AA413" t="s">
        <v>8434</v>
      </c>
      <c r="AB413" t="s">
        <v>8435</v>
      </c>
      <c r="AC413" t="s">
        <v>8436</v>
      </c>
      <c r="AD413" t="s">
        <v>8437</v>
      </c>
      <c r="AE413" t="s">
        <v>8438</v>
      </c>
      <c r="AF413" t="s">
        <v>74</v>
      </c>
      <c r="AG413">
        <v>79</v>
      </c>
      <c r="AH413">
        <v>62</v>
      </c>
      <c r="AI413">
        <v>73</v>
      </c>
      <c r="AJ413">
        <v>7</v>
      </c>
      <c r="AK413">
        <v>86</v>
      </c>
      <c r="AL413" t="s">
        <v>1338</v>
      </c>
      <c r="AM413" t="s">
        <v>1339</v>
      </c>
      <c r="AN413" t="s">
        <v>1340</v>
      </c>
      <c r="AO413" t="s">
        <v>8439</v>
      </c>
      <c r="AP413" t="s">
        <v>8440</v>
      </c>
      <c r="AQ413" t="s">
        <v>74</v>
      </c>
      <c r="AR413" t="s">
        <v>8441</v>
      </c>
      <c r="AS413" t="s">
        <v>8442</v>
      </c>
      <c r="AT413" t="s">
        <v>5544</v>
      </c>
      <c r="AU413">
        <v>2017</v>
      </c>
      <c r="AV413">
        <v>26</v>
      </c>
      <c r="AW413">
        <v>18</v>
      </c>
      <c r="AX413" t="s">
        <v>74</v>
      </c>
      <c r="AY413" t="s">
        <v>74</v>
      </c>
      <c r="AZ413" t="s">
        <v>74</v>
      </c>
      <c r="BA413" t="s">
        <v>74</v>
      </c>
      <c r="BB413">
        <v>4831</v>
      </c>
      <c r="BC413">
        <v>4845</v>
      </c>
      <c r="BD413" t="s">
        <v>74</v>
      </c>
      <c r="BE413" t="s">
        <v>8443</v>
      </c>
      <c r="BF413" t="str">
        <f>HYPERLINK("http://dx.doi.org/10.1111/mec.14245","http://dx.doi.org/10.1111/mec.14245")</f>
        <v>http://dx.doi.org/10.1111/mec.14245</v>
      </c>
      <c r="BG413" t="s">
        <v>74</v>
      </c>
      <c r="BH413" t="s">
        <v>74</v>
      </c>
      <c r="BI413">
        <v>15</v>
      </c>
      <c r="BJ413" t="s">
        <v>8444</v>
      </c>
      <c r="BK413" t="s">
        <v>101</v>
      </c>
      <c r="BL413" t="s">
        <v>8445</v>
      </c>
      <c r="BM413" t="s">
        <v>8446</v>
      </c>
      <c r="BN413">
        <v>28734075</v>
      </c>
      <c r="BO413" t="s">
        <v>1240</v>
      </c>
      <c r="BP413" t="s">
        <v>74</v>
      </c>
      <c r="BQ413" t="s">
        <v>74</v>
      </c>
      <c r="BR413" t="s">
        <v>105</v>
      </c>
      <c r="BS413" t="s">
        <v>8447</v>
      </c>
      <c r="BT413" t="str">
        <f>HYPERLINK("https%3A%2F%2Fwww.webofscience.com%2Fwos%2Fwoscc%2Ffull-record%2FWOS:000411717300019","View Full Record in Web of Science")</f>
        <v>View Full Record in Web of Science</v>
      </c>
    </row>
    <row r="414" spans="1:72" x14ac:dyDescent="0.15">
      <c r="A414" t="s">
        <v>72</v>
      </c>
      <c r="B414" t="s">
        <v>8448</v>
      </c>
      <c r="C414" t="s">
        <v>74</v>
      </c>
      <c r="D414" t="s">
        <v>74</v>
      </c>
      <c r="E414" t="s">
        <v>74</v>
      </c>
      <c r="F414" t="s">
        <v>8449</v>
      </c>
      <c r="G414" t="s">
        <v>74</v>
      </c>
      <c r="H414" t="s">
        <v>74</v>
      </c>
      <c r="I414" t="s">
        <v>8450</v>
      </c>
      <c r="J414" t="s">
        <v>8451</v>
      </c>
      <c r="K414" t="s">
        <v>74</v>
      </c>
      <c r="L414" t="s">
        <v>74</v>
      </c>
      <c r="M414" t="s">
        <v>78</v>
      </c>
      <c r="N414" t="s">
        <v>79</v>
      </c>
      <c r="O414" t="s">
        <v>74</v>
      </c>
      <c r="P414" t="s">
        <v>74</v>
      </c>
      <c r="Q414" t="s">
        <v>74</v>
      </c>
      <c r="R414" t="s">
        <v>74</v>
      </c>
      <c r="S414" t="s">
        <v>74</v>
      </c>
      <c r="T414" t="s">
        <v>8452</v>
      </c>
      <c r="U414" t="s">
        <v>8453</v>
      </c>
      <c r="V414" t="s">
        <v>8454</v>
      </c>
      <c r="W414" t="s">
        <v>8455</v>
      </c>
      <c r="X414" t="s">
        <v>8456</v>
      </c>
      <c r="Y414" t="s">
        <v>8457</v>
      </c>
      <c r="Z414" t="s">
        <v>8458</v>
      </c>
      <c r="AA414" t="s">
        <v>74</v>
      </c>
      <c r="AB414" t="s">
        <v>418</v>
      </c>
      <c r="AC414" t="s">
        <v>8459</v>
      </c>
      <c r="AD414" t="s">
        <v>8460</v>
      </c>
      <c r="AE414" t="s">
        <v>8461</v>
      </c>
      <c r="AF414" t="s">
        <v>74</v>
      </c>
      <c r="AG414">
        <v>178</v>
      </c>
      <c r="AH414">
        <v>15</v>
      </c>
      <c r="AI414">
        <v>15</v>
      </c>
      <c r="AJ414">
        <v>1</v>
      </c>
      <c r="AK414">
        <v>33</v>
      </c>
      <c r="AL414" t="s">
        <v>3142</v>
      </c>
      <c r="AM414" t="s">
        <v>3143</v>
      </c>
      <c r="AN414" t="s">
        <v>3144</v>
      </c>
      <c r="AO414" t="s">
        <v>8462</v>
      </c>
      <c r="AP414" t="s">
        <v>8463</v>
      </c>
      <c r="AQ414" t="s">
        <v>74</v>
      </c>
      <c r="AR414" t="s">
        <v>8464</v>
      </c>
      <c r="AS414" t="s">
        <v>8465</v>
      </c>
      <c r="AT414" t="s">
        <v>5544</v>
      </c>
      <c r="AU414">
        <v>2017</v>
      </c>
      <c r="AV414">
        <v>114</v>
      </c>
      <c r="AW414" t="s">
        <v>74</v>
      </c>
      <c r="AX414" t="s">
        <v>74</v>
      </c>
      <c r="AY414" t="s">
        <v>74</v>
      </c>
      <c r="AZ414" t="s">
        <v>74</v>
      </c>
      <c r="BA414" t="s">
        <v>74</v>
      </c>
      <c r="BB414">
        <v>14</v>
      </c>
      <c r="BC414">
        <v>33</v>
      </c>
      <c r="BD414" t="s">
        <v>74</v>
      </c>
      <c r="BE414" t="s">
        <v>8466</v>
      </c>
      <c r="BF414" t="str">
        <f>HYPERLINK("http://dx.doi.org/10.1016/j.ympev.2017.05.013","http://dx.doi.org/10.1016/j.ympev.2017.05.013")</f>
        <v>http://dx.doi.org/10.1016/j.ympev.2017.05.013</v>
      </c>
      <c r="BG414" t="s">
        <v>74</v>
      </c>
      <c r="BH414" t="s">
        <v>74</v>
      </c>
      <c r="BI414">
        <v>20</v>
      </c>
      <c r="BJ414" t="s">
        <v>8467</v>
      </c>
      <c r="BK414" t="s">
        <v>101</v>
      </c>
      <c r="BL414" t="s">
        <v>8467</v>
      </c>
      <c r="BM414" t="s">
        <v>8468</v>
      </c>
      <c r="BN414">
        <v>28528744</v>
      </c>
      <c r="BO414" t="s">
        <v>193</v>
      </c>
      <c r="BP414" t="s">
        <v>74</v>
      </c>
      <c r="BQ414" t="s">
        <v>74</v>
      </c>
      <c r="BR414" t="s">
        <v>105</v>
      </c>
      <c r="BS414" t="s">
        <v>8469</v>
      </c>
      <c r="BT414" t="str">
        <f>HYPERLINK("https%3A%2F%2Fwww.webofscience.com%2Fwos%2Fwoscc%2Ffull-record%2FWOS:000407307000002","View Full Record in Web of Science")</f>
        <v>View Full Record in Web of Science</v>
      </c>
    </row>
    <row r="415" spans="1:72" x14ac:dyDescent="0.15">
      <c r="A415" t="s">
        <v>72</v>
      </c>
      <c r="B415" t="s">
        <v>8470</v>
      </c>
      <c r="C415" t="s">
        <v>74</v>
      </c>
      <c r="D415" t="s">
        <v>74</v>
      </c>
      <c r="E415" t="s">
        <v>74</v>
      </c>
      <c r="F415" t="s">
        <v>8471</v>
      </c>
      <c r="G415" t="s">
        <v>74</v>
      </c>
      <c r="H415" t="s">
        <v>74</v>
      </c>
      <c r="I415" t="s">
        <v>8472</v>
      </c>
      <c r="J415" t="s">
        <v>8451</v>
      </c>
      <c r="K415" t="s">
        <v>74</v>
      </c>
      <c r="L415" t="s">
        <v>74</v>
      </c>
      <c r="M415" t="s">
        <v>78</v>
      </c>
      <c r="N415" t="s">
        <v>79</v>
      </c>
      <c r="O415" t="s">
        <v>74</v>
      </c>
      <c r="P415" t="s">
        <v>74</v>
      </c>
      <c r="Q415" t="s">
        <v>74</v>
      </c>
      <c r="R415" t="s">
        <v>74</v>
      </c>
      <c r="S415" t="s">
        <v>74</v>
      </c>
      <c r="T415" t="s">
        <v>8473</v>
      </c>
      <c r="U415" t="s">
        <v>8474</v>
      </c>
      <c r="V415" t="s">
        <v>8475</v>
      </c>
      <c r="W415" t="s">
        <v>8476</v>
      </c>
      <c r="X415" t="s">
        <v>8477</v>
      </c>
      <c r="Y415" t="s">
        <v>8478</v>
      </c>
      <c r="Z415" t="s">
        <v>8479</v>
      </c>
      <c r="AA415" t="s">
        <v>8480</v>
      </c>
      <c r="AB415" t="s">
        <v>8481</v>
      </c>
      <c r="AC415" t="s">
        <v>8482</v>
      </c>
      <c r="AD415" t="s">
        <v>8483</v>
      </c>
      <c r="AE415" t="s">
        <v>8484</v>
      </c>
      <c r="AF415" t="s">
        <v>74</v>
      </c>
      <c r="AG415">
        <v>132</v>
      </c>
      <c r="AH415">
        <v>25</v>
      </c>
      <c r="AI415">
        <v>25</v>
      </c>
      <c r="AJ415">
        <v>0</v>
      </c>
      <c r="AK415">
        <v>13</v>
      </c>
      <c r="AL415" t="s">
        <v>3142</v>
      </c>
      <c r="AM415" t="s">
        <v>3143</v>
      </c>
      <c r="AN415" t="s">
        <v>3144</v>
      </c>
      <c r="AO415" t="s">
        <v>8462</v>
      </c>
      <c r="AP415" t="s">
        <v>8463</v>
      </c>
      <c r="AQ415" t="s">
        <v>74</v>
      </c>
      <c r="AR415" t="s">
        <v>8464</v>
      </c>
      <c r="AS415" t="s">
        <v>8465</v>
      </c>
      <c r="AT415" t="s">
        <v>5544</v>
      </c>
      <c r="AU415">
        <v>2017</v>
      </c>
      <c r="AV415">
        <v>114</v>
      </c>
      <c r="AW415" t="s">
        <v>74</v>
      </c>
      <c r="AX415" t="s">
        <v>74</v>
      </c>
      <c r="AY415" t="s">
        <v>74</v>
      </c>
      <c r="AZ415" t="s">
        <v>74</v>
      </c>
      <c r="BA415" t="s">
        <v>74</v>
      </c>
      <c r="BB415">
        <v>367</v>
      </c>
      <c r="BC415">
        <v>381</v>
      </c>
      <c r="BD415" t="s">
        <v>74</v>
      </c>
      <c r="BE415" t="s">
        <v>8485</v>
      </c>
      <c r="BF415" t="str">
        <f>HYPERLINK("http://dx.doi.org/10.1016/j.ympev.2017.06.018","http://dx.doi.org/10.1016/j.ympev.2017.06.018")</f>
        <v>http://dx.doi.org/10.1016/j.ympev.2017.06.018</v>
      </c>
      <c r="BG415" t="s">
        <v>74</v>
      </c>
      <c r="BH415" t="s">
        <v>74</v>
      </c>
      <c r="BI415">
        <v>15</v>
      </c>
      <c r="BJ415" t="s">
        <v>8467</v>
      </c>
      <c r="BK415" t="s">
        <v>101</v>
      </c>
      <c r="BL415" t="s">
        <v>8467</v>
      </c>
      <c r="BM415" t="s">
        <v>8468</v>
      </c>
      <c r="BN415">
        <v>28669812</v>
      </c>
      <c r="BO415" t="s">
        <v>74</v>
      </c>
      <c r="BP415" t="s">
        <v>74</v>
      </c>
      <c r="BQ415" t="s">
        <v>74</v>
      </c>
      <c r="BR415" t="s">
        <v>105</v>
      </c>
      <c r="BS415" t="s">
        <v>8486</v>
      </c>
      <c r="BT415" t="str">
        <f>HYPERLINK("https%3A%2F%2Fwww.webofscience.com%2Fwos%2Fwoscc%2Ffull-record%2FWOS:000407307000028","View Full Record in Web of Science")</f>
        <v>View Full Record in Web of Science</v>
      </c>
    </row>
    <row r="416" spans="1:72" x14ac:dyDescent="0.15">
      <c r="A416" t="s">
        <v>72</v>
      </c>
      <c r="B416" t="s">
        <v>8487</v>
      </c>
      <c r="C416" t="s">
        <v>74</v>
      </c>
      <c r="D416" t="s">
        <v>74</v>
      </c>
      <c r="E416" t="s">
        <v>74</v>
      </c>
      <c r="F416" t="s">
        <v>8488</v>
      </c>
      <c r="G416" t="s">
        <v>74</v>
      </c>
      <c r="H416" t="s">
        <v>74</v>
      </c>
      <c r="I416" t="s">
        <v>8489</v>
      </c>
      <c r="J416" t="s">
        <v>8490</v>
      </c>
      <c r="K416" t="s">
        <v>74</v>
      </c>
      <c r="L416" t="s">
        <v>74</v>
      </c>
      <c r="M416" t="s">
        <v>78</v>
      </c>
      <c r="N416" t="s">
        <v>79</v>
      </c>
      <c r="O416" t="s">
        <v>74</v>
      </c>
      <c r="P416" t="s">
        <v>74</v>
      </c>
      <c r="Q416" t="s">
        <v>74</v>
      </c>
      <c r="R416" t="s">
        <v>74</v>
      </c>
      <c r="S416" t="s">
        <v>74</v>
      </c>
      <c r="T416" t="s">
        <v>74</v>
      </c>
      <c r="U416" t="s">
        <v>8491</v>
      </c>
      <c r="V416" t="s">
        <v>8492</v>
      </c>
      <c r="W416" t="s">
        <v>8493</v>
      </c>
      <c r="X416" t="s">
        <v>8494</v>
      </c>
      <c r="Y416" t="s">
        <v>8495</v>
      </c>
      <c r="Z416" t="s">
        <v>8496</v>
      </c>
      <c r="AA416" t="s">
        <v>8497</v>
      </c>
      <c r="AB416" t="s">
        <v>8498</v>
      </c>
      <c r="AC416" t="s">
        <v>8499</v>
      </c>
      <c r="AD416" t="s">
        <v>8500</v>
      </c>
      <c r="AE416" t="s">
        <v>8501</v>
      </c>
      <c r="AF416" t="s">
        <v>74</v>
      </c>
      <c r="AG416">
        <v>32</v>
      </c>
      <c r="AH416">
        <v>28</v>
      </c>
      <c r="AI416">
        <v>29</v>
      </c>
      <c r="AJ416">
        <v>0</v>
      </c>
      <c r="AK416">
        <v>9</v>
      </c>
      <c r="AL416" t="s">
        <v>181</v>
      </c>
      <c r="AM416" t="s">
        <v>182</v>
      </c>
      <c r="AN416" t="s">
        <v>183</v>
      </c>
      <c r="AO416" t="s">
        <v>8502</v>
      </c>
      <c r="AP416" t="s">
        <v>74</v>
      </c>
      <c r="AQ416" t="s">
        <v>74</v>
      </c>
      <c r="AR416" t="s">
        <v>8503</v>
      </c>
      <c r="AS416" t="s">
        <v>8504</v>
      </c>
      <c r="AT416" t="s">
        <v>5544</v>
      </c>
      <c r="AU416">
        <v>2017</v>
      </c>
      <c r="AV416">
        <v>1</v>
      </c>
      <c r="AW416">
        <v>9</v>
      </c>
      <c r="AX416" t="s">
        <v>74</v>
      </c>
      <c r="AY416" t="s">
        <v>74</v>
      </c>
      <c r="AZ416" t="s">
        <v>74</v>
      </c>
      <c r="BA416" t="s">
        <v>74</v>
      </c>
      <c r="BB416">
        <v>617</v>
      </c>
      <c r="BC416">
        <v>620</v>
      </c>
      <c r="BD416" t="s">
        <v>74</v>
      </c>
      <c r="BE416" t="s">
        <v>8505</v>
      </c>
      <c r="BF416" t="str">
        <f>HYPERLINK("http://dx.doi.org/10.1038/s41550-017-0215-0","http://dx.doi.org/10.1038/s41550-017-0215-0")</f>
        <v>http://dx.doi.org/10.1038/s41550-017-0215-0</v>
      </c>
      <c r="BG416" t="s">
        <v>74</v>
      </c>
      <c r="BH416" t="s">
        <v>74</v>
      </c>
      <c r="BI416">
        <v>4</v>
      </c>
      <c r="BJ416" t="s">
        <v>349</v>
      </c>
      <c r="BK416" t="s">
        <v>101</v>
      </c>
      <c r="BL416" t="s">
        <v>349</v>
      </c>
      <c r="BM416" t="s">
        <v>8506</v>
      </c>
      <c r="BN416" t="s">
        <v>74</v>
      </c>
      <c r="BO416" t="s">
        <v>74</v>
      </c>
      <c r="BP416" t="s">
        <v>74</v>
      </c>
      <c r="BQ416" t="s">
        <v>74</v>
      </c>
      <c r="BR416" t="s">
        <v>105</v>
      </c>
      <c r="BS416" t="s">
        <v>8507</v>
      </c>
      <c r="BT416" t="str">
        <f>HYPERLINK("https%3A%2F%2Fwww.webofscience.com%2Fwos%2Fwoscc%2Ffull-record%2FWOS:000415268900001","View Full Record in Web of Science")</f>
        <v>View Full Record in Web of Science</v>
      </c>
    </row>
    <row r="417" spans="1:72" x14ac:dyDescent="0.15">
      <c r="A417" t="s">
        <v>72</v>
      </c>
      <c r="B417" t="s">
        <v>8508</v>
      </c>
      <c r="C417" t="s">
        <v>74</v>
      </c>
      <c r="D417" t="s">
        <v>74</v>
      </c>
      <c r="E417" t="s">
        <v>74</v>
      </c>
      <c r="F417" t="s">
        <v>8509</v>
      </c>
      <c r="G417" t="s">
        <v>74</v>
      </c>
      <c r="H417" t="s">
        <v>74</v>
      </c>
      <c r="I417" t="s">
        <v>8510</v>
      </c>
      <c r="J417" t="s">
        <v>5588</v>
      </c>
      <c r="K417" t="s">
        <v>74</v>
      </c>
      <c r="L417" t="s">
        <v>74</v>
      </c>
      <c r="M417" t="s">
        <v>78</v>
      </c>
      <c r="N417" t="s">
        <v>2737</v>
      </c>
      <c r="O417" t="s">
        <v>74</v>
      </c>
      <c r="P417" t="s">
        <v>74</v>
      </c>
      <c r="Q417" t="s">
        <v>74</v>
      </c>
      <c r="R417" t="s">
        <v>74</v>
      </c>
      <c r="S417" t="s">
        <v>74</v>
      </c>
      <c r="T417" t="s">
        <v>74</v>
      </c>
      <c r="U417" t="s">
        <v>8511</v>
      </c>
      <c r="V417" t="s">
        <v>74</v>
      </c>
      <c r="W417" t="s">
        <v>8512</v>
      </c>
      <c r="X417" t="s">
        <v>3524</v>
      </c>
      <c r="Y417" t="s">
        <v>8513</v>
      </c>
      <c r="Z417" t="s">
        <v>8514</v>
      </c>
      <c r="AA417" t="s">
        <v>8515</v>
      </c>
      <c r="AB417" t="s">
        <v>8516</v>
      </c>
      <c r="AC417" t="s">
        <v>74</v>
      </c>
      <c r="AD417" t="s">
        <v>74</v>
      </c>
      <c r="AE417" t="s">
        <v>74</v>
      </c>
      <c r="AF417" t="s">
        <v>74</v>
      </c>
      <c r="AG417">
        <v>10</v>
      </c>
      <c r="AH417">
        <v>2</v>
      </c>
      <c r="AI417">
        <v>2</v>
      </c>
      <c r="AJ417">
        <v>0</v>
      </c>
      <c r="AK417">
        <v>15</v>
      </c>
      <c r="AL417" t="s">
        <v>181</v>
      </c>
      <c r="AM417" t="s">
        <v>182</v>
      </c>
      <c r="AN417" t="s">
        <v>183</v>
      </c>
      <c r="AO417" t="s">
        <v>5600</v>
      </c>
      <c r="AP417" t="s">
        <v>74</v>
      </c>
      <c r="AQ417" t="s">
        <v>74</v>
      </c>
      <c r="AR417" t="s">
        <v>5601</v>
      </c>
      <c r="AS417" t="s">
        <v>5602</v>
      </c>
      <c r="AT417" t="s">
        <v>5544</v>
      </c>
      <c r="AU417">
        <v>2017</v>
      </c>
      <c r="AV417">
        <v>1</v>
      </c>
      <c r="AW417">
        <v>9</v>
      </c>
      <c r="AX417" t="s">
        <v>74</v>
      </c>
      <c r="AY417" t="s">
        <v>74</v>
      </c>
      <c r="AZ417" t="s">
        <v>74</v>
      </c>
      <c r="BA417" t="s">
        <v>74</v>
      </c>
      <c r="BB417">
        <v>1226</v>
      </c>
      <c r="BC417">
        <v>1227</v>
      </c>
      <c r="BD417" t="s">
        <v>74</v>
      </c>
      <c r="BE417" t="s">
        <v>8517</v>
      </c>
      <c r="BF417" t="str">
        <f>HYPERLINK("http://dx.doi.org/10.1038/s41559-017-0262-z","http://dx.doi.org/10.1038/s41559-017-0262-z")</f>
        <v>http://dx.doi.org/10.1038/s41559-017-0262-z</v>
      </c>
      <c r="BG417" t="s">
        <v>74</v>
      </c>
      <c r="BH417" t="s">
        <v>74</v>
      </c>
      <c r="BI417">
        <v>2</v>
      </c>
      <c r="BJ417" t="s">
        <v>3034</v>
      </c>
      <c r="BK417" t="s">
        <v>101</v>
      </c>
      <c r="BL417" t="s">
        <v>3035</v>
      </c>
      <c r="BM417" t="s">
        <v>5604</v>
      </c>
      <c r="BN417">
        <v>29046543</v>
      </c>
      <c r="BO417" t="s">
        <v>74</v>
      </c>
      <c r="BP417" t="s">
        <v>74</v>
      </c>
      <c r="BQ417" t="s">
        <v>74</v>
      </c>
      <c r="BR417" t="s">
        <v>105</v>
      </c>
      <c r="BS417" t="s">
        <v>8518</v>
      </c>
      <c r="BT417" t="str">
        <f>HYPERLINK("https%3A%2F%2Fwww.webofscience.com%2Fwos%2Fwoscc%2Ffull-record%2FWOS:000417190400010","View Full Record in Web of Science")</f>
        <v>View Full Record in Web of Science</v>
      </c>
    </row>
    <row r="418" spans="1:72" x14ac:dyDescent="0.15">
      <c r="A418" t="s">
        <v>72</v>
      </c>
      <c r="B418" t="s">
        <v>8519</v>
      </c>
      <c r="C418" t="s">
        <v>74</v>
      </c>
      <c r="D418" t="s">
        <v>74</v>
      </c>
      <c r="E418" t="s">
        <v>74</v>
      </c>
      <c r="F418" t="s">
        <v>8520</v>
      </c>
      <c r="G418" t="s">
        <v>74</v>
      </c>
      <c r="H418" t="s">
        <v>74</v>
      </c>
      <c r="I418" t="s">
        <v>8521</v>
      </c>
      <c r="J418" t="s">
        <v>5588</v>
      </c>
      <c r="K418" t="s">
        <v>74</v>
      </c>
      <c r="L418" t="s">
        <v>74</v>
      </c>
      <c r="M418" t="s">
        <v>78</v>
      </c>
      <c r="N418" t="s">
        <v>79</v>
      </c>
      <c r="O418" t="s">
        <v>74</v>
      </c>
      <c r="P418" t="s">
        <v>74</v>
      </c>
      <c r="Q418" t="s">
        <v>74</v>
      </c>
      <c r="R418" t="s">
        <v>74</v>
      </c>
      <c r="S418" t="s">
        <v>74</v>
      </c>
      <c r="T418" t="s">
        <v>74</v>
      </c>
      <c r="U418" t="s">
        <v>8522</v>
      </c>
      <c r="V418" t="s">
        <v>8523</v>
      </c>
      <c r="W418" t="s">
        <v>8524</v>
      </c>
      <c r="X418" t="s">
        <v>8525</v>
      </c>
      <c r="Y418" t="s">
        <v>8526</v>
      </c>
      <c r="Z418" t="s">
        <v>8527</v>
      </c>
      <c r="AA418" t="s">
        <v>8528</v>
      </c>
      <c r="AB418" t="s">
        <v>8529</v>
      </c>
      <c r="AC418" t="s">
        <v>8530</v>
      </c>
      <c r="AD418" t="s">
        <v>8531</v>
      </c>
      <c r="AE418" t="s">
        <v>8532</v>
      </c>
      <c r="AF418" t="s">
        <v>74</v>
      </c>
      <c r="AG418">
        <v>29</v>
      </c>
      <c r="AH418">
        <v>66</v>
      </c>
      <c r="AI418">
        <v>77</v>
      </c>
      <c r="AJ418">
        <v>8</v>
      </c>
      <c r="AK418">
        <v>49</v>
      </c>
      <c r="AL418" t="s">
        <v>181</v>
      </c>
      <c r="AM418" t="s">
        <v>182</v>
      </c>
      <c r="AN418" t="s">
        <v>183</v>
      </c>
      <c r="AO418" t="s">
        <v>5600</v>
      </c>
      <c r="AP418" t="s">
        <v>74</v>
      </c>
      <c r="AQ418" t="s">
        <v>74</v>
      </c>
      <c r="AR418" t="s">
        <v>5601</v>
      </c>
      <c r="AS418" t="s">
        <v>5602</v>
      </c>
      <c r="AT418" t="s">
        <v>5544</v>
      </c>
      <c r="AU418">
        <v>2017</v>
      </c>
      <c r="AV418">
        <v>1</v>
      </c>
      <c r="AW418">
        <v>9</v>
      </c>
      <c r="AX418" t="s">
        <v>74</v>
      </c>
      <c r="AY418" t="s">
        <v>74</v>
      </c>
      <c r="AZ418" t="s">
        <v>74</v>
      </c>
      <c r="BA418" t="s">
        <v>74</v>
      </c>
      <c r="BB418">
        <v>1334</v>
      </c>
      <c r="BC418">
        <v>1338</v>
      </c>
      <c r="BD418" t="s">
        <v>74</v>
      </c>
      <c r="BE418" t="s">
        <v>8533</v>
      </c>
      <c r="BF418" t="str">
        <f>HYPERLINK("http://dx.doi.org/10.1038/s41559-017-0253-0","http://dx.doi.org/10.1038/s41559-017-0253-0")</f>
        <v>http://dx.doi.org/10.1038/s41559-017-0253-0</v>
      </c>
      <c r="BG418" t="s">
        <v>74</v>
      </c>
      <c r="BH418" t="s">
        <v>74</v>
      </c>
      <c r="BI418">
        <v>5</v>
      </c>
      <c r="BJ418" t="s">
        <v>3034</v>
      </c>
      <c r="BK418" t="s">
        <v>101</v>
      </c>
      <c r="BL418" t="s">
        <v>3035</v>
      </c>
      <c r="BM418" t="s">
        <v>5604</v>
      </c>
      <c r="BN418">
        <v>29046542</v>
      </c>
      <c r="BO418" t="s">
        <v>164</v>
      </c>
      <c r="BP418" t="s">
        <v>74</v>
      </c>
      <c r="BQ418" t="s">
        <v>74</v>
      </c>
      <c r="BR418" t="s">
        <v>105</v>
      </c>
      <c r="BS418" t="s">
        <v>8534</v>
      </c>
      <c r="BT418" t="str">
        <f>HYPERLINK("https%3A%2F%2Fwww.webofscience.com%2Fwos%2Fwoscc%2Ffull-record%2FWOS:000417190400024","View Full Record in Web of Science")</f>
        <v>View Full Record in Web of Science</v>
      </c>
    </row>
    <row r="419" spans="1:72" x14ac:dyDescent="0.15">
      <c r="A419" t="s">
        <v>72</v>
      </c>
      <c r="B419" t="s">
        <v>8535</v>
      </c>
      <c r="C419" t="s">
        <v>74</v>
      </c>
      <c r="D419" t="s">
        <v>74</v>
      </c>
      <c r="E419" t="s">
        <v>74</v>
      </c>
      <c r="F419" t="s">
        <v>8536</v>
      </c>
      <c r="G419" t="s">
        <v>74</v>
      </c>
      <c r="H419" t="s">
        <v>74</v>
      </c>
      <c r="I419" t="s">
        <v>8537</v>
      </c>
      <c r="J419" t="s">
        <v>5588</v>
      </c>
      <c r="K419" t="s">
        <v>74</v>
      </c>
      <c r="L419" t="s">
        <v>74</v>
      </c>
      <c r="M419" t="s">
        <v>78</v>
      </c>
      <c r="N419" t="s">
        <v>79</v>
      </c>
      <c r="O419" t="s">
        <v>74</v>
      </c>
      <c r="P419" t="s">
        <v>74</v>
      </c>
      <c r="Q419" t="s">
        <v>74</v>
      </c>
      <c r="R419" t="s">
        <v>74</v>
      </c>
      <c r="S419" t="s">
        <v>74</v>
      </c>
      <c r="T419" t="s">
        <v>74</v>
      </c>
      <c r="U419" t="s">
        <v>8538</v>
      </c>
      <c r="V419" t="s">
        <v>8539</v>
      </c>
      <c r="W419" t="s">
        <v>8540</v>
      </c>
      <c r="X419" t="s">
        <v>8541</v>
      </c>
      <c r="Y419" t="s">
        <v>8542</v>
      </c>
      <c r="Z419" t="s">
        <v>8543</v>
      </c>
      <c r="AA419" t="s">
        <v>8544</v>
      </c>
      <c r="AB419" t="s">
        <v>8545</v>
      </c>
      <c r="AC419" t="s">
        <v>8546</v>
      </c>
      <c r="AD419" t="s">
        <v>8547</v>
      </c>
      <c r="AE419" t="s">
        <v>8548</v>
      </c>
      <c r="AF419" t="s">
        <v>74</v>
      </c>
      <c r="AG419">
        <v>59</v>
      </c>
      <c r="AH419">
        <v>36</v>
      </c>
      <c r="AI419">
        <v>39</v>
      </c>
      <c r="AJ419">
        <v>5</v>
      </c>
      <c r="AK419">
        <v>31</v>
      </c>
      <c r="AL419" t="s">
        <v>181</v>
      </c>
      <c r="AM419" t="s">
        <v>182</v>
      </c>
      <c r="AN419" t="s">
        <v>183</v>
      </c>
      <c r="AO419" t="s">
        <v>5600</v>
      </c>
      <c r="AP419" t="s">
        <v>74</v>
      </c>
      <c r="AQ419" t="s">
        <v>74</v>
      </c>
      <c r="AR419" t="s">
        <v>5601</v>
      </c>
      <c r="AS419" t="s">
        <v>5602</v>
      </c>
      <c r="AT419" t="s">
        <v>5544</v>
      </c>
      <c r="AU419">
        <v>2017</v>
      </c>
      <c r="AV419">
        <v>1</v>
      </c>
      <c r="AW419">
        <v>9</v>
      </c>
      <c r="AX419" t="s">
        <v>74</v>
      </c>
      <c r="AY419" t="s">
        <v>74</v>
      </c>
      <c r="AZ419" t="s">
        <v>74</v>
      </c>
      <c r="BA419" t="s">
        <v>74</v>
      </c>
      <c r="BB419">
        <v>1379</v>
      </c>
      <c r="BC419">
        <v>1384</v>
      </c>
      <c r="BD419" t="s">
        <v>74</v>
      </c>
      <c r="BE419" t="s">
        <v>8549</v>
      </c>
      <c r="BF419" t="str">
        <f>HYPERLINK("http://dx.doi.org/10.1038/s41559-017-0239-y","http://dx.doi.org/10.1038/s41559-017-0239-y")</f>
        <v>http://dx.doi.org/10.1038/s41559-017-0239-y</v>
      </c>
      <c r="BG419" t="s">
        <v>74</v>
      </c>
      <c r="BH419" t="s">
        <v>74</v>
      </c>
      <c r="BI419">
        <v>6</v>
      </c>
      <c r="BJ419" t="s">
        <v>3034</v>
      </c>
      <c r="BK419" t="s">
        <v>101</v>
      </c>
      <c r="BL419" t="s">
        <v>3035</v>
      </c>
      <c r="BM419" t="s">
        <v>5604</v>
      </c>
      <c r="BN419">
        <v>29046532</v>
      </c>
      <c r="BO419" t="s">
        <v>74</v>
      </c>
      <c r="BP419" t="s">
        <v>74</v>
      </c>
      <c r="BQ419" t="s">
        <v>74</v>
      </c>
      <c r="BR419" t="s">
        <v>105</v>
      </c>
      <c r="BS419" t="s">
        <v>8550</v>
      </c>
      <c r="BT419" t="str">
        <f>HYPERLINK("https%3A%2F%2Fwww.webofscience.com%2Fwos%2Fwoscc%2Ffull-record%2FWOS:000417190400030","View Full Record in Web of Science")</f>
        <v>View Full Record in Web of Science</v>
      </c>
    </row>
    <row r="420" spans="1:72" x14ac:dyDescent="0.15">
      <c r="A420" t="s">
        <v>72</v>
      </c>
      <c r="B420" t="s">
        <v>8551</v>
      </c>
      <c r="C420" t="s">
        <v>74</v>
      </c>
      <c r="D420" t="s">
        <v>74</v>
      </c>
      <c r="E420" t="s">
        <v>74</v>
      </c>
      <c r="F420" t="s">
        <v>8552</v>
      </c>
      <c r="G420" t="s">
        <v>74</v>
      </c>
      <c r="H420" t="s">
        <v>74</v>
      </c>
      <c r="I420" t="s">
        <v>8553</v>
      </c>
      <c r="J420" t="s">
        <v>2576</v>
      </c>
      <c r="K420" t="s">
        <v>74</v>
      </c>
      <c r="L420" t="s">
        <v>74</v>
      </c>
      <c r="M420" t="s">
        <v>78</v>
      </c>
      <c r="N420" t="s">
        <v>79</v>
      </c>
      <c r="O420" t="s">
        <v>74</v>
      </c>
      <c r="P420" t="s">
        <v>74</v>
      </c>
      <c r="Q420" t="s">
        <v>74</v>
      </c>
      <c r="R420" t="s">
        <v>74</v>
      </c>
      <c r="S420" t="s">
        <v>74</v>
      </c>
      <c r="T420" t="s">
        <v>8554</v>
      </c>
      <c r="U420" t="s">
        <v>8555</v>
      </c>
      <c r="V420" t="s">
        <v>8556</v>
      </c>
      <c r="W420" t="s">
        <v>8557</v>
      </c>
      <c r="X420" t="s">
        <v>8558</v>
      </c>
      <c r="Y420" t="s">
        <v>8559</v>
      </c>
      <c r="Z420" t="s">
        <v>8560</v>
      </c>
      <c r="AA420" t="s">
        <v>8561</v>
      </c>
      <c r="AB420" t="s">
        <v>8562</v>
      </c>
      <c r="AC420" t="s">
        <v>8563</v>
      </c>
      <c r="AD420" t="s">
        <v>8564</v>
      </c>
      <c r="AE420" t="s">
        <v>8565</v>
      </c>
      <c r="AF420" t="s">
        <v>74</v>
      </c>
      <c r="AG420">
        <v>72</v>
      </c>
      <c r="AH420">
        <v>10</v>
      </c>
      <c r="AI420">
        <v>10</v>
      </c>
      <c r="AJ420">
        <v>1</v>
      </c>
      <c r="AK420">
        <v>20</v>
      </c>
      <c r="AL420" t="s">
        <v>208</v>
      </c>
      <c r="AM420" t="s">
        <v>209</v>
      </c>
      <c r="AN420" t="s">
        <v>210</v>
      </c>
      <c r="AO420" t="s">
        <v>2587</v>
      </c>
      <c r="AP420" t="s">
        <v>2588</v>
      </c>
      <c r="AQ420" t="s">
        <v>74</v>
      </c>
      <c r="AR420" t="s">
        <v>2589</v>
      </c>
      <c r="AS420" t="s">
        <v>2590</v>
      </c>
      <c r="AT420" t="s">
        <v>5544</v>
      </c>
      <c r="AU420">
        <v>2017</v>
      </c>
      <c r="AV420">
        <v>40</v>
      </c>
      <c r="AW420">
        <v>9</v>
      </c>
      <c r="AX420" t="s">
        <v>74</v>
      </c>
      <c r="AY420" t="s">
        <v>74</v>
      </c>
      <c r="AZ420" t="s">
        <v>74</v>
      </c>
      <c r="BA420" t="s">
        <v>74</v>
      </c>
      <c r="BB420">
        <v>1805</v>
      </c>
      <c r="BC420">
        <v>1819</v>
      </c>
      <c r="BD420" t="s">
        <v>74</v>
      </c>
      <c r="BE420" t="s">
        <v>8566</v>
      </c>
      <c r="BF420" t="str">
        <f>HYPERLINK("http://dx.doi.org/10.1007/s00300-017-2103-6","http://dx.doi.org/10.1007/s00300-017-2103-6")</f>
        <v>http://dx.doi.org/10.1007/s00300-017-2103-6</v>
      </c>
      <c r="BG420" t="s">
        <v>74</v>
      </c>
      <c r="BH420" t="s">
        <v>74</v>
      </c>
      <c r="BI420">
        <v>15</v>
      </c>
      <c r="BJ420" t="s">
        <v>2592</v>
      </c>
      <c r="BK420" t="s">
        <v>101</v>
      </c>
      <c r="BL420" t="s">
        <v>2593</v>
      </c>
      <c r="BM420" t="s">
        <v>6752</v>
      </c>
      <c r="BN420" t="s">
        <v>74</v>
      </c>
      <c r="BO420" t="s">
        <v>74</v>
      </c>
      <c r="BP420" t="s">
        <v>74</v>
      </c>
      <c r="BQ420" t="s">
        <v>74</v>
      </c>
      <c r="BR420" t="s">
        <v>105</v>
      </c>
      <c r="BS420" t="s">
        <v>8567</v>
      </c>
      <c r="BT420" t="str">
        <f>HYPERLINK("https%3A%2F%2Fwww.webofscience.com%2Fwos%2Fwoscc%2Ffull-record%2FWOS:000410258900009","View Full Record in Web of Science")</f>
        <v>View Full Record in Web of Science</v>
      </c>
    </row>
    <row r="421" spans="1:72" x14ac:dyDescent="0.15">
      <c r="A421" t="s">
        <v>72</v>
      </c>
      <c r="B421" t="s">
        <v>8568</v>
      </c>
      <c r="C421" t="s">
        <v>74</v>
      </c>
      <c r="D421" t="s">
        <v>74</v>
      </c>
      <c r="E421" t="s">
        <v>74</v>
      </c>
      <c r="F421" t="s">
        <v>8569</v>
      </c>
      <c r="G421" t="s">
        <v>74</v>
      </c>
      <c r="H421" t="s">
        <v>74</v>
      </c>
      <c r="I421" t="s">
        <v>8570</v>
      </c>
      <c r="J421" t="s">
        <v>2576</v>
      </c>
      <c r="K421" t="s">
        <v>74</v>
      </c>
      <c r="L421" t="s">
        <v>74</v>
      </c>
      <c r="M421" t="s">
        <v>78</v>
      </c>
      <c r="N421" t="s">
        <v>79</v>
      </c>
      <c r="O421" t="s">
        <v>74</v>
      </c>
      <c r="P421" t="s">
        <v>74</v>
      </c>
      <c r="Q421" t="s">
        <v>74</v>
      </c>
      <c r="R421" t="s">
        <v>74</v>
      </c>
      <c r="S421" t="s">
        <v>74</v>
      </c>
      <c r="T421" t="s">
        <v>8571</v>
      </c>
      <c r="U421" t="s">
        <v>8572</v>
      </c>
      <c r="V421" t="s">
        <v>8573</v>
      </c>
      <c r="W421" t="s">
        <v>8574</v>
      </c>
      <c r="X421" t="s">
        <v>6957</v>
      </c>
      <c r="Y421" t="s">
        <v>8575</v>
      </c>
      <c r="Z421" t="s">
        <v>8576</v>
      </c>
      <c r="AA421" t="s">
        <v>8577</v>
      </c>
      <c r="AB421" t="s">
        <v>8578</v>
      </c>
      <c r="AC421" t="s">
        <v>8579</v>
      </c>
      <c r="AD421" t="s">
        <v>8580</v>
      </c>
      <c r="AE421" t="s">
        <v>8581</v>
      </c>
      <c r="AF421" t="s">
        <v>74</v>
      </c>
      <c r="AG421">
        <v>103</v>
      </c>
      <c r="AH421">
        <v>9</v>
      </c>
      <c r="AI421">
        <v>10</v>
      </c>
      <c r="AJ421">
        <v>0</v>
      </c>
      <c r="AK421">
        <v>6</v>
      </c>
      <c r="AL421" t="s">
        <v>208</v>
      </c>
      <c r="AM421" t="s">
        <v>209</v>
      </c>
      <c r="AN421" t="s">
        <v>210</v>
      </c>
      <c r="AO421" t="s">
        <v>2587</v>
      </c>
      <c r="AP421" t="s">
        <v>2588</v>
      </c>
      <c r="AQ421" t="s">
        <v>74</v>
      </c>
      <c r="AR421" t="s">
        <v>2589</v>
      </c>
      <c r="AS421" t="s">
        <v>2590</v>
      </c>
      <c r="AT421" t="s">
        <v>5544</v>
      </c>
      <c r="AU421">
        <v>2017</v>
      </c>
      <c r="AV421">
        <v>40</v>
      </c>
      <c r="AW421">
        <v>9</v>
      </c>
      <c r="AX421" t="s">
        <v>74</v>
      </c>
      <c r="AY421" t="s">
        <v>74</v>
      </c>
      <c r="AZ421" t="s">
        <v>74</v>
      </c>
      <c r="BA421" t="s">
        <v>74</v>
      </c>
      <c r="BB421">
        <v>1845</v>
      </c>
      <c r="BC421">
        <v>1869</v>
      </c>
      <c r="BD421" t="s">
        <v>74</v>
      </c>
      <c r="BE421" t="s">
        <v>8582</v>
      </c>
      <c r="BF421" t="str">
        <f>HYPERLINK("http://dx.doi.org/10.1007/s00300-017-2107-2","http://dx.doi.org/10.1007/s00300-017-2107-2")</f>
        <v>http://dx.doi.org/10.1007/s00300-017-2107-2</v>
      </c>
      <c r="BG421" t="s">
        <v>74</v>
      </c>
      <c r="BH421" t="s">
        <v>74</v>
      </c>
      <c r="BI421">
        <v>25</v>
      </c>
      <c r="BJ421" t="s">
        <v>2592</v>
      </c>
      <c r="BK421" t="s">
        <v>101</v>
      </c>
      <c r="BL421" t="s">
        <v>2593</v>
      </c>
      <c r="BM421" t="s">
        <v>6752</v>
      </c>
      <c r="BN421" t="s">
        <v>74</v>
      </c>
      <c r="BO421" t="s">
        <v>74</v>
      </c>
      <c r="BP421" t="s">
        <v>74</v>
      </c>
      <c r="BQ421" t="s">
        <v>74</v>
      </c>
      <c r="BR421" t="s">
        <v>105</v>
      </c>
      <c r="BS421" t="s">
        <v>8583</v>
      </c>
      <c r="BT421" t="str">
        <f>HYPERLINK("https%3A%2F%2Fwww.webofscience.com%2Fwos%2Fwoscc%2Ffull-record%2FWOS:000410258900012","View Full Record in Web of Science")</f>
        <v>View Full Record in Web of Science</v>
      </c>
    </row>
    <row r="422" spans="1:72" x14ac:dyDescent="0.15">
      <c r="A422" t="s">
        <v>72</v>
      </c>
      <c r="B422" t="s">
        <v>8584</v>
      </c>
      <c r="C422" t="s">
        <v>74</v>
      </c>
      <c r="D422" t="s">
        <v>74</v>
      </c>
      <c r="E422" t="s">
        <v>74</v>
      </c>
      <c r="F422" t="s">
        <v>8585</v>
      </c>
      <c r="G422" t="s">
        <v>74</v>
      </c>
      <c r="H422" t="s">
        <v>74</v>
      </c>
      <c r="I422" t="s">
        <v>8586</v>
      </c>
      <c r="J422" t="s">
        <v>2576</v>
      </c>
      <c r="K422" t="s">
        <v>74</v>
      </c>
      <c r="L422" t="s">
        <v>74</v>
      </c>
      <c r="M422" t="s">
        <v>78</v>
      </c>
      <c r="N422" t="s">
        <v>273</v>
      </c>
      <c r="O422" t="s">
        <v>74</v>
      </c>
      <c r="P422" t="s">
        <v>74</v>
      </c>
      <c r="Q422" t="s">
        <v>74</v>
      </c>
      <c r="R422" t="s">
        <v>74</v>
      </c>
      <c r="S422" t="s">
        <v>74</v>
      </c>
      <c r="T422" t="s">
        <v>8587</v>
      </c>
      <c r="U422" t="s">
        <v>8588</v>
      </c>
      <c r="V422" t="s">
        <v>8589</v>
      </c>
      <c r="W422" t="s">
        <v>8590</v>
      </c>
      <c r="X422" t="s">
        <v>8591</v>
      </c>
      <c r="Y422" t="s">
        <v>8592</v>
      </c>
      <c r="Z422" t="s">
        <v>8593</v>
      </c>
      <c r="AA422" t="s">
        <v>8594</v>
      </c>
      <c r="AB422" t="s">
        <v>8595</v>
      </c>
      <c r="AC422" t="s">
        <v>8596</v>
      </c>
      <c r="AD422" t="s">
        <v>8597</v>
      </c>
      <c r="AE422" t="s">
        <v>8598</v>
      </c>
      <c r="AF422" t="s">
        <v>74</v>
      </c>
      <c r="AG422">
        <v>103</v>
      </c>
      <c r="AH422">
        <v>14</v>
      </c>
      <c r="AI422">
        <v>14</v>
      </c>
      <c r="AJ422">
        <v>7</v>
      </c>
      <c r="AK422">
        <v>131</v>
      </c>
      <c r="AL422" t="s">
        <v>208</v>
      </c>
      <c r="AM422" t="s">
        <v>209</v>
      </c>
      <c r="AN422" t="s">
        <v>210</v>
      </c>
      <c r="AO422" t="s">
        <v>2587</v>
      </c>
      <c r="AP422" t="s">
        <v>2588</v>
      </c>
      <c r="AQ422" t="s">
        <v>74</v>
      </c>
      <c r="AR422" t="s">
        <v>2589</v>
      </c>
      <c r="AS422" t="s">
        <v>2590</v>
      </c>
      <c r="AT422" t="s">
        <v>5544</v>
      </c>
      <c r="AU422">
        <v>2017</v>
      </c>
      <c r="AV422">
        <v>40</v>
      </c>
      <c r="AW422">
        <v>9</v>
      </c>
      <c r="AX422" t="s">
        <v>74</v>
      </c>
      <c r="AY422" t="s">
        <v>74</v>
      </c>
      <c r="AZ422" t="s">
        <v>74</v>
      </c>
      <c r="BA422" t="s">
        <v>74</v>
      </c>
      <c r="BB422">
        <v>1871</v>
      </c>
      <c r="BC422">
        <v>1883</v>
      </c>
      <c r="BD422" t="s">
        <v>74</v>
      </c>
      <c r="BE422" t="s">
        <v>8599</v>
      </c>
      <c r="BF422" t="str">
        <f>HYPERLINK("http://dx.doi.org/10.1007/s00300-017-2104-5","http://dx.doi.org/10.1007/s00300-017-2104-5")</f>
        <v>http://dx.doi.org/10.1007/s00300-017-2104-5</v>
      </c>
      <c r="BG422" t="s">
        <v>74</v>
      </c>
      <c r="BH422" t="s">
        <v>74</v>
      </c>
      <c r="BI422">
        <v>13</v>
      </c>
      <c r="BJ422" t="s">
        <v>2592</v>
      </c>
      <c r="BK422" t="s">
        <v>101</v>
      </c>
      <c r="BL422" t="s">
        <v>2593</v>
      </c>
      <c r="BM422" t="s">
        <v>6752</v>
      </c>
      <c r="BN422" t="s">
        <v>74</v>
      </c>
      <c r="BO422" t="s">
        <v>1240</v>
      </c>
      <c r="BP422" t="s">
        <v>74</v>
      </c>
      <c r="BQ422" t="s">
        <v>74</v>
      </c>
      <c r="BR422" t="s">
        <v>105</v>
      </c>
      <c r="BS422" t="s">
        <v>8600</v>
      </c>
      <c r="BT422" t="str">
        <f>HYPERLINK("https%3A%2F%2Fwww.webofscience.com%2Fwos%2Fwoscc%2Ffull-record%2FWOS:000410258900013","View Full Record in Web of Science")</f>
        <v>View Full Record in Web of Science</v>
      </c>
    </row>
    <row r="423" spans="1:72" x14ac:dyDescent="0.15">
      <c r="A423" t="s">
        <v>72</v>
      </c>
      <c r="B423" t="s">
        <v>8601</v>
      </c>
      <c r="C423" t="s">
        <v>74</v>
      </c>
      <c r="D423" t="s">
        <v>74</v>
      </c>
      <c r="E423" t="s">
        <v>74</v>
      </c>
      <c r="F423" t="s">
        <v>8602</v>
      </c>
      <c r="G423" t="s">
        <v>74</v>
      </c>
      <c r="H423" t="s">
        <v>74</v>
      </c>
      <c r="I423" t="s">
        <v>8603</v>
      </c>
      <c r="J423" t="s">
        <v>2576</v>
      </c>
      <c r="K423" t="s">
        <v>74</v>
      </c>
      <c r="L423" t="s">
        <v>74</v>
      </c>
      <c r="M423" t="s">
        <v>78</v>
      </c>
      <c r="N423" t="s">
        <v>79</v>
      </c>
      <c r="O423" t="s">
        <v>74</v>
      </c>
      <c r="P423" t="s">
        <v>74</v>
      </c>
      <c r="Q423" t="s">
        <v>74</v>
      </c>
      <c r="R423" t="s">
        <v>74</v>
      </c>
      <c r="S423" t="s">
        <v>74</v>
      </c>
      <c r="T423" t="s">
        <v>8604</v>
      </c>
      <c r="U423" t="s">
        <v>8605</v>
      </c>
      <c r="V423" t="s">
        <v>8606</v>
      </c>
      <c r="W423" t="s">
        <v>8607</v>
      </c>
      <c r="X423" t="s">
        <v>8608</v>
      </c>
      <c r="Y423" t="s">
        <v>8609</v>
      </c>
      <c r="Z423" t="s">
        <v>8610</v>
      </c>
      <c r="AA423" t="s">
        <v>74</v>
      </c>
      <c r="AB423" t="s">
        <v>8611</v>
      </c>
      <c r="AC423" t="s">
        <v>74</v>
      </c>
      <c r="AD423" t="s">
        <v>74</v>
      </c>
      <c r="AE423" t="s">
        <v>74</v>
      </c>
      <c r="AF423" t="s">
        <v>74</v>
      </c>
      <c r="AG423">
        <v>16</v>
      </c>
      <c r="AH423">
        <v>3</v>
      </c>
      <c r="AI423">
        <v>3</v>
      </c>
      <c r="AJ423">
        <v>0</v>
      </c>
      <c r="AK423">
        <v>15</v>
      </c>
      <c r="AL423" t="s">
        <v>208</v>
      </c>
      <c r="AM423" t="s">
        <v>209</v>
      </c>
      <c r="AN423" t="s">
        <v>210</v>
      </c>
      <c r="AO423" t="s">
        <v>2587</v>
      </c>
      <c r="AP423" t="s">
        <v>2588</v>
      </c>
      <c r="AQ423" t="s">
        <v>74</v>
      </c>
      <c r="AR423" t="s">
        <v>2589</v>
      </c>
      <c r="AS423" t="s">
        <v>2590</v>
      </c>
      <c r="AT423" t="s">
        <v>5544</v>
      </c>
      <c r="AU423">
        <v>2017</v>
      </c>
      <c r="AV423">
        <v>40</v>
      </c>
      <c r="AW423">
        <v>9</v>
      </c>
      <c r="AX423" t="s">
        <v>74</v>
      </c>
      <c r="AY423" t="s">
        <v>74</v>
      </c>
      <c r="AZ423" t="s">
        <v>74</v>
      </c>
      <c r="BA423" t="s">
        <v>74</v>
      </c>
      <c r="BB423">
        <v>1899</v>
      </c>
      <c r="BC423">
        <v>1902</v>
      </c>
      <c r="BD423" t="s">
        <v>74</v>
      </c>
      <c r="BE423" t="s">
        <v>8612</v>
      </c>
      <c r="BF423" t="str">
        <f>HYPERLINK("http://dx.doi.org/10.1007/s00300-016-2070-3","http://dx.doi.org/10.1007/s00300-016-2070-3")</f>
        <v>http://dx.doi.org/10.1007/s00300-016-2070-3</v>
      </c>
      <c r="BG423" t="s">
        <v>74</v>
      </c>
      <c r="BH423" t="s">
        <v>74</v>
      </c>
      <c r="BI423">
        <v>4</v>
      </c>
      <c r="BJ423" t="s">
        <v>2592</v>
      </c>
      <c r="BK423" t="s">
        <v>101</v>
      </c>
      <c r="BL423" t="s">
        <v>2593</v>
      </c>
      <c r="BM423" t="s">
        <v>6752</v>
      </c>
      <c r="BN423" t="s">
        <v>74</v>
      </c>
      <c r="BO423" t="s">
        <v>74</v>
      </c>
      <c r="BP423" t="s">
        <v>74</v>
      </c>
      <c r="BQ423" t="s">
        <v>74</v>
      </c>
      <c r="BR423" t="s">
        <v>105</v>
      </c>
      <c r="BS423" t="s">
        <v>8613</v>
      </c>
      <c r="BT423" t="str">
        <f>HYPERLINK("https%3A%2F%2Fwww.webofscience.com%2Fwos%2Fwoscc%2Ffull-record%2FWOS:000410258900016","View Full Record in Web of Science")</f>
        <v>View Full Record in Web of Science</v>
      </c>
    </row>
    <row r="424" spans="1:72" x14ac:dyDescent="0.15">
      <c r="A424" t="s">
        <v>72</v>
      </c>
      <c r="B424" t="s">
        <v>8614</v>
      </c>
      <c r="C424" t="s">
        <v>74</v>
      </c>
      <c r="D424" t="s">
        <v>74</v>
      </c>
      <c r="E424" t="s">
        <v>74</v>
      </c>
      <c r="F424" t="s">
        <v>8615</v>
      </c>
      <c r="G424" t="s">
        <v>74</v>
      </c>
      <c r="H424" t="s">
        <v>74</v>
      </c>
      <c r="I424" t="s">
        <v>8616</v>
      </c>
      <c r="J424" t="s">
        <v>2576</v>
      </c>
      <c r="K424" t="s">
        <v>74</v>
      </c>
      <c r="L424" t="s">
        <v>74</v>
      </c>
      <c r="M424" t="s">
        <v>78</v>
      </c>
      <c r="N424" t="s">
        <v>79</v>
      </c>
      <c r="O424" t="s">
        <v>74</v>
      </c>
      <c r="P424" t="s">
        <v>74</v>
      </c>
      <c r="Q424" t="s">
        <v>74</v>
      </c>
      <c r="R424" t="s">
        <v>74</v>
      </c>
      <c r="S424" t="s">
        <v>74</v>
      </c>
      <c r="T424" t="s">
        <v>8617</v>
      </c>
      <c r="U424" t="s">
        <v>8618</v>
      </c>
      <c r="V424" t="s">
        <v>8619</v>
      </c>
      <c r="W424" t="s">
        <v>8620</v>
      </c>
      <c r="X424" t="s">
        <v>8621</v>
      </c>
      <c r="Y424" t="s">
        <v>8622</v>
      </c>
      <c r="Z424" t="s">
        <v>8623</v>
      </c>
      <c r="AA424" t="s">
        <v>8624</v>
      </c>
      <c r="AB424" t="s">
        <v>8625</v>
      </c>
      <c r="AC424" t="s">
        <v>74</v>
      </c>
      <c r="AD424" t="s">
        <v>74</v>
      </c>
      <c r="AE424" t="s">
        <v>74</v>
      </c>
      <c r="AF424" t="s">
        <v>74</v>
      </c>
      <c r="AG424">
        <v>11</v>
      </c>
      <c r="AH424">
        <v>4</v>
      </c>
      <c r="AI424">
        <v>4</v>
      </c>
      <c r="AJ424">
        <v>1</v>
      </c>
      <c r="AK424">
        <v>39</v>
      </c>
      <c r="AL424" t="s">
        <v>208</v>
      </c>
      <c r="AM424" t="s">
        <v>209</v>
      </c>
      <c r="AN424" t="s">
        <v>210</v>
      </c>
      <c r="AO424" t="s">
        <v>2587</v>
      </c>
      <c r="AP424" t="s">
        <v>2588</v>
      </c>
      <c r="AQ424" t="s">
        <v>74</v>
      </c>
      <c r="AR424" t="s">
        <v>2589</v>
      </c>
      <c r="AS424" t="s">
        <v>2590</v>
      </c>
      <c r="AT424" t="s">
        <v>5544</v>
      </c>
      <c r="AU424">
        <v>2017</v>
      </c>
      <c r="AV424">
        <v>40</v>
      </c>
      <c r="AW424">
        <v>9</v>
      </c>
      <c r="AX424" t="s">
        <v>74</v>
      </c>
      <c r="AY424" t="s">
        <v>74</v>
      </c>
      <c r="AZ424" t="s">
        <v>74</v>
      </c>
      <c r="BA424" t="s">
        <v>74</v>
      </c>
      <c r="BB424">
        <v>1903</v>
      </c>
      <c r="BC424">
        <v>1905</v>
      </c>
      <c r="BD424" t="s">
        <v>74</v>
      </c>
      <c r="BE424" t="s">
        <v>8626</v>
      </c>
      <c r="BF424" t="str">
        <f>HYPERLINK("http://dx.doi.org/10.1007/s00300-017-2073-8","http://dx.doi.org/10.1007/s00300-017-2073-8")</f>
        <v>http://dx.doi.org/10.1007/s00300-017-2073-8</v>
      </c>
      <c r="BG424" t="s">
        <v>74</v>
      </c>
      <c r="BH424" t="s">
        <v>74</v>
      </c>
      <c r="BI424">
        <v>3</v>
      </c>
      <c r="BJ424" t="s">
        <v>2592</v>
      </c>
      <c r="BK424" t="s">
        <v>101</v>
      </c>
      <c r="BL424" t="s">
        <v>2593</v>
      </c>
      <c r="BM424" t="s">
        <v>6752</v>
      </c>
      <c r="BN424" t="s">
        <v>74</v>
      </c>
      <c r="BO424" t="s">
        <v>74</v>
      </c>
      <c r="BP424" t="s">
        <v>74</v>
      </c>
      <c r="BQ424" t="s">
        <v>74</v>
      </c>
      <c r="BR424" t="s">
        <v>105</v>
      </c>
      <c r="BS424" t="s">
        <v>8627</v>
      </c>
      <c r="BT424" t="str">
        <f>HYPERLINK("https%3A%2F%2Fwww.webofscience.com%2Fwos%2Fwoscc%2Ffull-record%2FWOS:000410258900017","View Full Record in Web of Science")</f>
        <v>View Full Record in Web of Science</v>
      </c>
    </row>
    <row r="425" spans="1:72" x14ac:dyDescent="0.15">
      <c r="A425" t="s">
        <v>72</v>
      </c>
      <c r="B425" t="s">
        <v>8628</v>
      </c>
      <c r="C425" t="s">
        <v>74</v>
      </c>
      <c r="D425" t="s">
        <v>74</v>
      </c>
      <c r="E425" t="s">
        <v>74</v>
      </c>
      <c r="F425" t="s">
        <v>8629</v>
      </c>
      <c r="G425" t="s">
        <v>74</v>
      </c>
      <c r="H425" t="s">
        <v>74</v>
      </c>
      <c r="I425" t="s">
        <v>8630</v>
      </c>
      <c r="J425" t="s">
        <v>6355</v>
      </c>
      <c r="K425" t="s">
        <v>74</v>
      </c>
      <c r="L425" t="s">
        <v>74</v>
      </c>
      <c r="M425" t="s">
        <v>78</v>
      </c>
      <c r="N425" t="s">
        <v>79</v>
      </c>
      <c r="O425" t="s">
        <v>74</v>
      </c>
      <c r="P425" t="s">
        <v>74</v>
      </c>
      <c r="Q425" t="s">
        <v>74</v>
      </c>
      <c r="R425" t="s">
        <v>74</v>
      </c>
      <c r="S425" t="s">
        <v>74</v>
      </c>
      <c r="T425" t="s">
        <v>74</v>
      </c>
      <c r="U425" t="s">
        <v>74</v>
      </c>
      <c r="V425" t="s">
        <v>8631</v>
      </c>
      <c r="W425" t="s">
        <v>8632</v>
      </c>
      <c r="X425" t="s">
        <v>8633</v>
      </c>
      <c r="Y425" t="s">
        <v>8634</v>
      </c>
      <c r="Z425" t="s">
        <v>5141</v>
      </c>
      <c r="AA425" t="s">
        <v>8635</v>
      </c>
      <c r="AB425" t="s">
        <v>8636</v>
      </c>
      <c r="AC425" t="s">
        <v>74</v>
      </c>
      <c r="AD425" t="s">
        <v>74</v>
      </c>
      <c r="AE425" t="s">
        <v>74</v>
      </c>
      <c r="AF425" t="s">
        <v>74</v>
      </c>
      <c r="AG425">
        <v>54</v>
      </c>
      <c r="AH425">
        <v>3</v>
      </c>
      <c r="AI425">
        <v>4</v>
      </c>
      <c r="AJ425">
        <v>0</v>
      </c>
      <c r="AK425">
        <v>25</v>
      </c>
      <c r="AL425" t="s">
        <v>1270</v>
      </c>
      <c r="AM425" t="s">
        <v>209</v>
      </c>
      <c r="AN425" t="s">
        <v>1682</v>
      </c>
      <c r="AO425" t="s">
        <v>6367</v>
      </c>
      <c r="AP425" t="s">
        <v>6368</v>
      </c>
      <c r="AQ425" t="s">
        <v>74</v>
      </c>
      <c r="AR425" t="s">
        <v>6369</v>
      </c>
      <c r="AS425" t="s">
        <v>6370</v>
      </c>
      <c r="AT425" t="s">
        <v>5544</v>
      </c>
      <c r="AU425">
        <v>2017</v>
      </c>
      <c r="AV425">
        <v>53</v>
      </c>
      <c r="AW425">
        <v>5</v>
      </c>
      <c r="AX425" t="s">
        <v>74</v>
      </c>
      <c r="AY425" t="s">
        <v>74</v>
      </c>
      <c r="AZ425" t="s">
        <v>74</v>
      </c>
      <c r="BA425" t="s">
        <v>74</v>
      </c>
      <c r="BB425">
        <v>498</v>
      </c>
      <c r="BC425">
        <v>511</v>
      </c>
      <c r="BD425" t="s">
        <v>74</v>
      </c>
      <c r="BE425" t="s">
        <v>8637</v>
      </c>
      <c r="BF425" t="str">
        <f>HYPERLINK("http://dx.doi.org/10.1017/S0032247417000468","http://dx.doi.org/10.1017/S0032247417000468")</f>
        <v>http://dx.doi.org/10.1017/S0032247417000468</v>
      </c>
      <c r="BG425" t="s">
        <v>74</v>
      </c>
      <c r="BH425" t="s">
        <v>74</v>
      </c>
      <c r="BI425">
        <v>14</v>
      </c>
      <c r="BJ425" t="s">
        <v>1902</v>
      </c>
      <c r="BK425" t="s">
        <v>101</v>
      </c>
      <c r="BL425" t="s">
        <v>1048</v>
      </c>
      <c r="BM425" t="s">
        <v>6372</v>
      </c>
      <c r="BN425" t="s">
        <v>74</v>
      </c>
      <c r="BO425" t="s">
        <v>104</v>
      </c>
      <c r="BP425" t="s">
        <v>74</v>
      </c>
      <c r="BQ425" t="s">
        <v>74</v>
      </c>
      <c r="BR425" t="s">
        <v>105</v>
      </c>
      <c r="BS425" t="s">
        <v>8638</v>
      </c>
      <c r="BT425" t="str">
        <f>HYPERLINK("https%3A%2F%2Fwww.webofscience.com%2Fwos%2Fwoscc%2Ffull-record%2FWOS:000413169400004","View Full Record in Web of Science")</f>
        <v>View Full Record in Web of Science</v>
      </c>
    </row>
    <row r="426" spans="1:72" x14ac:dyDescent="0.15">
      <c r="A426" t="s">
        <v>72</v>
      </c>
      <c r="B426" t="s">
        <v>8639</v>
      </c>
      <c r="C426" t="s">
        <v>74</v>
      </c>
      <c r="D426" t="s">
        <v>74</v>
      </c>
      <c r="E426" t="s">
        <v>74</v>
      </c>
      <c r="F426" t="s">
        <v>8640</v>
      </c>
      <c r="G426" t="s">
        <v>74</v>
      </c>
      <c r="H426" t="s">
        <v>74</v>
      </c>
      <c r="I426" t="s">
        <v>8641</v>
      </c>
      <c r="J426" t="s">
        <v>7449</v>
      </c>
      <c r="K426" t="s">
        <v>74</v>
      </c>
      <c r="L426" t="s">
        <v>74</v>
      </c>
      <c r="M426" t="s">
        <v>78</v>
      </c>
      <c r="N426" t="s">
        <v>79</v>
      </c>
      <c r="O426" t="s">
        <v>74</v>
      </c>
      <c r="P426" t="s">
        <v>74</v>
      </c>
      <c r="Q426" t="s">
        <v>74</v>
      </c>
      <c r="R426" t="s">
        <v>74</v>
      </c>
      <c r="S426" t="s">
        <v>74</v>
      </c>
      <c r="T426" t="s">
        <v>8642</v>
      </c>
      <c r="U426" t="s">
        <v>8643</v>
      </c>
      <c r="V426" t="s">
        <v>8644</v>
      </c>
      <c r="W426" t="s">
        <v>8645</v>
      </c>
      <c r="X426" t="s">
        <v>8646</v>
      </c>
      <c r="Y426" t="s">
        <v>8647</v>
      </c>
      <c r="Z426" t="s">
        <v>8648</v>
      </c>
      <c r="AA426" t="s">
        <v>8649</v>
      </c>
      <c r="AB426" t="s">
        <v>8650</v>
      </c>
      <c r="AC426" t="s">
        <v>8651</v>
      </c>
      <c r="AD426" t="s">
        <v>8652</v>
      </c>
      <c r="AE426" t="s">
        <v>8653</v>
      </c>
      <c r="AF426" t="s">
        <v>74</v>
      </c>
      <c r="AG426">
        <v>67</v>
      </c>
      <c r="AH426">
        <v>27</v>
      </c>
      <c r="AI426">
        <v>27</v>
      </c>
      <c r="AJ426">
        <v>1</v>
      </c>
      <c r="AK426">
        <v>8</v>
      </c>
      <c r="AL426" t="s">
        <v>502</v>
      </c>
      <c r="AM426" t="s">
        <v>372</v>
      </c>
      <c r="AN426" t="s">
        <v>503</v>
      </c>
      <c r="AO426" t="s">
        <v>7461</v>
      </c>
      <c r="AP426" t="s">
        <v>7462</v>
      </c>
      <c r="AQ426" t="s">
        <v>74</v>
      </c>
      <c r="AR426" t="s">
        <v>7463</v>
      </c>
      <c r="AS426" t="s">
        <v>7464</v>
      </c>
      <c r="AT426" t="s">
        <v>5544</v>
      </c>
      <c r="AU426">
        <v>2017</v>
      </c>
      <c r="AV426">
        <v>13</v>
      </c>
      <c r="AW426" t="s">
        <v>74</v>
      </c>
      <c r="AX426" t="s">
        <v>74</v>
      </c>
      <c r="AY426" t="s">
        <v>74</v>
      </c>
      <c r="AZ426" t="s">
        <v>74</v>
      </c>
      <c r="BA426" t="s">
        <v>74</v>
      </c>
      <c r="BB426">
        <v>23</v>
      </c>
      <c r="BC426">
        <v>32</v>
      </c>
      <c r="BD426" t="s">
        <v>74</v>
      </c>
      <c r="BE426" t="s">
        <v>8654</v>
      </c>
      <c r="BF426" t="str">
        <f>HYPERLINK("http://dx.doi.org/10.1016/j.polar.2017.04.001","http://dx.doi.org/10.1016/j.polar.2017.04.001")</f>
        <v>http://dx.doi.org/10.1016/j.polar.2017.04.001</v>
      </c>
      <c r="BG426" t="s">
        <v>74</v>
      </c>
      <c r="BH426" t="s">
        <v>74</v>
      </c>
      <c r="BI426">
        <v>10</v>
      </c>
      <c r="BJ426" t="s">
        <v>5317</v>
      </c>
      <c r="BK426" t="s">
        <v>101</v>
      </c>
      <c r="BL426" t="s">
        <v>5318</v>
      </c>
      <c r="BM426" t="s">
        <v>7466</v>
      </c>
      <c r="BN426" t="s">
        <v>74</v>
      </c>
      <c r="BO426" t="s">
        <v>1240</v>
      </c>
      <c r="BP426" t="s">
        <v>74</v>
      </c>
      <c r="BQ426" t="s">
        <v>74</v>
      </c>
      <c r="BR426" t="s">
        <v>105</v>
      </c>
      <c r="BS426" t="s">
        <v>8655</v>
      </c>
      <c r="BT426" t="str">
        <f>HYPERLINK("https%3A%2F%2Fwww.webofscience.com%2Fwos%2Fwoscc%2Ffull-record%2FWOS:000408673200003","View Full Record in Web of Science")</f>
        <v>View Full Record in Web of Science</v>
      </c>
    </row>
    <row r="427" spans="1:72" x14ac:dyDescent="0.15">
      <c r="A427" t="s">
        <v>72</v>
      </c>
      <c r="B427" t="s">
        <v>8656</v>
      </c>
      <c r="C427" t="s">
        <v>74</v>
      </c>
      <c r="D427" t="s">
        <v>74</v>
      </c>
      <c r="E427" t="s">
        <v>74</v>
      </c>
      <c r="F427" t="s">
        <v>8657</v>
      </c>
      <c r="G427" t="s">
        <v>74</v>
      </c>
      <c r="H427" t="s">
        <v>74</v>
      </c>
      <c r="I427" t="s">
        <v>8658</v>
      </c>
      <c r="J427" t="s">
        <v>8659</v>
      </c>
      <c r="K427" t="s">
        <v>74</v>
      </c>
      <c r="L427" t="s">
        <v>74</v>
      </c>
      <c r="M427" t="s">
        <v>78</v>
      </c>
      <c r="N427" t="s">
        <v>79</v>
      </c>
      <c r="O427" t="s">
        <v>74</v>
      </c>
      <c r="P427" t="s">
        <v>74</v>
      </c>
      <c r="Q427" t="s">
        <v>74</v>
      </c>
      <c r="R427" t="s">
        <v>74</v>
      </c>
      <c r="S427" t="s">
        <v>74</v>
      </c>
      <c r="T427" t="s">
        <v>8660</v>
      </c>
      <c r="U427" t="s">
        <v>8661</v>
      </c>
      <c r="V427" t="s">
        <v>8662</v>
      </c>
      <c r="W427" t="s">
        <v>8663</v>
      </c>
      <c r="X427" t="s">
        <v>8664</v>
      </c>
      <c r="Y427" t="s">
        <v>8665</v>
      </c>
      <c r="Z427" t="s">
        <v>8666</v>
      </c>
      <c r="AA427" t="s">
        <v>74</v>
      </c>
      <c r="AB427" t="s">
        <v>74</v>
      </c>
      <c r="AC427" t="s">
        <v>8667</v>
      </c>
      <c r="AD427" t="s">
        <v>8668</v>
      </c>
      <c r="AE427" t="s">
        <v>8669</v>
      </c>
      <c r="AF427" t="s">
        <v>74</v>
      </c>
      <c r="AG427">
        <v>100</v>
      </c>
      <c r="AH427">
        <v>32</v>
      </c>
      <c r="AI427">
        <v>37</v>
      </c>
      <c r="AJ427">
        <v>0</v>
      </c>
      <c r="AK427">
        <v>12</v>
      </c>
      <c r="AL427" t="s">
        <v>371</v>
      </c>
      <c r="AM427" t="s">
        <v>372</v>
      </c>
      <c r="AN427" t="s">
        <v>373</v>
      </c>
      <c r="AO427" t="s">
        <v>8670</v>
      </c>
      <c r="AP427" t="s">
        <v>8671</v>
      </c>
      <c r="AQ427" t="s">
        <v>74</v>
      </c>
      <c r="AR427" t="s">
        <v>8672</v>
      </c>
      <c r="AS427" t="s">
        <v>8673</v>
      </c>
      <c r="AT427" t="s">
        <v>5544</v>
      </c>
      <c r="AU427">
        <v>2017</v>
      </c>
      <c r="AV427">
        <v>299</v>
      </c>
      <c r="AW427" t="s">
        <v>74</v>
      </c>
      <c r="AX427" t="s">
        <v>74</v>
      </c>
      <c r="AY427" t="s">
        <v>74</v>
      </c>
      <c r="AZ427" t="s">
        <v>74</v>
      </c>
      <c r="BA427" t="s">
        <v>74</v>
      </c>
      <c r="BB427">
        <v>15</v>
      </c>
      <c r="BC427">
        <v>33</v>
      </c>
      <c r="BD427" t="s">
        <v>74</v>
      </c>
      <c r="BE427" t="s">
        <v>8674</v>
      </c>
      <c r="BF427" t="str">
        <f>HYPERLINK("http://dx.doi.org/10.1016/j.precamres.2017.07.012","http://dx.doi.org/10.1016/j.precamres.2017.07.012")</f>
        <v>http://dx.doi.org/10.1016/j.precamres.2017.07.012</v>
      </c>
      <c r="BG427" t="s">
        <v>74</v>
      </c>
      <c r="BH427" t="s">
        <v>74</v>
      </c>
      <c r="BI427">
        <v>19</v>
      </c>
      <c r="BJ427" t="s">
        <v>100</v>
      </c>
      <c r="BK427" t="s">
        <v>101</v>
      </c>
      <c r="BL427" t="s">
        <v>102</v>
      </c>
      <c r="BM427" t="s">
        <v>8675</v>
      </c>
      <c r="BN427" t="s">
        <v>74</v>
      </c>
      <c r="BO427" t="s">
        <v>74</v>
      </c>
      <c r="BP427" t="s">
        <v>74</v>
      </c>
      <c r="BQ427" t="s">
        <v>74</v>
      </c>
      <c r="BR427" t="s">
        <v>105</v>
      </c>
      <c r="BS427" t="s">
        <v>8676</v>
      </c>
      <c r="BT427" t="str">
        <f>HYPERLINK("https%3A%2F%2Fwww.webofscience.com%2Fwos%2Fwoscc%2Ffull-record%2FWOS:000411419700002","View Full Record in Web of Science")</f>
        <v>View Full Record in Web of Science</v>
      </c>
    </row>
    <row r="428" spans="1:72" x14ac:dyDescent="0.15">
      <c r="A428" t="s">
        <v>72</v>
      </c>
      <c r="B428" t="s">
        <v>8677</v>
      </c>
      <c r="C428" t="s">
        <v>74</v>
      </c>
      <c r="D428" t="s">
        <v>74</v>
      </c>
      <c r="E428" t="s">
        <v>74</v>
      </c>
      <c r="F428" t="s">
        <v>8678</v>
      </c>
      <c r="G428" t="s">
        <v>74</v>
      </c>
      <c r="H428" t="s">
        <v>74</v>
      </c>
      <c r="I428" t="s">
        <v>8679</v>
      </c>
      <c r="J428" t="s">
        <v>8680</v>
      </c>
      <c r="K428" t="s">
        <v>74</v>
      </c>
      <c r="L428" t="s">
        <v>74</v>
      </c>
      <c r="M428" t="s">
        <v>78</v>
      </c>
      <c r="N428" t="s">
        <v>79</v>
      </c>
      <c r="O428" t="s">
        <v>74</v>
      </c>
      <c r="P428" t="s">
        <v>74</v>
      </c>
      <c r="Q428" t="s">
        <v>74</v>
      </c>
      <c r="R428" t="s">
        <v>74</v>
      </c>
      <c r="S428" t="s">
        <v>74</v>
      </c>
      <c r="T428" t="s">
        <v>8681</v>
      </c>
      <c r="U428" t="s">
        <v>8682</v>
      </c>
      <c r="V428" t="s">
        <v>8683</v>
      </c>
      <c r="W428" t="s">
        <v>8684</v>
      </c>
      <c r="X428" t="s">
        <v>8685</v>
      </c>
      <c r="Y428" t="s">
        <v>8686</v>
      </c>
      <c r="Z428" t="s">
        <v>8687</v>
      </c>
      <c r="AA428" t="s">
        <v>8688</v>
      </c>
      <c r="AB428" t="s">
        <v>8689</v>
      </c>
      <c r="AC428" t="s">
        <v>8690</v>
      </c>
      <c r="AD428" t="s">
        <v>8691</v>
      </c>
      <c r="AE428" t="s">
        <v>8692</v>
      </c>
      <c r="AF428" t="s">
        <v>74</v>
      </c>
      <c r="AG428">
        <v>68</v>
      </c>
      <c r="AH428">
        <v>12</v>
      </c>
      <c r="AI428">
        <v>12</v>
      </c>
      <c r="AJ428">
        <v>0</v>
      </c>
      <c r="AK428">
        <v>10</v>
      </c>
      <c r="AL428" t="s">
        <v>1981</v>
      </c>
      <c r="AM428" t="s">
        <v>729</v>
      </c>
      <c r="AN428" t="s">
        <v>1982</v>
      </c>
      <c r="AO428" t="s">
        <v>8693</v>
      </c>
      <c r="AP428" t="s">
        <v>74</v>
      </c>
      <c r="AQ428" t="s">
        <v>74</v>
      </c>
      <c r="AR428" t="s">
        <v>8694</v>
      </c>
      <c r="AS428" t="s">
        <v>8695</v>
      </c>
      <c r="AT428" t="s">
        <v>5544</v>
      </c>
      <c r="AU428">
        <v>2017</v>
      </c>
      <c r="AV428">
        <v>157</v>
      </c>
      <c r="AW428" t="s">
        <v>74</v>
      </c>
      <c r="AX428" t="s">
        <v>74</v>
      </c>
      <c r="AY428" t="s">
        <v>74</v>
      </c>
      <c r="AZ428" t="s">
        <v>74</v>
      </c>
      <c r="BA428" t="s">
        <v>74</v>
      </c>
      <c r="BB428">
        <v>47</v>
      </c>
      <c r="BC428">
        <v>71</v>
      </c>
      <c r="BD428" t="s">
        <v>74</v>
      </c>
      <c r="BE428" t="s">
        <v>8696</v>
      </c>
      <c r="BF428" t="str">
        <f>HYPERLINK("http://dx.doi.org/10.1016/j.pocean.2017.05.015","http://dx.doi.org/10.1016/j.pocean.2017.05.015")</f>
        <v>http://dx.doi.org/10.1016/j.pocean.2017.05.015</v>
      </c>
      <c r="BG428" t="s">
        <v>74</v>
      </c>
      <c r="BH428" t="s">
        <v>74</v>
      </c>
      <c r="BI428">
        <v>25</v>
      </c>
      <c r="BJ428" t="s">
        <v>1459</v>
      </c>
      <c r="BK428" t="s">
        <v>101</v>
      </c>
      <c r="BL428" t="s">
        <v>1459</v>
      </c>
      <c r="BM428" t="s">
        <v>8697</v>
      </c>
      <c r="BN428" t="s">
        <v>74</v>
      </c>
      <c r="BO428" t="s">
        <v>74</v>
      </c>
      <c r="BP428" t="s">
        <v>74</v>
      </c>
      <c r="BQ428" t="s">
        <v>74</v>
      </c>
      <c r="BR428" t="s">
        <v>105</v>
      </c>
      <c r="BS428" t="s">
        <v>8698</v>
      </c>
      <c r="BT428" t="str">
        <f>HYPERLINK("https%3A%2F%2Fwww.webofscience.com%2Fwos%2Fwoscc%2Ffull-record%2FWOS:000413795900004","View Full Record in Web of Science")</f>
        <v>View Full Record in Web of Science</v>
      </c>
    </row>
    <row r="429" spans="1:72" x14ac:dyDescent="0.15">
      <c r="A429" t="s">
        <v>72</v>
      </c>
      <c r="B429" t="s">
        <v>8699</v>
      </c>
      <c r="C429" t="s">
        <v>74</v>
      </c>
      <c r="D429" t="s">
        <v>74</v>
      </c>
      <c r="E429" t="s">
        <v>74</v>
      </c>
      <c r="F429" t="s">
        <v>8700</v>
      </c>
      <c r="G429" t="s">
        <v>74</v>
      </c>
      <c r="H429" t="s">
        <v>74</v>
      </c>
      <c r="I429" t="s">
        <v>8701</v>
      </c>
      <c r="J429" t="s">
        <v>8702</v>
      </c>
      <c r="K429" t="s">
        <v>74</v>
      </c>
      <c r="L429" t="s">
        <v>74</v>
      </c>
      <c r="M429" t="s">
        <v>78</v>
      </c>
      <c r="N429" t="s">
        <v>79</v>
      </c>
      <c r="O429" t="s">
        <v>74</v>
      </c>
      <c r="P429" t="s">
        <v>74</v>
      </c>
      <c r="Q429" t="s">
        <v>74</v>
      </c>
      <c r="R429" t="s">
        <v>74</v>
      </c>
      <c r="S429" t="s">
        <v>74</v>
      </c>
      <c r="T429" t="s">
        <v>74</v>
      </c>
      <c r="U429" t="s">
        <v>8703</v>
      </c>
      <c r="V429" t="s">
        <v>8704</v>
      </c>
      <c r="W429" t="s">
        <v>8705</v>
      </c>
      <c r="X429" t="s">
        <v>8706</v>
      </c>
      <c r="Y429" t="s">
        <v>8707</v>
      </c>
      <c r="Z429" t="s">
        <v>8708</v>
      </c>
      <c r="AA429" t="s">
        <v>8709</v>
      </c>
      <c r="AB429" t="s">
        <v>8710</v>
      </c>
      <c r="AC429" t="s">
        <v>8711</v>
      </c>
      <c r="AD429" t="s">
        <v>4631</v>
      </c>
      <c r="AE429" t="s">
        <v>74</v>
      </c>
      <c r="AF429" t="s">
        <v>74</v>
      </c>
      <c r="AG429">
        <v>34</v>
      </c>
      <c r="AH429">
        <v>7</v>
      </c>
      <c r="AI429">
        <v>8</v>
      </c>
      <c r="AJ429">
        <v>0</v>
      </c>
      <c r="AK429">
        <v>4</v>
      </c>
      <c r="AL429" t="s">
        <v>208</v>
      </c>
      <c r="AM429" t="s">
        <v>209</v>
      </c>
      <c r="AN429" t="s">
        <v>210</v>
      </c>
      <c r="AO429" t="s">
        <v>8712</v>
      </c>
      <c r="AP429" t="s">
        <v>8713</v>
      </c>
      <c r="AQ429" t="s">
        <v>74</v>
      </c>
      <c r="AR429" t="s">
        <v>8714</v>
      </c>
      <c r="AS429" t="s">
        <v>8715</v>
      </c>
      <c r="AT429" t="s">
        <v>5544</v>
      </c>
      <c r="AU429">
        <v>2017</v>
      </c>
      <c r="AV429">
        <v>60</v>
      </c>
      <c r="AW429">
        <v>4</v>
      </c>
      <c r="AX429" t="s">
        <v>74</v>
      </c>
      <c r="AY429" t="s">
        <v>74</v>
      </c>
      <c r="AZ429" t="s">
        <v>74</v>
      </c>
      <c r="BA429" t="s">
        <v>74</v>
      </c>
      <c r="BB429">
        <v>273</v>
      </c>
      <c r="BC429">
        <v>290</v>
      </c>
      <c r="BD429" t="s">
        <v>74</v>
      </c>
      <c r="BE429" t="s">
        <v>8716</v>
      </c>
      <c r="BF429" t="str">
        <f>HYPERLINK("http://dx.doi.org/10.1007/s11141-017-9798-7","http://dx.doi.org/10.1007/s11141-017-9798-7")</f>
        <v>http://dx.doi.org/10.1007/s11141-017-9798-7</v>
      </c>
      <c r="BG429" t="s">
        <v>74</v>
      </c>
      <c r="BH429" t="s">
        <v>74</v>
      </c>
      <c r="BI429">
        <v>18</v>
      </c>
      <c r="BJ429" t="s">
        <v>8717</v>
      </c>
      <c r="BK429" t="s">
        <v>101</v>
      </c>
      <c r="BL429" t="s">
        <v>8718</v>
      </c>
      <c r="BM429" t="s">
        <v>8719</v>
      </c>
      <c r="BN429" t="s">
        <v>74</v>
      </c>
      <c r="BO429" t="s">
        <v>74</v>
      </c>
      <c r="BP429" t="s">
        <v>74</v>
      </c>
      <c r="BQ429" t="s">
        <v>74</v>
      </c>
      <c r="BR429" t="s">
        <v>105</v>
      </c>
      <c r="BS429" t="s">
        <v>8720</v>
      </c>
      <c r="BT429" t="str">
        <f>HYPERLINK("https%3A%2F%2Fwww.webofscience.com%2Fwos%2Fwoscc%2Ffull-record%2FWOS:000413660000002","View Full Record in Web of Science")</f>
        <v>View Full Record in Web of Science</v>
      </c>
    </row>
    <row r="430" spans="1:72" x14ac:dyDescent="0.15">
      <c r="A430" t="s">
        <v>72</v>
      </c>
      <c r="B430" t="s">
        <v>8721</v>
      </c>
      <c r="C430" t="s">
        <v>74</v>
      </c>
      <c r="D430" t="s">
        <v>74</v>
      </c>
      <c r="E430" t="s">
        <v>74</v>
      </c>
      <c r="F430" t="s">
        <v>8722</v>
      </c>
      <c r="G430" t="s">
        <v>74</v>
      </c>
      <c r="H430" t="s">
        <v>74</v>
      </c>
      <c r="I430" t="s">
        <v>8723</v>
      </c>
      <c r="J430" t="s">
        <v>6466</v>
      </c>
      <c r="K430" t="s">
        <v>74</v>
      </c>
      <c r="L430" t="s">
        <v>74</v>
      </c>
      <c r="M430" t="s">
        <v>78</v>
      </c>
      <c r="N430" t="s">
        <v>2737</v>
      </c>
      <c r="O430" t="s">
        <v>74</v>
      </c>
      <c r="P430" t="s">
        <v>74</v>
      </c>
      <c r="Q430" t="s">
        <v>74</v>
      </c>
      <c r="R430" t="s">
        <v>74</v>
      </c>
      <c r="S430" t="s">
        <v>74</v>
      </c>
      <c r="T430" t="s">
        <v>8724</v>
      </c>
      <c r="U430" t="s">
        <v>8725</v>
      </c>
      <c r="V430" t="s">
        <v>8726</v>
      </c>
      <c r="W430" t="s">
        <v>8727</v>
      </c>
      <c r="X430" t="s">
        <v>8728</v>
      </c>
      <c r="Y430" t="s">
        <v>8729</v>
      </c>
      <c r="Z430" t="s">
        <v>8730</v>
      </c>
      <c r="AA430" t="s">
        <v>8731</v>
      </c>
      <c r="AB430" t="s">
        <v>74</v>
      </c>
      <c r="AC430" t="s">
        <v>74</v>
      </c>
      <c r="AD430" t="s">
        <v>74</v>
      </c>
      <c r="AE430" t="s">
        <v>74</v>
      </c>
      <c r="AF430" t="s">
        <v>74</v>
      </c>
      <c r="AG430">
        <v>14</v>
      </c>
      <c r="AH430">
        <v>6</v>
      </c>
      <c r="AI430">
        <v>8</v>
      </c>
      <c r="AJ430">
        <v>1</v>
      </c>
      <c r="AK430">
        <v>27</v>
      </c>
      <c r="AL430" t="s">
        <v>6437</v>
      </c>
      <c r="AM430" t="s">
        <v>3486</v>
      </c>
      <c r="AN430" t="s">
        <v>3487</v>
      </c>
      <c r="AO430" t="s">
        <v>6476</v>
      </c>
      <c r="AP430" t="s">
        <v>74</v>
      </c>
      <c r="AQ430" t="s">
        <v>74</v>
      </c>
      <c r="AR430" t="s">
        <v>6466</v>
      </c>
      <c r="AS430" t="s">
        <v>6477</v>
      </c>
      <c r="AT430" t="s">
        <v>5544</v>
      </c>
      <c r="AU430">
        <v>2017</v>
      </c>
      <c r="AV430">
        <v>6</v>
      </c>
      <c r="AW430">
        <v>3</v>
      </c>
      <c r="AX430" t="s">
        <v>74</v>
      </c>
      <c r="AY430" t="s">
        <v>74</v>
      </c>
      <c r="AZ430" t="s">
        <v>74</v>
      </c>
      <c r="BA430" t="s">
        <v>74</v>
      </c>
      <c r="BB430" t="s">
        <v>74</v>
      </c>
      <c r="BC430" t="s">
        <v>74</v>
      </c>
      <c r="BD430">
        <v>45</v>
      </c>
      <c r="BE430" t="s">
        <v>8732</v>
      </c>
      <c r="BF430" t="str">
        <f>HYPERLINK("http://dx.doi.org/10.3390/resources6030045","http://dx.doi.org/10.3390/resources6030045")</f>
        <v>http://dx.doi.org/10.3390/resources6030045</v>
      </c>
      <c r="BG430" t="s">
        <v>74</v>
      </c>
      <c r="BH430" t="s">
        <v>74</v>
      </c>
      <c r="BI430">
        <v>7</v>
      </c>
      <c r="BJ430" t="s">
        <v>6479</v>
      </c>
      <c r="BK430" t="s">
        <v>3172</v>
      </c>
      <c r="BL430" t="s">
        <v>6480</v>
      </c>
      <c r="BM430" t="s">
        <v>6481</v>
      </c>
      <c r="BN430" t="s">
        <v>74</v>
      </c>
      <c r="BO430" t="s">
        <v>322</v>
      </c>
      <c r="BP430" t="s">
        <v>74</v>
      </c>
      <c r="BQ430" t="s">
        <v>74</v>
      </c>
      <c r="BR430" t="s">
        <v>105</v>
      </c>
      <c r="BS430" t="s">
        <v>8733</v>
      </c>
      <c r="BT430" t="str">
        <f>HYPERLINK("https%3A%2F%2Fwww.webofscience.com%2Fwos%2Fwoscc%2Ffull-record%2FWOS:000412505500023","View Full Record in Web of Science")</f>
        <v>View Full Record in Web of Science</v>
      </c>
    </row>
    <row r="431" spans="1:72" x14ac:dyDescent="0.15">
      <c r="A431" t="s">
        <v>72</v>
      </c>
      <c r="B431" t="s">
        <v>8734</v>
      </c>
      <c r="C431" t="s">
        <v>74</v>
      </c>
      <c r="D431" t="s">
        <v>74</v>
      </c>
      <c r="E431" t="s">
        <v>74</v>
      </c>
      <c r="F431" t="s">
        <v>8735</v>
      </c>
      <c r="G431" t="s">
        <v>74</v>
      </c>
      <c r="H431" t="s">
        <v>74</v>
      </c>
      <c r="I431" t="s">
        <v>8736</v>
      </c>
      <c r="J431" t="s">
        <v>3751</v>
      </c>
      <c r="K431" t="s">
        <v>74</v>
      </c>
      <c r="L431" t="s">
        <v>74</v>
      </c>
      <c r="M431" t="s">
        <v>78</v>
      </c>
      <c r="N431" t="s">
        <v>79</v>
      </c>
      <c r="O431" t="s">
        <v>74</v>
      </c>
      <c r="P431" t="s">
        <v>74</v>
      </c>
      <c r="Q431" t="s">
        <v>74</v>
      </c>
      <c r="R431" t="s">
        <v>74</v>
      </c>
      <c r="S431" t="s">
        <v>74</v>
      </c>
      <c r="T431" t="s">
        <v>74</v>
      </c>
      <c r="U431" t="s">
        <v>8737</v>
      </c>
      <c r="V431" t="s">
        <v>8738</v>
      </c>
      <c r="W431" t="s">
        <v>8739</v>
      </c>
      <c r="X431" t="s">
        <v>519</v>
      </c>
      <c r="Y431" t="s">
        <v>8740</v>
      </c>
      <c r="Z431" t="s">
        <v>8741</v>
      </c>
      <c r="AA431" t="s">
        <v>74</v>
      </c>
      <c r="AB431" t="s">
        <v>8742</v>
      </c>
      <c r="AC431" t="s">
        <v>74</v>
      </c>
      <c r="AD431" t="s">
        <v>74</v>
      </c>
      <c r="AE431" t="s">
        <v>74</v>
      </c>
      <c r="AF431" t="s">
        <v>74</v>
      </c>
      <c r="AG431">
        <v>135</v>
      </c>
      <c r="AH431">
        <v>59</v>
      </c>
      <c r="AI431">
        <v>64</v>
      </c>
      <c r="AJ431">
        <v>1</v>
      </c>
      <c r="AK431">
        <v>38</v>
      </c>
      <c r="AL431" t="s">
        <v>3763</v>
      </c>
      <c r="AM431" t="s">
        <v>92</v>
      </c>
      <c r="AN431" t="s">
        <v>3764</v>
      </c>
      <c r="AO431" t="s">
        <v>3765</v>
      </c>
      <c r="AP431" t="s">
        <v>74</v>
      </c>
      <c r="AQ431" t="s">
        <v>74</v>
      </c>
      <c r="AR431" t="s">
        <v>3766</v>
      </c>
      <c r="AS431" t="s">
        <v>3767</v>
      </c>
      <c r="AT431" t="s">
        <v>5544</v>
      </c>
      <c r="AU431">
        <v>2017</v>
      </c>
      <c r="AV431">
        <v>3</v>
      </c>
      <c r="AW431">
        <v>9</v>
      </c>
      <c r="AX431" t="s">
        <v>74</v>
      </c>
      <c r="AY431" t="s">
        <v>74</v>
      </c>
      <c r="AZ431" t="s">
        <v>74</v>
      </c>
      <c r="BA431" t="s">
        <v>74</v>
      </c>
      <c r="BB431" t="s">
        <v>74</v>
      </c>
      <c r="BC431" t="s">
        <v>74</v>
      </c>
      <c r="BD431" t="s">
        <v>8743</v>
      </c>
      <c r="BE431" t="s">
        <v>8744</v>
      </c>
      <c r="BF431" t="str">
        <f>HYPERLINK("http://dx.doi.org/10.1126/sciadv.1700906","http://dx.doi.org/10.1126/sciadv.1700906")</f>
        <v>http://dx.doi.org/10.1126/sciadv.1700906</v>
      </c>
      <c r="BG431" t="s">
        <v>74</v>
      </c>
      <c r="BH431" t="s">
        <v>74</v>
      </c>
      <c r="BI431">
        <v>12</v>
      </c>
      <c r="BJ431" t="s">
        <v>190</v>
      </c>
      <c r="BK431" t="s">
        <v>101</v>
      </c>
      <c r="BL431" t="s">
        <v>191</v>
      </c>
      <c r="BM431" t="s">
        <v>6499</v>
      </c>
      <c r="BN431">
        <v>28948221</v>
      </c>
      <c r="BO431" t="s">
        <v>658</v>
      </c>
      <c r="BP431" t="s">
        <v>74</v>
      </c>
      <c r="BQ431" t="s">
        <v>74</v>
      </c>
      <c r="BR431" t="s">
        <v>105</v>
      </c>
      <c r="BS431" t="s">
        <v>8745</v>
      </c>
      <c r="BT431" t="str">
        <f>HYPERLINK("https%3A%2F%2Fwww.webofscience.com%2Fwos%2Fwoscc%2Ffull-record%2FWOS:000411592600062","View Full Record in Web of Science")</f>
        <v>View Full Record in Web of Science</v>
      </c>
    </row>
    <row r="432" spans="1:72" x14ac:dyDescent="0.15">
      <c r="A432" t="s">
        <v>72</v>
      </c>
      <c r="B432" t="s">
        <v>8746</v>
      </c>
      <c r="C432" t="s">
        <v>74</v>
      </c>
      <c r="D432" t="s">
        <v>74</v>
      </c>
      <c r="E432" t="s">
        <v>74</v>
      </c>
      <c r="F432" t="s">
        <v>8747</v>
      </c>
      <c r="G432" t="s">
        <v>74</v>
      </c>
      <c r="H432" t="s">
        <v>74</v>
      </c>
      <c r="I432" t="s">
        <v>8748</v>
      </c>
      <c r="J432" t="s">
        <v>8749</v>
      </c>
      <c r="K432" t="s">
        <v>74</v>
      </c>
      <c r="L432" t="s">
        <v>74</v>
      </c>
      <c r="M432" t="s">
        <v>78</v>
      </c>
      <c r="N432" t="s">
        <v>79</v>
      </c>
      <c r="O432" t="s">
        <v>74</v>
      </c>
      <c r="P432" t="s">
        <v>74</v>
      </c>
      <c r="Q432" t="s">
        <v>74</v>
      </c>
      <c r="R432" t="s">
        <v>74</v>
      </c>
      <c r="S432" t="s">
        <v>74</v>
      </c>
      <c r="T432" t="s">
        <v>8750</v>
      </c>
      <c r="U432" t="s">
        <v>8751</v>
      </c>
      <c r="V432" t="s">
        <v>8752</v>
      </c>
      <c r="W432" t="s">
        <v>8753</v>
      </c>
      <c r="X432" t="s">
        <v>7604</v>
      </c>
      <c r="Y432" t="s">
        <v>8754</v>
      </c>
      <c r="Z432" t="s">
        <v>8755</v>
      </c>
      <c r="AA432" t="s">
        <v>8756</v>
      </c>
      <c r="AB432" t="s">
        <v>8757</v>
      </c>
      <c r="AC432" t="s">
        <v>8758</v>
      </c>
      <c r="AD432" t="s">
        <v>8759</v>
      </c>
      <c r="AE432" t="s">
        <v>8760</v>
      </c>
      <c r="AF432" t="s">
        <v>74</v>
      </c>
      <c r="AG432">
        <v>34</v>
      </c>
      <c r="AH432">
        <v>24</v>
      </c>
      <c r="AI432">
        <v>24</v>
      </c>
      <c r="AJ432">
        <v>1</v>
      </c>
      <c r="AK432">
        <v>47</v>
      </c>
      <c r="AL432" t="s">
        <v>502</v>
      </c>
      <c r="AM432" t="s">
        <v>372</v>
      </c>
      <c r="AN432" t="s">
        <v>503</v>
      </c>
      <c r="AO432" t="s">
        <v>8761</v>
      </c>
      <c r="AP432" t="s">
        <v>8762</v>
      </c>
      <c r="AQ432" t="s">
        <v>74</v>
      </c>
      <c r="AR432" t="s">
        <v>8763</v>
      </c>
      <c r="AS432" t="s">
        <v>8764</v>
      </c>
      <c r="AT432" t="s">
        <v>5838</v>
      </c>
      <c r="AU432">
        <v>2017</v>
      </c>
      <c r="AV432">
        <v>593</v>
      </c>
      <c r="AW432" t="s">
        <v>74</v>
      </c>
      <c r="AX432" t="s">
        <v>74</v>
      </c>
      <c r="AY432" t="s">
        <v>74</v>
      </c>
      <c r="AZ432" t="s">
        <v>74</v>
      </c>
      <c r="BA432" t="s">
        <v>74</v>
      </c>
      <c r="BB432">
        <v>375</v>
      </c>
      <c r="BC432">
        <v>379</v>
      </c>
      <c r="BD432" t="s">
        <v>74</v>
      </c>
      <c r="BE432" t="s">
        <v>8765</v>
      </c>
      <c r="BF432" t="str">
        <f>HYPERLINK("http://dx.doi.org/10.1016/j.scitotenv.2017.03.197","http://dx.doi.org/10.1016/j.scitotenv.2017.03.197")</f>
        <v>http://dx.doi.org/10.1016/j.scitotenv.2017.03.197</v>
      </c>
      <c r="BG432" t="s">
        <v>74</v>
      </c>
      <c r="BH432" t="s">
        <v>74</v>
      </c>
      <c r="BI432">
        <v>5</v>
      </c>
      <c r="BJ432" t="s">
        <v>2867</v>
      </c>
      <c r="BK432" t="s">
        <v>101</v>
      </c>
      <c r="BL432" t="s">
        <v>1048</v>
      </c>
      <c r="BM432" t="s">
        <v>8766</v>
      </c>
      <c r="BN432">
        <v>28351805</v>
      </c>
      <c r="BO432" t="s">
        <v>164</v>
      </c>
      <c r="BP432" t="s">
        <v>74</v>
      </c>
      <c r="BQ432" t="s">
        <v>74</v>
      </c>
      <c r="BR432" t="s">
        <v>105</v>
      </c>
      <c r="BS432" t="s">
        <v>8767</v>
      </c>
      <c r="BT432" t="str">
        <f>HYPERLINK("https%3A%2F%2Fwww.webofscience.com%2Fwos%2Fwoscc%2Ffull-record%2FWOS:000401201800039","View Full Record in Web of Science")</f>
        <v>View Full Record in Web of Science</v>
      </c>
    </row>
    <row r="433" spans="1:72" x14ac:dyDescent="0.15">
      <c r="A433" t="s">
        <v>72</v>
      </c>
      <c r="B433" t="s">
        <v>8768</v>
      </c>
      <c r="C433" t="s">
        <v>74</v>
      </c>
      <c r="D433" t="s">
        <v>74</v>
      </c>
      <c r="E433" t="s">
        <v>74</v>
      </c>
      <c r="F433" t="s">
        <v>8769</v>
      </c>
      <c r="G433" t="s">
        <v>74</v>
      </c>
      <c r="H433" t="s">
        <v>74</v>
      </c>
      <c r="I433" t="s">
        <v>8770</v>
      </c>
      <c r="J433" t="s">
        <v>8771</v>
      </c>
      <c r="K433" t="s">
        <v>74</v>
      </c>
      <c r="L433" t="s">
        <v>74</v>
      </c>
      <c r="M433" t="s">
        <v>78</v>
      </c>
      <c r="N433" t="s">
        <v>79</v>
      </c>
      <c r="O433" t="s">
        <v>74</v>
      </c>
      <c r="P433" t="s">
        <v>74</v>
      </c>
      <c r="Q433" t="s">
        <v>74</v>
      </c>
      <c r="R433" t="s">
        <v>74</v>
      </c>
      <c r="S433" t="s">
        <v>74</v>
      </c>
      <c r="T433" t="s">
        <v>8772</v>
      </c>
      <c r="U433" t="s">
        <v>8773</v>
      </c>
      <c r="V433" t="s">
        <v>8774</v>
      </c>
      <c r="W433" t="s">
        <v>8775</v>
      </c>
      <c r="X433" t="s">
        <v>8776</v>
      </c>
      <c r="Y433" t="s">
        <v>8777</v>
      </c>
      <c r="Z433" t="s">
        <v>8778</v>
      </c>
      <c r="AA433" t="s">
        <v>8779</v>
      </c>
      <c r="AB433" t="s">
        <v>8780</v>
      </c>
      <c r="AC433" t="s">
        <v>8781</v>
      </c>
      <c r="AD433" t="s">
        <v>8781</v>
      </c>
      <c r="AE433" t="s">
        <v>8782</v>
      </c>
      <c r="AF433" t="s">
        <v>74</v>
      </c>
      <c r="AG433">
        <v>47</v>
      </c>
      <c r="AH433">
        <v>16</v>
      </c>
      <c r="AI433">
        <v>17</v>
      </c>
      <c r="AJ433">
        <v>1</v>
      </c>
      <c r="AK433">
        <v>16</v>
      </c>
      <c r="AL433" t="s">
        <v>208</v>
      </c>
      <c r="AM433" t="s">
        <v>3872</v>
      </c>
      <c r="AN433" t="s">
        <v>3873</v>
      </c>
      <c r="AO433" t="s">
        <v>8783</v>
      </c>
      <c r="AP433" t="s">
        <v>8784</v>
      </c>
      <c r="AQ433" t="s">
        <v>74</v>
      </c>
      <c r="AR433" t="s">
        <v>8771</v>
      </c>
      <c r="AS433" t="s">
        <v>8785</v>
      </c>
      <c r="AT433" t="s">
        <v>5544</v>
      </c>
      <c r="AU433">
        <v>2017</v>
      </c>
      <c r="AV433">
        <v>73</v>
      </c>
      <c r="AW433">
        <v>1</v>
      </c>
      <c r="AX433" t="s">
        <v>74</v>
      </c>
      <c r="AY433" t="s">
        <v>74</v>
      </c>
      <c r="AZ433" t="s">
        <v>74</v>
      </c>
      <c r="BA433" t="s">
        <v>74</v>
      </c>
      <c r="BB433">
        <v>35</v>
      </c>
      <c r="BC433">
        <v>44</v>
      </c>
      <c r="BD433" t="s">
        <v>74</v>
      </c>
      <c r="BE433" t="s">
        <v>8786</v>
      </c>
      <c r="BF433" t="str">
        <f>HYPERLINK("http://dx.doi.org/10.1007/s13199-017-0479-2","http://dx.doi.org/10.1007/s13199-017-0479-2")</f>
        <v>http://dx.doi.org/10.1007/s13199-017-0479-2</v>
      </c>
      <c r="BG433" t="s">
        <v>74</v>
      </c>
      <c r="BH433" t="s">
        <v>74</v>
      </c>
      <c r="BI433">
        <v>10</v>
      </c>
      <c r="BJ433" t="s">
        <v>457</v>
      </c>
      <c r="BK433" t="s">
        <v>101</v>
      </c>
      <c r="BL433" t="s">
        <v>457</v>
      </c>
      <c r="BM433" t="s">
        <v>8787</v>
      </c>
      <c r="BN433" t="s">
        <v>74</v>
      </c>
      <c r="BO433" t="s">
        <v>74</v>
      </c>
      <c r="BP433" t="s">
        <v>74</v>
      </c>
      <c r="BQ433" t="s">
        <v>74</v>
      </c>
      <c r="BR433" t="s">
        <v>105</v>
      </c>
      <c r="BS433" t="s">
        <v>8788</v>
      </c>
      <c r="BT433" t="str">
        <f>HYPERLINK("https%3A%2F%2Fwww.webofscience.com%2Fwos%2Fwoscc%2Ffull-record%2FWOS:000410224900005","View Full Record in Web of Science")</f>
        <v>View Full Record in Web of Science</v>
      </c>
    </row>
    <row r="434" spans="1:72" x14ac:dyDescent="0.15">
      <c r="A434" t="s">
        <v>72</v>
      </c>
      <c r="B434" t="s">
        <v>8789</v>
      </c>
      <c r="C434" t="s">
        <v>74</v>
      </c>
      <c r="D434" t="s">
        <v>74</v>
      </c>
      <c r="E434" t="s">
        <v>74</v>
      </c>
      <c r="F434" t="s">
        <v>8790</v>
      </c>
      <c r="G434" t="s">
        <v>74</v>
      </c>
      <c r="H434" t="s">
        <v>74</v>
      </c>
      <c r="I434" t="s">
        <v>8791</v>
      </c>
      <c r="J434" t="s">
        <v>6637</v>
      </c>
      <c r="K434" t="s">
        <v>74</v>
      </c>
      <c r="L434" t="s">
        <v>74</v>
      </c>
      <c r="M434" t="s">
        <v>78</v>
      </c>
      <c r="N434" t="s">
        <v>79</v>
      </c>
      <c r="O434" t="s">
        <v>74</v>
      </c>
      <c r="P434" t="s">
        <v>74</v>
      </c>
      <c r="Q434" t="s">
        <v>74</v>
      </c>
      <c r="R434" t="s">
        <v>74</v>
      </c>
      <c r="S434" t="s">
        <v>74</v>
      </c>
      <c r="T434" t="s">
        <v>8792</v>
      </c>
      <c r="U434" t="s">
        <v>8793</v>
      </c>
      <c r="V434" t="s">
        <v>8794</v>
      </c>
      <c r="W434" t="s">
        <v>8795</v>
      </c>
      <c r="X434" t="s">
        <v>8796</v>
      </c>
      <c r="Y434" t="s">
        <v>8797</v>
      </c>
      <c r="Z434" t="s">
        <v>8798</v>
      </c>
      <c r="AA434" t="s">
        <v>8799</v>
      </c>
      <c r="AB434" t="s">
        <v>8800</v>
      </c>
      <c r="AC434" t="s">
        <v>8801</v>
      </c>
      <c r="AD434" t="s">
        <v>3249</v>
      </c>
      <c r="AE434" t="s">
        <v>8802</v>
      </c>
      <c r="AF434" t="s">
        <v>74</v>
      </c>
      <c r="AG434">
        <v>31</v>
      </c>
      <c r="AH434">
        <v>36</v>
      </c>
      <c r="AI434">
        <v>42</v>
      </c>
      <c r="AJ434">
        <v>3</v>
      </c>
      <c r="AK434">
        <v>36</v>
      </c>
      <c r="AL434" t="s">
        <v>6650</v>
      </c>
      <c r="AM434" t="s">
        <v>6651</v>
      </c>
      <c r="AN434" t="s">
        <v>6652</v>
      </c>
      <c r="AO434" t="s">
        <v>6653</v>
      </c>
      <c r="AP434" t="s">
        <v>74</v>
      </c>
      <c r="AQ434" t="s">
        <v>74</v>
      </c>
      <c r="AR434" t="s">
        <v>6654</v>
      </c>
      <c r="AS434" t="s">
        <v>6655</v>
      </c>
      <c r="AT434" t="s">
        <v>5544</v>
      </c>
      <c r="AU434">
        <v>2017</v>
      </c>
      <c r="AV434">
        <v>40</v>
      </c>
      <c r="AW434">
        <v>6</v>
      </c>
      <c r="AX434" t="s">
        <v>74</v>
      </c>
      <c r="AY434" t="s">
        <v>74</v>
      </c>
      <c r="AZ434" t="s">
        <v>74</v>
      </c>
      <c r="BA434" t="s">
        <v>74</v>
      </c>
      <c r="BB434">
        <v>329</v>
      </c>
      <c r="BC434">
        <v>333</v>
      </c>
      <c r="BD434" t="s">
        <v>74</v>
      </c>
      <c r="BE434" t="s">
        <v>8803</v>
      </c>
      <c r="BF434" t="str">
        <f>HYPERLINK("http://dx.doi.org/10.1016/j.syapm.2017.06.001","http://dx.doi.org/10.1016/j.syapm.2017.06.001")</f>
        <v>http://dx.doi.org/10.1016/j.syapm.2017.06.001</v>
      </c>
      <c r="BG434" t="s">
        <v>74</v>
      </c>
      <c r="BH434" t="s">
        <v>74</v>
      </c>
      <c r="BI434">
        <v>5</v>
      </c>
      <c r="BJ434" t="s">
        <v>6657</v>
      </c>
      <c r="BK434" t="s">
        <v>101</v>
      </c>
      <c r="BL434" t="s">
        <v>6657</v>
      </c>
      <c r="BM434" t="s">
        <v>6658</v>
      </c>
      <c r="BN434">
        <v>28711161</v>
      </c>
      <c r="BO434" t="s">
        <v>74</v>
      </c>
      <c r="BP434" t="s">
        <v>74</v>
      </c>
      <c r="BQ434" t="s">
        <v>74</v>
      </c>
      <c r="BR434" t="s">
        <v>105</v>
      </c>
      <c r="BS434" t="s">
        <v>8804</v>
      </c>
      <c r="BT434" t="str">
        <f>HYPERLINK("https%3A%2F%2Fwww.webofscience.com%2Fwos%2Fwoscc%2Ffull-record%2FWOS:000411539100002","View Full Record in Web of Science")</f>
        <v>View Full Record in Web of Science</v>
      </c>
    </row>
    <row r="435" spans="1:72" x14ac:dyDescent="0.15">
      <c r="A435" t="s">
        <v>72</v>
      </c>
      <c r="B435" t="s">
        <v>8805</v>
      </c>
      <c r="C435" t="s">
        <v>74</v>
      </c>
      <c r="D435" t="s">
        <v>74</v>
      </c>
      <c r="E435" t="s">
        <v>74</v>
      </c>
      <c r="F435" t="s">
        <v>8806</v>
      </c>
      <c r="G435" t="s">
        <v>74</v>
      </c>
      <c r="H435" t="s">
        <v>74</v>
      </c>
      <c r="I435" t="s">
        <v>8807</v>
      </c>
      <c r="J435" t="s">
        <v>7258</v>
      </c>
      <c r="K435" t="s">
        <v>74</v>
      </c>
      <c r="L435" t="s">
        <v>74</v>
      </c>
      <c r="M435" t="s">
        <v>78</v>
      </c>
      <c r="N435" t="s">
        <v>79</v>
      </c>
      <c r="O435" t="s">
        <v>74</v>
      </c>
      <c r="P435" t="s">
        <v>74</v>
      </c>
      <c r="Q435" t="s">
        <v>74</v>
      </c>
      <c r="R435" t="s">
        <v>74</v>
      </c>
      <c r="S435" t="s">
        <v>74</v>
      </c>
      <c r="T435" t="s">
        <v>8808</v>
      </c>
      <c r="U435" t="s">
        <v>8809</v>
      </c>
      <c r="V435" t="s">
        <v>8810</v>
      </c>
      <c r="W435" t="s">
        <v>8811</v>
      </c>
      <c r="X435" t="s">
        <v>8812</v>
      </c>
      <c r="Y435" t="s">
        <v>8813</v>
      </c>
      <c r="Z435" t="s">
        <v>8814</v>
      </c>
      <c r="AA435" t="s">
        <v>8815</v>
      </c>
      <c r="AB435" t="s">
        <v>8816</v>
      </c>
      <c r="AC435" t="s">
        <v>8817</v>
      </c>
      <c r="AD435" t="s">
        <v>8818</v>
      </c>
      <c r="AE435" t="s">
        <v>8819</v>
      </c>
      <c r="AF435" t="s">
        <v>74</v>
      </c>
      <c r="AG435">
        <v>58</v>
      </c>
      <c r="AH435">
        <v>11</v>
      </c>
      <c r="AI435">
        <v>11</v>
      </c>
      <c r="AJ435">
        <v>1</v>
      </c>
      <c r="AK435">
        <v>13</v>
      </c>
      <c r="AL435" t="s">
        <v>5918</v>
      </c>
      <c r="AM435" t="s">
        <v>729</v>
      </c>
      <c r="AN435" t="s">
        <v>5919</v>
      </c>
      <c r="AO435" t="s">
        <v>7268</v>
      </c>
      <c r="AP435" t="s">
        <v>7269</v>
      </c>
      <c r="AQ435" t="s">
        <v>74</v>
      </c>
      <c r="AR435" t="s">
        <v>7270</v>
      </c>
      <c r="AS435" t="s">
        <v>7271</v>
      </c>
      <c r="AT435" t="s">
        <v>5544</v>
      </c>
      <c r="AU435">
        <v>2017</v>
      </c>
      <c r="AV435">
        <v>181</v>
      </c>
      <c r="AW435">
        <v>1</v>
      </c>
      <c r="AX435" t="s">
        <v>74</v>
      </c>
      <c r="AY435" t="s">
        <v>74</v>
      </c>
      <c r="AZ435" t="s">
        <v>74</v>
      </c>
      <c r="BA435" t="s">
        <v>74</v>
      </c>
      <c r="BB435">
        <v>70</v>
      </c>
      <c r="BC435">
        <v>97</v>
      </c>
      <c r="BD435" t="s">
        <v>74</v>
      </c>
      <c r="BE435" t="s">
        <v>8820</v>
      </c>
      <c r="BF435" t="str">
        <f>HYPERLINK("http://dx.doi.org/10.1093/zoolinnean/zlx003","http://dx.doi.org/10.1093/zoolinnean/zlx003")</f>
        <v>http://dx.doi.org/10.1093/zoolinnean/zlx003</v>
      </c>
      <c r="BG435" t="s">
        <v>74</v>
      </c>
      <c r="BH435" t="s">
        <v>74</v>
      </c>
      <c r="BI435">
        <v>28</v>
      </c>
      <c r="BJ435" t="s">
        <v>2802</v>
      </c>
      <c r="BK435" t="s">
        <v>101</v>
      </c>
      <c r="BL435" t="s">
        <v>2802</v>
      </c>
      <c r="BM435" t="s">
        <v>7273</v>
      </c>
      <c r="BN435" t="s">
        <v>74</v>
      </c>
      <c r="BO435" t="s">
        <v>8821</v>
      </c>
      <c r="BP435" t="s">
        <v>74</v>
      </c>
      <c r="BQ435" t="s">
        <v>74</v>
      </c>
      <c r="BR435" t="s">
        <v>105</v>
      </c>
      <c r="BS435" t="s">
        <v>8822</v>
      </c>
      <c r="BT435" t="str">
        <f>HYPERLINK("https%3A%2F%2Fwww.webofscience.com%2Fwos%2Fwoscc%2Ffull-record%2FWOS:000409237300002","View Full Record in Web of Science")</f>
        <v>View Full Record in Web of Science</v>
      </c>
    </row>
    <row r="436" spans="1:72" x14ac:dyDescent="0.15">
      <c r="A436" t="s">
        <v>72</v>
      </c>
      <c r="B436" t="s">
        <v>8823</v>
      </c>
      <c r="C436" t="s">
        <v>74</v>
      </c>
      <c r="D436" t="s">
        <v>74</v>
      </c>
      <c r="E436" t="s">
        <v>74</v>
      </c>
      <c r="F436" t="s">
        <v>8824</v>
      </c>
      <c r="G436" t="s">
        <v>74</v>
      </c>
      <c r="H436" t="s">
        <v>74</v>
      </c>
      <c r="I436" t="s">
        <v>8825</v>
      </c>
      <c r="J436" t="s">
        <v>3812</v>
      </c>
      <c r="K436" t="s">
        <v>74</v>
      </c>
      <c r="L436" t="s">
        <v>74</v>
      </c>
      <c r="M436" t="s">
        <v>78</v>
      </c>
      <c r="N436" t="s">
        <v>79</v>
      </c>
      <c r="O436" t="s">
        <v>74</v>
      </c>
      <c r="P436" t="s">
        <v>74</v>
      </c>
      <c r="Q436" t="s">
        <v>74</v>
      </c>
      <c r="R436" t="s">
        <v>74</v>
      </c>
      <c r="S436" t="s">
        <v>74</v>
      </c>
      <c r="T436" t="s">
        <v>74</v>
      </c>
      <c r="U436" t="s">
        <v>8826</v>
      </c>
      <c r="V436" t="s">
        <v>8827</v>
      </c>
      <c r="W436" t="s">
        <v>8828</v>
      </c>
      <c r="X436" t="s">
        <v>8829</v>
      </c>
      <c r="Y436" t="s">
        <v>8830</v>
      </c>
      <c r="Z436" t="s">
        <v>8831</v>
      </c>
      <c r="AA436" t="s">
        <v>74</v>
      </c>
      <c r="AB436" t="s">
        <v>8832</v>
      </c>
      <c r="AC436" t="s">
        <v>8833</v>
      </c>
      <c r="AD436" t="s">
        <v>8834</v>
      </c>
      <c r="AE436" t="s">
        <v>8835</v>
      </c>
      <c r="AF436" t="s">
        <v>74</v>
      </c>
      <c r="AG436">
        <v>22</v>
      </c>
      <c r="AH436">
        <v>2</v>
      </c>
      <c r="AI436">
        <v>2</v>
      </c>
      <c r="AJ436">
        <v>1</v>
      </c>
      <c r="AK436">
        <v>16</v>
      </c>
      <c r="AL436" t="s">
        <v>181</v>
      </c>
      <c r="AM436" t="s">
        <v>182</v>
      </c>
      <c r="AN436" t="s">
        <v>183</v>
      </c>
      <c r="AO436" t="s">
        <v>3826</v>
      </c>
      <c r="AP436" t="s">
        <v>3827</v>
      </c>
      <c r="AQ436" t="s">
        <v>74</v>
      </c>
      <c r="AR436" t="s">
        <v>3828</v>
      </c>
      <c r="AS436" t="s">
        <v>3829</v>
      </c>
      <c r="AT436" t="s">
        <v>5544</v>
      </c>
      <c r="AU436">
        <v>2017</v>
      </c>
      <c r="AV436">
        <v>11</v>
      </c>
      <c r="AW436">
        <v>9</v>
      </c>
      <c r="AX436" t="s">
        <v>74</v>
      </c>
      <c r="AY436" t="s">
        <v>74</v>
      </c>
      <c r="AZ436" t="s">
        <v>74</v>
      </c>
      <c r="BA436" t="s">
        <v>74</v>
      </c>
      <c r="BB436">
        <v>2155</v>
      </c>
      <c r="BC436">
        <v>2158</v>
      </c>
      <c r="BD436" t="s">
        <v>74</v>
      </c>
      <c r="BE436" t="s">
        <v>8836</v>
      </c>
      <c r="BF436" t="str">
        <f>HYPERLINK("http://dx.doi.org/10.1038/ismej.2017.65","http://dx.doi.org/10.1038/ismej.2017.65")</f>
        <v>http://dx.doi.org/10.1038/ismej.2017.65</v>
      </c>
      <c r="BG436" t="s">
        <v>74</v>
      </c>
      <c r="BH436" t="s">
        <v>74</v>
      </c>
      <c r="BI436">
        <v>4</v>
      </c>
      <c r="BJ436" t="s">
        <v>3831</v>
      </c>
      <c r="BK436" t="s">
        <v>101</v>
      </c>
      <c r="BL436" t="s">
        <v>3832</v>
      </c>
      <c r="BM436" t="s">
        <v>8837</v>
      </c>
      <c r="BN436">
        <v>28524871</v>
      </c>
      <c r="BO436" t="s">
        <v>122</v>
      </c>
      <c r="BP436" t="s">
        <v>74</v>
      </c>
      <c r="BQ436" t="s">
        <v>74</v>
      </c>
      <c r="BR436" t="s">
        <v>105</v>
      </c>
      <c r="BS436" t="s">
        <v>8838</v>
      </c>
      <c r="BT436" t="str">
        <f>HYPERLINK("https%3A%2F%2Fwww.webofscience.com%2Fwos%2Fwoscc%2Ffull-record%2FWOS:000407804100018","View Full Record in Web of Science")</f>
        <v>View Full Record in Web of Science</v>
      </c>
    </row>
    <row r="437" spans="1:72" x14ac:dyDescent="0.15">
      <c r="A437" t="s">
        <v>72</v>
      </c>
      <c r="B437" t="s">
        <v>8839</v>
      </c>
      <c r="C437" t="s">
        <v>74</v>
      </c>
      <c r="D437" t="s">
        <v>74</v>
      </c>
      <c r="E437" t="s">
        <v>74</v>
      </c>
      <c r="F437" t="s">
        <v>8840</v>
      </c>
      <c r="G437" t="s">
        <v>74</v>
      </c>
      <c r="H437" t="s">
        <v>74</v>
      </c>
      <c r="I437" t="s">
        <v>8841</v>
      </c>
      <c r="J437" t="s">
        <v>8659</v>
      </c>
      <c r="K437" t="s">
        <v>74</v>
      </c>
      <c r="L437" t="s">
        <v>74</v>
      </c>
      <c r="M437" t="s">
        <v>78</v>
      </c>
      <c r="N437" t="s">
        <v>79</v>
      </c>
      <c r="O437" t="s">
        <v>74</v>
      </c>
      <c r="P437" t="s">
        <v>74</v>
      </c>
      <c r="Q437" t="s">
        <v>74</v>
      </c>
      <c r="R437" t="s">
        <v>74</v>
      </c>
      <c r="S437" t="s">
        <v>74</v>
      </c>
      <c r="T437" t="s">
        <v>8842</v>
      </c>
      <c r="U437" t="s">
        <v>8843</v>
      </c>
      <c r="V437" t="s">
        <v>8844</v>
      </c>
      <c r="W437" t="s">
        <v>8845</v>
      </c>
      <c r="X437" t="s">
        <v>8846</v>
      </c>
      <c r="Y437" t="s">
        <v>8847</v>
      </c>
      <c r="Z437" t="s">
        <v>8848</v>
      </c>
      <c r="AA437" t="s">
        <v>8849</v>
      </c>
      <c r="AB437" t="s">
        <v>8850</v>
      </c>
      <c r="AC437" t="s">
        <v>8851</v>
      </c>
      <c r="AD437" t="s">
        <v>8852</v>
      </c>
      <c r="AE437" t="s">
        <v>8853</v>
      </c>
      <c r="AF437" t="s">
        <v>74</v>
      </c>
      <c r="AG437">
        <v>98</v>
      </c>
      <c r="AH437">
        <v>28</v>
      </c>
      <c r="AI437">
        <v>31</v>
      </c>
      <c r="AJ437">
        <v>0</v>
      </c>
      <c r="AK437">
        <v>5</v>
      </c>
      <c r="AL437" t="s">
        <v>502</v>
      </c>
      <c r="AM437" t="s">
        <v>372</v>
      </c>
      <c r="AN437" t="s">
        <v>503</v>
      </c>
      <c r="AO437" t="s">
        <v>8670</v>
      </c>
      <c r="AP437" t="s">
        <v>8671</v>
      </c>
      <c r="AQ437" t="s">
        <v>74</v>
      </c>
      <c r="AR437" t="s">
        <v>8672</v>
      </c>
      <c r="AS437" t="s">
        <v>8673</v>
      </c>
      <c r="AT437" t="s">
        <v>5544</v>
      </c>
      <c r="AU437">
        <v>2017</v>
      </c>
      <c r="AV437">
        <v>298</v>
      </c>
      <c r="AW437" t="s">
        <v>74</v>
      </c>
      <c r="AX437" t="s">
        <v>74</v>
      </c>
      <c r="AY437" t="s">
        <v>74</v>
      </c>
      <c r="AZ437" t="s">
        <v>74</v>
      </c>
      <c r="BA437" t="s">
        <v>74</v>
      </c>
      <c r="BB437">
        <v>16</v>
      </c>
      <c r="BC437">
        <v>38</v>
      </c>
      <c r="BD437" t="s">
        <v>74</v>
      </c>
      <c r="BE437" t="s">
        <v>8854</v>
      </c>
      <c r="BF437" t="str">
        <f>HYPERLINK("http://dx.doi.org/10.1016/j.precamres.2017.05.013","http://dx.doi.org/10.1016/j.precamres.2017.05.013")</f>
        <v>http://dx.doi.org/10.1016/j.precamres.2017.05.013</v>
      </c>
      <c r="BG437" t="s">
        <v>74</v>
      </c>
      <c r="BH437" t="s">
        <v>74</v>
      </c>
      <c r="BI437">
        <v>23</v>
      </c>
      <c r="BJ437" t="s">
        <v>100</v>
      </c>
      <c r="BK437" t="s">
        <v>101</v>
      </c>
      <c r="BL437" t="s">
        <v>102</v>
      </c>
      <c r="BM437" t="s">
        <v>8855</v>
      </c>
      <c r="BN437" t="s">
        <v>74</v>
      </c>
      <c r="BO437" t="s">
        <v>74</v>
      </c>
      <c r="BP437" t="s">
        <v>74</v>
      </c>
      <c r="BQ437" t="s">
        <v>74</v>
      </c>
      <c r="BR437" t="s">
        <v>105</v>
      </c>
      <c r="BS437" t="s">
        <v>8856</v>
      </c>
      <c r="BT437" t="str">
        <f>HYPERLINK("https%3A%2F%2Fwww.webofscience.com%2Fwos%2Fwoscc%2Ffull-record%2FWOS:000407654800002","View Full Record in Web of Science")</f>
        <v>View Full Record in Web of Science</v>
      </c>
    </row>
    <row r="438" spans="1:72" x14ac:dyDescent="0.15">
      <c r="A438" t="s">
        <v>72</v>
      </c>
      <c r="B438" t="s">
        <v>8857</v>
      </c>
      <c r="C438" t="s">
        <v>74</v>
      </c>
      <c r="D438" t="s">
        <v>74</v>
      </c>
      <c r="E438" t="s">
        <v>74</v>
      </c>
      <c r="F438" t="s">
        <v>8858</v>
      </c>
      <c r="G438" t="s">
        <v>74</v>
      </c>
      <c r="H438" t="s">
        <v>74</v>
      </c>
      <c r="I438" t="s">
        <v>8859</v>
      </c>
      <c r="J438" t="s">
        <v>8860</v>
      </c>
      <c r="K438" t="s">
        <v>74</v>
      </c>
      <c r="L438" t="s">
        <v>74</v>
      </c>
      <c r="M438" t="s">
        <v>78</v>
      </c>
      <c r="N438" t="s">
        <v>79</v>
      </c>
      <c r="O438" t="s">
        <v>74</v>
      </c>
      <c r="P438" t="s">
        <v>74</v>
      </c>
      <c r="Q438" t="s">
        <v>74</v>
      </c>
      <c r="R438" t="s">
        <v>74</v>
      </c>
      <c r="S438" t="s">
        <v>74</v>
      </c>
      <c r="T438" t="s">
        <v>8861</v>
      </c>
      <c r="U438" t="s">
        <v>8862</v>
      </c>
      <c r="V438" t="s">
        <v>8863</v>
      </c>
      <c r="W438" t="s">
        <v>8864</v>
      </c>
      <c r="X438" t="s">
        <v>8865</v>
      </c>
      <c r="Y438" t="s">
        <v>8866</v>
      </c>
      <c r="Z438" t="s">
        <v>8867</v>
      </c>
      <c r="AA438" t="s">
        <v>8868</v>
      </c>
      <c r="AB438" t="s">
        <v>8869</v>
      </c>
      <c r="AC438" t="s">
        <v>8870</v>
      </c>
      <c r="AD438" t="s">
        <v>8871</v>
      </c>
      <c r="AE438" t="s">
        <v>8872</v>
      </c>
      <c r="AF438" t="s">
        <v>74</v>
      </c>
      <c r="AG438">
        <v>68</v>
      </c>
      <c r="AH438">
        <v>22</v>
      </c>
      <c r="AI438">
        <v>24</v>
      </c>
      <c r="AJ438">
        <v>0</v>
      </c>
      <c r="AK438">
        <v>29</v>
      </c>
      <c r="AL438" t="s">
        <v>1338</v>
      </c>
      <c r="AM438" t="s">
        <v>1339</v>
      </c>
      <c r="AN438" t="s">
        <v>1340</v>
      </c>
      <c r="AO438" t="s">
        <v>8873</v>
      </c>
      <c r="AP438" t="s">
        <v>8874</v>
      </c>
      <c r="AQ438" t="s">
        <v>74</v>
      </c>
      <c r="AR438" t="s">
        <v>8875</v>
      </c>
      <c r="AS438" t="s">
        <v>8876</v>
      </c>
      <c r="AT438" t="s">
        <v>5544</v>
      </c>
      <c r="AU438">
        <v>2017</v>
      </c>
      <c r="AV438">
        <v>86</v>
      </c>
      <c r="AW438">
        <v>5</v>
      </c>
      <c r="AX438" t="s">
        <v>74</v>
      </c>
      <c r="AY438" t="s">
        <v>74</v>
      </c>
      <c r="AZ438" t="s">
        <v>74</v>
      </c>
      <c r="BA438" t="s">
        <v>74</v>
      </c>
      <c r="BB438">
        <v>1022</v>
      </c>
      <c r="BC438">
        <v>1032</v>
      </c>
      <c r="BD438" t="s">
        <v>74</v>
      </c>
      <c r="BE438" t="s">
        <v>8877</v>
      </c>
      <c r="BF438" t="str">
        <f>HYPERLINK("http://dx.doi.org/10.1111/1365-2656.12712","http://dx.doi.org/10.1111/1365-2656.12712")</f>
        <v>http://dx.doi.org/10.1111/1365-2656.12712</v>
      </c>
      <c r="BG438" t="s">
        <v>74</v>
      </c>
      <c r="BH438" t="s">
        <v>74</v>
      </c>
      <c r="BI438">
        <v>11</v>
      </c>
      <c r="BJ438" t="s">
        <v>8878</v>
      </c>
      <c r="BK438" t="s">
        <v>101</v>
      </c>
      <c r="BL438" t="s">
        <v>8879</v>
      </c>
      <c r="BM438" t="s">
        <v>8880</v>
      </c>
      <c r="BN438">
        <v>28605018</v>
      </c>
      <c r="BO438" t="s">
        <v>1793</v>
      </c>
      <c r="BP438" t="s">
        <v>74</v>
      </c>
      <c r="BQ438" t="s">
        <v>74</v>
      </c>
      <c r="BR438" t="s">
        <v>105</v>
      </c>
      <c r="BS438" t="s">
        <v>8881</v>
      </c>
      <c r="BT438" t="str">
        <f>HYPERLINK("https%3A%2F%2Fwww.webofscience.com%2Fwos%2Fwoscc%2Ffull-record%2FWOS:000407320500005","View Full Record in Web of Science")</f>
        <v>View Full Record in Web of Science</v>
      </c>
    </row>
    <row r="439" spans="1:72" x14ac:dyDescent="0.15">
      <c r="A439" t="s">
        <v>72</v>
      </c>
      <c r="B439" t="s">
        <v>8882</v>
      </c>
      <c r="C439" t="s">
        <v>74</v>
      </c>
      <c r="D439" t="s">
        <v>74</v>
      </c>
      <c r="E439" t="s">
        <v>74</v>
      </c>
      <c r="F439" t="s">
        <v>8883</v>
      </c>
      <c r="G439" t="s">
        <v>74</v>
      </c>
      <c r="H439" t="s">
        <v>74</v>
      </c>
      <c r="I439" t="s">
        <v>8884</v>
      </c>
      <c r="J439" t="s">
        <v>2406</v>
      </c>
      <c r="K439" t="s">
        <v>74</v>
      </c>
      <c r="L439" t="s">
        <v>74</v>
      </c>
      <c r="M439" t="s">
        <v>78</v>
      </c>
      <c r="N439" t="s">
        <v>79</v>
      </c>
      <c r="O439" t="s">
        <v>74</v>
      </c>
      <c r="P439" t="s">
        <v>74</v>
      </c>
      <c r="Q439" t="s">
        <v>74</v>
      </c>
      <c r="R439" t="s">
        <v>74</v>
      </c>
      <c r="S439" t="s">
        <v>74</v>
      </c>
      <c r="T439" t="s">
        <v>74</v>
      </c>
      <c r="U439" t="s">
        <v>8885</v>
      </c>
      <c r="V439" t="s">
        <v>8886</v>
      </c>
      <c r="W439" t="s">
        <v>8887</v>
      </c>
      <c r="X439" t="s">
        <v>8888</v>
      </c>
      <c r="Y439" t="s">
        <v>8889</v>
      </c>
      <c r="Z439" t="s">
        <v>8890</v>
      </c>
      <c r="AA439" t="s">
        <v>8891</v>
      </c>
      <c r="AB439" t="s">
        <v>8892</v>
      </c>
      <c r="AC439" t="s">
        <v>8893</v>
      </c>
      <c r="AD439" t="s">
        <v>8894</v>
      </c>
      <c r="AE439" t="s">
        <v>8895</v>
      </c>
      <c r="AF439" t="s">
        <v>74</v>
      </c>
      <c r="AG439">
        <v>63</v>
      </c>
      <c r="AH439">
        <v>54</v>
      </c>
      <c r="AI439">
        <v>57</v>
      </c>
      <c r="AJ439">
        <v>1</v>
      </c>
      <c r="AK439">
        <v>22</v>
      </c>
      <c r="AL439" t="s">
        <v>1366</v>
      </c>
      <c r="AM439" t="s">
        <v>1367</v>
      </c>
      <c r="AN439" t="s">
        <v>1368</v>
      </c>
      <c r="AO439" t="s">
        <v>2418</v>
      </c>
      <c r="AP439" t="s">
        <v>2419</v>
      </c>
      <c r="AQ439" t="s">
        <v>74</v>
      </c>
      <c r="AR439" t="s">
        <v>2420</v>
      </c>
      <c r="AS439" t="s">
        <v>2421</v>
      </c>
      <c r="AT439" t="s">
        <v>5544</v>
      </c>
      <c r="AU439">
        <v>2017</v>
      </c>
      <c r="AV439">
        <v>30</v>
      </c>
      <c r="AW439">
        <v>17</v>
      </c>
      <c r="AX439" t="s">
        <v>74</v>
      </c>
      <c r="AY439" t="s">
        <v>74</v>
      </c>
      <c r="AZ439" t="s">
        <v>74</v>
      </c>
      <c r="BA439" t="s">
        <v>74</v>
      </c>
      <c r="BB439">
        <v>6661</v>
      </c>
      <c r="BC439">
        <v>6682</v>
      </c>
      <c r="BD439" t="s">
        <v>74</v>
      </c>
      <c r="BE439" t="s">
        <v>8896</v>
      </c>
      <c r="BF439" t="str">
        <f>HYPERLINK("http://dx.doi.org/10.1175/JCLI-D-16-0782.1","http://dx.doi.org/10.1175/JCLI-D-16-0782.1")</f>
        <v>http://dx.doi.org/10.1175/JCLI-D-16-0782.1</v>
      </c>
      <c r="BG439" t="s">
        <v>74</v>
      </c>
      <c r="BH439" t="s">
        <v>74</v>
      </c>
      <c r="BI439">
        <v>22</v>
      </c>
      <c r="BJ439" t="s">
        <v>162</v>
      </c>
      <c r="BK439" t="s">
        <v>101</v>
      </c>
      <c r="BL439" t="s">
        <v>162</v>
      </c>
      <c r="BM439" t="s">
        <v>8188</v>
      </c>
      <c r="BN439" t="s">
        <v>74</v>
      </c>
      <c r="BO439" t="s">
        <v>511</v>
      </c>
      <c r="BP439" t="s">
        <v>74</v>
      </c>
      <c r="BQ439" t="s">
        <v>74</v>
      </c>
      <c r="BR439" t="s">
        <v>105</v>
      </c>
      <c r="BS439" t="s">
        <v>8897</v>
      </c>
      <c r="BT439" t="str">
        <f>HYPERLINK("https%3A%2F%2Fwww.webofscience.com%2Fwos%2Fwoscc%2Ffull-record%2FWOS:000407276600005","View Full Record in Web of Science")</f>
        <v>View Full Record in Web of Science</v>
      </c>
    </row>
    <row r="440" spans="1:72" x14ac:dyDescent="0.15">
      <c r="A440" t="s">
        <v>72</v>
      </c>
      <c r="B440" t="s">
        <v>8898</v>
      </c>
      <c r="C440" t="s">
        <v>74</v>
      </c>
      <c r="D440" t="s">
        <v>74</v>
      </c>
      <c r="E440" t="s">
        <v>74</v>
      </c>
      <c r="F440" t="s">
        <v>8899</v>
      </c>
      <c r="G440" t="s">
        <v>74</v>
      </c>
      <c r="H440" t="s">
        <v>74</v>
      </c>
      <c r="I440" t="s">
        <v>8900</v>
      </c>
      <c r="J440" t="s">
        <v>663</v>
      </c>
      <c r="K440" t="s">
        <v>74</v>
      </c>
      <c r="L440" t="s">
        <v>74</v>
      </c>
      <c r="M440" t="s">
        <v>78</v>
      </c>
      <c r="N440" t="s">
        <v>79</v>
      </c>
      <c r="O440" t="s">
        <v>74</v>
      </c>
      <c r="P440" t="s">
        <v>74</v>
      </c>
      <c r="Q440" t="s">
        <v>74</v>
      </c>
      <c r="R440" t="s">
        <v>74</v>
      </c>
      <c r="S440" t="s">
        <v>74</v>
      </c>
      <c r="T440" t="s">
        <v>8901</v>
      </c>
      <c r="U440" t="s">
        <v>8902</v>
      </c>
      <c r="V440" t="s">
        <v>8903</v>
      </c>
      <c r="W440" t="s">
        <v>8904</v>
      </c>
      <c r="X440" t="s">
        <v>8905</v>
      </c>
      <c r="Y440" t="s">
        <v>8906</v>
      </c>
      <c r="Z440" t="s">
        <v>8907</v>
      </c>
      <c r="AA440" t="s">
        <v>74</v>
      </c>
      <c r="AB440" t="s">
        <v>74</v>
      </c>
      <c r="AC440" t="s">
        <v>8908</v>
      </c>
      <c r="AD440" t="s">
        <v>8909</v>
      </c>
      <c r="AE440" t="s">
        <v>8910</v>
      </c>
      <c r="AF440" t="s">
        <v>74</v>
      </c>
      <c r="AG440">
        <v>47</v>
      </c>
      <c r="AH440">
        <v>6</v>
      </c>
      <c r="AI440">
        <v>6</v>
      </c>
      <c r="AJ440">
        <v>0</v>
      </c>
      <c r="AK440">
        <v>6</v>
      </c>
      <c r="AL440" t="s">
        <v>502</v>
      </c>
      <c r="AM440" t="s">
        <v>372</v>
      </c>
      <c r="AN440" t="s">
        <v>503</v>
      </c>
      <c r="AO440" t="s">
        <v>676</v>
      </c>
      <c r="AP440" t="s">
        <v>677</v>
      </c>
      <c r="AQ440" t="s">
        <v>74</v>
      </c>
      <c r="AR440" t="s">
        <v>678</v>
      </c>
      <c r="AS440" t="s">
        <v>679</v>
      </c>
      <c r="AT440" t="s">
        <v>5838</v>
      </c>
      <c r="AU440">
        <v>2017</v>
      </c>
      <c r="AV440">
        <v>473</v>
      </c>
      <c r="AW440" t="s">
        <v>74</v>
      </c>
      <c r="AX440" t="s">
        <v>74</v>
      </c>
      <c r="AY440" t="s">
        <v>74</v>
      </c>
      <c r="AZ440" t="s">
        <v>74</v>
      </c>
      <c r="BA440" t="s">
        <v>74</v>
      </c>
      <c r="BB440">
        <v>256</v>
      </c>
      <c r="BC440">
        <v>268</v>
      </c>
      <c r="BD440" t="s">
        <v>74</v>
      </c>
      <c r="BE440" t="s">
        <v>8911</v>
      </c>
      <c r="BF440" t="str">
        <f>HYPERLINK("http://dx.doi.org/10.1016/j.epsl.2017.05.040","http://dx.doi.org/10.1016/j.epsl.2017.05.040")</f>
        <v>http://dx.doi.org/10.1016/j.epsl.2017.05.040</v>
      </c>
      <c r="BG440" t="s">
        <v>74</v>
      </c>
      <c r="BH440" t="s">
        <v>74</v>
      </c>
      <c r="BI440">
        <v>13</v>
      </c>
      <c r="BJ440" t="s">
        <v>509</v>
      </c>
      <c r="BK440" t="s">
        <v>101</v>
      </c>
      <c r="BL440" t="s">
        <v>509</v>
      </c>
      <c r="BM440" t="s">
        <v>7817</v>
      </c>
      <c r="BN440" t="s">
        <v>74</v>
      </c>
      <c r="BO440" t="s">
        <v>74</v>
      </c>
      <c r="BP440" t="s">
        <v>74</v>
      </c>
      <c r="BQ440" t="s">
        <v>74</v>
      </c>
      <c r="BR440" t="s">
        <v>105</v>
      </c>
      <c r="BS440" t="s">
        <v>8912</v>
      </c>
      <c r="BT440" t="str">
        <f>HYPERLINK("https%3A%2F%2Fwww.webofscience.com%2Fwos%2Fwoscc%2Ffull-record%2FWOS:000406571500025","View Full Record in Web of Science")</f>
        <v>View Full Record in Web of Science</v>
      </c>
    </row>
    <row r="441" spans="1:72" x14ac:dyDescent="0.15">
      <c r="A441" t="s">
        <v>72</v>
      </c>
      <c r="B441" t="s">
        <v>8913</v>
      </c>
      <c r="C441" t="s">
        <v>74</v>
      </c>
      <c r="D441" t="s">
        <v>74</v>
      </c>
      <c r="E441" t="s">
        <v>74</v>
      </c>
      <c r="F441" t="s">
        <v>8914</v>
      </c>
      <c r="G441" t="s">
        <v>74</v>
      </c>
      <c r="H441" t="s">
        <v>74</v>
      </c>
      <c r="I441" t="s">
        <v>8915</v>
      </c>
      <c r="J441" t="s">
        <v>3926</v>
      </c>
      <c r="K441" t="s">
        <v>74</v>
      </c>
      <c r="L441" t="s">
        <v>74</v>
      </c>
      <c r="M441" t="s">
        <v>78</v>
      </c>
      <c r="N441" t="s">
        <v>79</v>
      </c>
      <c r="O441" t="s">
        <v>74</v>
      </c>
      <c r="P441" t="s">
        <v>74</v>
      </c>
      <c r="Q441" t="s">
        <v>74</v>
      </c>
      <c r="R441" t="s">
        <v>74</v>
      </c>
      <c r="S441" t="s">
        <v>74</v>
      </c>
      <c r="T441" t="s">
        <v>8916</v>
      </c>
      <c r="U441" t="s">
        <v>8917</v>
      </c>
      <c r="V441" t="s">
        <v>8918</v>
      </c>
      <c r="W441" t="s">
        <v>8919</v>
      </c>
      <c r="X441" t="s">
        <v>8920</v>
      </c>
      <c r="Y441" t="s">
        <v>8921</v>
      </c>
      <c r="Z441" t="s">
        <v>8922</v>
      </c>
      <c r="AA441" t="s">
        <v>8923</v>
      </c>
      <c r="AB441" t="s">
        <v>8924</v>
      </c>
      <c r="AC441" t="s">
        <v>8925</v>
      </c>
      <c r="AD441" t="s">
        <v>8926</v>
      </c>
      <c r="AE441" t="s">
        <v>8927</v>
      </c>
      <c r="AF441" t="s">
        <v>74</v>
      </c>
      <c r="AG441">
        <v>64</v>
      </c>
      <c r="AH441">
        <v>37</v>
      </c>
      <c r="AI441">
        <v>38</v>
      </c>
      <c r="AJ441">
        <v>0</v>
      </c>
      <c r="AK441">
        <v>11</v>
      </c>
      <c r="AL441" t="s">
        <v>1981</v>
      </c>
      <c r="AM441" t="s">
        <v>729</v>
      </c>
      <c r="AN441" t="s">
        <v>1982</v>
      </c>
      <c r="AO441" t="s">
        <v>3939</v>
      </c>
      <c r="AP441" t="s">
        <v>3940</v>
      </c>
      <c r="AQ441" t="s">
        <v>74</v>
      </c>
      <c r="AR441" t="s">
        <v>3941</v>
      </c>
      <c r="AS441" t="s">
        <v>3942</v>
      </c>
      <c r="AT441" t="s">
        <v>5838</v>
      </c>
      <c r="AU441">
        <v>2017</v>
      </c>
      <c r="AV441">
        <v>212</v>
      </c>
      <c r="AW441" t="s">
        <v>74</v>
      </c>
      <c r="AX441" t="s">
        <v>74</v>
      </c>
      <c r="AY441" t="s">
        <v>74</v>
      </c>
      <c r="AZ441" t="s">
        <v>74</v>
      </c>
      <c r="BA441" t="s">
        <v>74</v>
      </c>
      <c r="BB441">
        <v>196</v>
      </c>
      <c r="BC441">
        <v>210</v>
      </c>
      <c r="BD441" t="s">
        <v>74</v>
      </c>
      <c r="BE441" t="s">
        <v>8928</v>
      </c>
      <c r="BF441" t="str">
        <f>HYPERLINK("http://dx.doi.org/10.1016/j.gca.2017.05.008","http://dx.doi.org/10.1016/j.gca.2017.05.008")</f>
        <v>http://dx.doi.org/10.1016/j.gca.2017.05.008</v>
      </c>
      <c r="BG441" t="s">
        <v>74</v>
      </c>
      <c r="BH441" t="s">
        <v>74</v>
      </c>
      <c r="BI441">
        <v>15</v>
      </c>
      <c r="BJ441" t="s">
        <v>509</v>
      </c>
      <c r="BK441" t="s">
        <v>101</v>
      </c>
      <c r="BL441" t="s">
        <v>509</v>
      </c>
      <c r="BM441" t="s">
        <v>8929</v>
      </c>
      <c r="BN441" t="s">
        <v>74</v>
      </c>
      <c r="BO441" t="s">
        <v>547</v>
      </c>
      <c r="BP441" t="s">
        <v>74</v>
      </c>
      <c r="BQ441" t="s">
        <v>74</v>
      </c>
      <c r="BR441" t="s">
        <v>105</v>
      </c>
      <c r="BS441" t="s">
        <v>8930</v>
      </c>
      <c r="BT441" t="str">
        <f>HYPERLINK("https%3A%2F%2Fwww.webofscience.com%2Fwos%2Fwoscc%2Ffull-record%2FWOS:000405787500013","View Full Record in Web of Science")</f>
        <v>View Full Record in Web of Science</v>
      </c>
    </row>
    <row r="442" spans="1:72" x14ac:dyDescent="0.15">
      <c r="A442" t="s">
        <v>72</v>
      </c>
      <c r="B442" t="s">
        <v>8931</v>
      </c>
      <c r="C442" t="s">
        <v>74</v>
      </c>
      <c r="D442" t="s">
        <v>74</v>
      </c>
      <c r="E442" t="s">
        <v>74</v>
      </c>
      <c r="F442" t="s">
        <v>8932</v>
      </c>
      <c r="G442" t="s">
        <v>74</v>
      </c>
      <c r="H442" t="s">
        <v>74</v>
      </c>
      <c r="I442" t="s">
        <v>8933</v>
      </c>
      <c r="J442" t="s">
        <v>8934</v>
      </c>
      <c r="K442" t="s">
        <v>74</v>
      </c>
      <c r="L442" t="s">
        <v>74</v>
      </c>
      <c r="M442" t="s">
        <v>78</v>
      </c>
      <c r="N442" t="s">
        <v>79</v>
      </c>
      <c r="O442" t="s">
        <v>74</v>
      </c>
      <c r="P442" t="s">
        <v>74</v>
      </c>
      <c r="Q442" t="s">
        <v>74</v>
      </c>
      <c r="R442" t="s">
        <v>74</v>
      </c>
      <c r="S442" t="s">
        <v>74</v>
      </c>
      <c r="T442" t="s">
        <v>8935</v>
      </c>
      <c r="U442" t="s">
        <v>8936</v>
      </c>
      <c r="V442" t="s">
        <v>8937</v>
      </c>
      <c r="W442" t="s">
        <v>8938</v>
      </c>
      <c r="X442" t="s">
        <v>8939</v>
      </c>
      <c r="Y442" t="s">
        <v>8940</v>
      </c>
      <c r="Z442" t="s">
        <v>8941</v>
      </c>
      <c r="AA442" t="s">
        <v>8942</v>
      </c>
      <c r="AB442" t="s">
        <v>8943</v>
      </c>
      <c r="AC442" t="s">
        <v>8944</v>
      </c>
      <c r="AD442" t="s">
        <v>8945</v>
      </c>
      <c r="AE442" t="s">
        <v>8946</v>
      </c>
      <c r="AF442" t="s">
        <v>74</v>
      </c>
      <c r="AG442">
        <v>38</v>
      </c>
      <c r="AH442">
        <v>2</v>
      </c>
      <c r="AI442">
        <v>2</v>
      </c>
      <c r="AJ442">
        <v>0</v>
      </c>
      <c r="AK442">
        <v>10</v>
      </c>
      <c r="AL442" t="s">
        <v>208</v>
      </c>
      <c r="AM442" t="s">
        <v>3872</v>
      </c>
      <c r="AN442" t="s">
        <v>3873</v>
      </c>
      <c r="AO442" t="s">
        <v>8947</v>
      </c>
      <c r="AP442" t="s">
        <v>8948</v>
      </c>
      <c r="AQ442" t="s">
        <v>74</v>
      </c>
      <c r="AR442" t="s">
        <v>8934</v>
      </c>
      <c r="AS442" t="s">
        <v>8949</v>
      </c>
      <c r="AT442" t="s">
        <v>5544</v>
      </c>
      <c r="AU442">
        <v>2017</v>
      </c>
      <c r="AV442">
        <v>799</v>
      </c>
      <c r="AW442">
        <v>1</v>
      </c>
      <c r="AX442" t="s">
        <v>74</v>
      </c>
      <c r="AY442" t="s">
        <v>74</v>
      </c>
      <c r="AZ442" t="s">
        <v>74</v>
      </c>
      <c r="BA442" t="s">
        <v>74</v>
      </c>
      <c r="BB442">
        <v>101</v>
      </c>
      <c r="BC442">
        <v>110</v>
      </c>
      <c r="BD442" t="s">
        <v>74</v>
      </c>
      <c r="BE442" t="s">
        <v>8950</v>
      </c>
      <c r="BF442" t="str">
        <f>HYPERLINK("http://dx.doi.org/10.1007/s10750-017-3213-4","http://dx.doi.org/10.1007/s10750-017-3213-4")</f>
        <v>http://dx.doi.org/10.1007/s10750-017-3213-4</v>
      </c>
      <c r="BG442" t="s">
        <v>74</v>
      </c>
      <c r="BH442" t="s">
        <v>74</v>
      </c>
      <c r="BI442">
        <v>10</v>
      </c>
      <c r="BJ442" t="s">
        <v>5546</v>
      </c>
      <c r="BK442" t="s">
        <v>101</v>
      </c>
      <c r="BL442" t="s">
        <v>5546</v>
      </c>
      <c r="BM442" t="s">
        <v>8951</v>
      </c>
      <c r="BN442" t="s">
        <v>74</v>
      </c>
      <c r="BO442" t="s">
        <v>74</v>
      </c>
      <c r="BP442" t="s">
        <v>74</v>
      </c>
      <c r="BQ442" t="s">
        <v>74</v>
      </c>
      <c r="BR442" t="s">
        <v>105</v>
      </c>
      <c r="BS442" t="s">
        <v>8952</v>
      </c>
      <c r="BT442" t="str">
        <f>HYPERLINK("https%3A%2F%2Fwww.webofscience.com%2Fwos%2Fwoscc%2Ffull-record%2FWOS:000405720000007","View Full Record in Web of Science")</f>
        <v>View Full Record in Web of Science</v>
      </c>
    </row>
    <row r="443" spans="1:72" x14ac:dyDescent="0.15">
      <c r="A443" t="s">
        <v>72</v>
      </c>
      <c r="B443" t="s">
        <v>8953</v>
      </c>
      <c r="C443" t="s">
        <v>74</v>
      </c>
      <c r="D443" t="s">
        <v>74</v>
      </c>
      <c r="E443" t="s">
        <v>74</v>
      </c>
      <c r="F443" t="s">
        <v>8954</v>
      </c>
      <c r="G443" t="s">
        <v>74</v>
      </c>
      <c r="H443" t="s">
        <v>74</v>
      </c>
      <c r="I443" t="s">
        <v>8955</v>
      </c>
      <c r="J443" t="s">
        <v>4721</v>
      </c>
      <c r="K443" t="s">
        <v>74</v>
      </c>
      <c r="L443" t="s">
        <v>74</v>
      </c>
      <c r="M443" t="s">
        <v>78</v>
      </c>
      <c r="N443" t="s">
        <v>79</v>
      </c>
      <c r="O443" t="s">
        <v>74</v>
      </c>
      <c r="P443" t="s">
        <v>74</v>
      </c>
      <c r="Q443" t="s">
        <v>74</v>
      </c>
      <c r="R443" t="s">
        <v>74</v>
      </c>
      <c r="S443" t="s">
        <v>74</v>
      </c>
      <c r="T443" t="s">
        <v>8956</v>
      </c>
      <c r="U443" t="s">
        <v>8957</v>
      </c>
      <c r="V443" t="s">
        <v>8958</v>
      </c>
      <c r="W443" t="s">
        <v>8959</v>
      </c>
      <c r="X443" t="s">
        <v>8960</v>
      </c>
      <c r="Y443" t="s">
        <v>8961</v>
      </c>
      <c r="Z443" t="s">
        <v>8962</v>
      </c>
      <c r="AA443" t="s">
        <v>8963</v>
      </c>
      <c r="AB443" t="s">
        <v>8964</v>
      </c>
      <c r="AC443" t="s">
        <v>74</v>
      </c>
      <c r="AD443" t="s">
        <v>74</v>
      </c>
      <c r="AE443" t="s">
        <v>74</v>
      </c>
      <c r="AF443" t="s">
        <v>74</v>
      </c>
      <c r="AG443">
        <v>79</v>
      </c>
      <c r="AH443">
        <v>4</v>
      </c>
      <c r="AI443">
        <v>4</v>
      </c>
      <c r="AJ443">
        <v>0</v>
      </c>
      <c r="AK443">
        <v>23</v>
      </c>
      <c r="AL443" t="s">
        <v>502</v>
      </c>
      <c r="AM443" t="s">
        <v>372</v>
      </c>
      <c r="AN443" t="s">
        <v>503</v>
      </c>
      <c r="AO443" t="s">
        <v>4738</v>
      </c>
      <c r="AP443" t="s">
        <v>4739</v>
      </c>
      <c r="AQ443" t="s">
        <v>74</v>
      </c>
      <c r="AR443" t="s">
        <v>4721</v>
      </c>
      <c r="AS443" t="s">
        <v>4740</v>
      </c>
      <c r="AT443" t="s">
        <v>5838</v>
      </c>
      <c r="AU443">
        <v>2017</v>
      </c>
      <c r="AV443">
        <v>292</v>
      </c>
      <c r="AW443" t="s">
        <v>74</v>
      </c>
      <c r="AX443" t="s">
        <v>74</v>
      </c>
      <c r="AY443" t="s">
        <v>74</v>
      </c>
      <c r="AZ443" t="s">
        <v>74</v>
      </c>
      <c r="BA443" t="s">
        <v>74</v>
      </c>
      <c r="BB443">
        <v>1</v>
      </c>
      <c r="BC443">
        <v>15</v>
      </c>
      <c r="BD443" t="s">
        <v>74</v>
      </c>
      <c r="BE443" t="s">
        <v>8965</v>
      </c>
      <c r="BF443" t="str">
        <f>HYPERLINK("http://dx.doi.org/10.1016/j.geomorph.2017.04.031","http://dx.doi.org/10.1016/j.geomorph.2017.04.031")</f>
        <v>http://dx.doi.org/10.1016/j.geomorph.2017.04.031</v>
      </c>
      <c r="BG443" t="s">
        <v>74</v>
      </c>
      <c r="BH443" t="s">
        <v>74</v>
      </c>
      <c r="BI443">
        <v>15</v>
      </c>
      <c r="BJ443" t="s">
        <v>319</v>
      </c>
      <c r="BK443" t="s">
        <v>101</v>
      </c>
      <c r="BL443" t="s">
        <v>320</v>
      </c>
      <c r="BM443" t="s">
        <v>8966</v>
      </c>
      <c r="BN443" t="s">
        <v>74</v>
      </c>
      <c r="BO443" t="s">
        <v>2091</v>
      </c>
      <c r="BP443" t="s">
        <v>74</v>
      </c>
      <c r="BQ443" t="s">
        <v>74</v>
      </c>
      <c r="BR443" t="s">
        <v>105</v>
      </c>
      <c r="BS443" t="s">
        <v>8967</v>
      </c>
      <c r="BT443" t="str">
        <f>HYPERLINK("https%3A%2F%2Fwww.webofscience.com%2Fwos%2Fwoscc%2Ffull-record%2FWOS:000405153300001","View Full Record in Web of Science")</f>
        <v>View Full Record in Web of Science</v>
      </c>
    </row>
    <row r="444" spans="1:72" x14ac:dyDescent="0.15">
      <c r="A444" t="s">
        <v>72</v>
      </c>
      <c r="B444" t="s">
        <v>8968</v>
      </c>
      <c r="C444" t="s">
        <v>74</v>
      </c>
      <c r="D444" t="s">
        <v>74</v>
      </c>
      <c r="E444" t="s">
        <v>74</v>
      </c>
      <c r="F444" t="s">
        <v>8969</v>
      </c>
      <c r="G444" t="s">
        <v>74</v>
      </c>
      <c r="H444" t="s">
        <v>74</v>
      </c>
      <c r="I444" t="s">
        <v>8970</v>
      </c>
      <c r="J444" t="s">
        <v>3065</v>
      </c>
      <c r="K444" t="s">
        <v>74</v>
      </c>
      <c r="L444" t="s">
        <v>74</v>
      </c>
      <c r="M444" t="s">
        <v>78</v>
      </c>
      <c r="N444" t="s">
        <v>79</v>
      </c>
      <c r="O444" t="s">
        <v>74</v>
      </c>
      <c r="P444" t="s">
        <v>74</v>
      </c>
      <c r="Q444" t="s">
        <v>74</v>
      </c>
      <c r="R444" t="s">
        <v>74</v>
      </c>
      <c r="S444" t="s">
        <v>74</v>
      </c>
      <c r="T444" t="s">
        <v>74</v>
      </c>
      <c r="U444" t="s">
        <v>8971</v>
      </c>
      <c r="V444" t="s">
        <v>8972</v>
      </c>
      <c r="W444" t="s">
        <v>8973</v>
      </c>
      <c r="X444" t="s">
        <v>8974</v>
      </c>
      <c r="Y444" t="s">
        <v>8975</v>
      </c>
      <c r="Z444" t="s">
        <v>8976</v>
      </c>
      <c r="AA444" t="s">
        <v>8977</v>
      </c>
      <c r="AB444" t="s">
        <v>8978</v>
      </c>
      <c r="AC444" t="s">
        <v>8979</v>
      </c>
      <c r="AD444" t="s">
        <v>8980</v>
      </c>
      <c r="AE444" t="s">
        <v>8981</v>
      </c>
      <c r="AF444" t="s">
        <v>74</v>
      </c>
      <c r="AG444">
        <v>61</v>
      </c>
      <c r="AH444">
        <v>31</v>
      </c>
      <c r="AI444">
        <v>33</v>
      </c>
      <c r="AJ444">
        <v>1</v>
      </c>
      <c r="AK444">
        <v>43</v>
      </c>
      <c r="AL444" t="s">
        <v>728</v>
      </c>
      <c r="AM444" t="s">
        <v>729</v>
      </c>
      <c r="AN444" t="s">
        <v>730</v>
      </c>
      <c r="AO444" t="s">
        <v>3078</v>
      </c>
      <c r="AP444" t="s">
        <v>3079</v>
      </c>
      <c r="AQ444" t="s">
        <v>74</v>
      </c>
      <c r="AR444" t="s">
        <v>3080</v>
      </c>
      <c r="AS444" t="s">
        <v>3081</v>
      </c>
      <c r="AT444" t="s">
        <v>5544</v>
      </c>
      <c r="AU444">
        <v>2017</v>
      </c>
      <c r="AV444">
        <v>228</v>
      </c>
      <c r="AW444" t="s">
        <v>74</v>
      </c>
      <c r="AX444" t="s">
        <v>74</v>
      </c>
      <c r="AY444" t="s">
        <v>74</v>
      </c>
      <c r="AZ444" t="s">
        <v>74</v>
      </c>
      <c r="BA444" t="s">
        <v>74</v>
      </c>
      <c r="BB444">
        <v>211</v>
      </c>
      <c r="BC444">
        <v>221</v>
      </c>
      <c r="BD444" t="s">
        <v>74</v>
      </c>
      <c r="BE444" t="s">
        <v>8982</v>
      </c>
      <c r="BF444" t="str">
        <f>HYPERLINK("http://dx.doi.org/10.1016/j.envpol.2017.05.034","http://dx.doi.org/10.1016/j.envpol.2017.05.034")</f>
        <v>http://dx.doi.org/10.1016/j.envpol.2017.05.034</v>
      </c>
      <c r="BG444" t="s">
        <v>74</v>
      </c>
      <c r="BH444" t="s">
        <v>74</v>
      </c>
      <c r="BI444">
        <v>11</v>
      </c>
      <c r="BJ444" t="s">
        <v>2867</v>
      </c>
      <c r="BK444" t="s">
        <v>101</v>
      </c>
      <c r="BL444" t="s">
        <v>1048</v>
      </c>
      <c r="BM444" t="s">
        <v>8983</v>
      </c>
      <c r="BN444">
        <v>28544998</v>
      </c>
      <c r="BO444" t="s">
        <v>74</v>
      </c>
      <c r="BP444" t="s">
        <v>74</v>
      </c>
      <c r="BQ444" t="s">
        <v>74</v>
      </c>
      <c r="BR444" t="s">
        <v>105</v>
      </c>
      <c r="BS444" t="s">
        <v>8984</v>
      </c>
      <c r="BT444" t="str">
        <f>HYPERLINK("https%3A%2F%2Fwww.webofscience.com%2Fwos%2Fwoscc%2Ffull-record%2FWOS:000405042100023","View Full Record in Web of Science")</f>
        <v>View Full Record in Web of Science</v>
      </c>
    </row>
    <row r="445" spans="1:72" x14ac:dyDescent="0.15">
      <c r="A445" t="s">
        <v>72</v>
      </c>
      <c r="B445" t="s">
        <v>8985</v>
      </c>
      <c r="C445" t="s">
        <v>74</v>
      </c>
      <c r="D445" t="s">
        <v>74</v>
      </c>
      <c r="E445" t="s">
        <v>74</v>
      </c>
      <c r="F445" t="s">
        <v>8986</v>
      </c>
      <c r="G445" t="s">
        <v>74</v>
      </c>
      <c r="H445" t="s">
        <v>74</v>
      </c>
      <c r="I445" t="s">
        <v>8987</v>
      </c>
      <c r="J445" t="s">
        <v>3065</v>
      </c>
      <c r="K445" t="s">
        <v>74</v>
      </c>
      <c r="L445" t="s">
        <v>74</v>
      </c>
      <c r="M445" t="s">
        <v>78</v>
      </c>
      <c r="N445" t="s">
        <v>79</v>
      </c>
      <c r="O445" t="s">
        <v>74</v>
      </c>
      <c r="P445" t="s">
        <v>74</v>
      </c>
      <c r="Q445" t="s">
        <v>74</v>
      </c>
      <c r="R445" t="s">
        <v>74</v>
      </c>
      <c r="S445" t="s">
        <v>74</v>
      </c>
      <c r="T445" t="s">
        <v>8988</v>
      </c>
      <c r="U445" t="s">
        <v>8989</v>
      </c>
      <c r="V445" t="s">
        <v>8990</v>
      </c>
      <c r="W445" t="s">
        <v>8991</v>
      </c>
      <c r="X445" t="s">
        <v>8992</v>
      </c>
      <c r="Y445" t="s">
        <v>8993</v>
      </c>
      <c r="Z445" t="s">
        <v>8994</v>
      </c>
      <c r="AA445" t="s">
        <v>8995</v>
      </c>
      <c r="AB445" t="s">
        <v>8996</v>
      </c>
      <c r="AC445" t="s">
        <v>8997</v>
      </c>
      <c r="AD445" t="s">
        <v>8998</v>
      </c>
      <c r="AE445" t="s">
        <v>8999</v>
      </c>
      <c r="AF445" t="s">
        <v>74</v>
      </c>
      <c r="AG445">
        <v>102</v>
      </c>
      <c r="AH445">
        <v>45</v>
      </c>
      <c r="AI445">
        <v>46</v>
      </c>
      <c r="AJ445">
        <v>2</v>
      </c>
      <c r="AK445">
        <v>90</v>
      </c>
      <c r="AL445" t="s">
        <v>728</v>
      </c>
      <c r="AM445" t="s">
        <v>729</v>
      </c>
      <c r="AN445" t="s">
        <v>730</v>
      </c>
      <c r="AO445" t="s">
        <v>3078</v>
      </c>
      <c r="AP445" t="s">
        <v>3079</v>
      </c>
      <c r="AQ445" t="s">
        <v>74</v>
      </c>
      <c r="AR445" t="s">
        <v>3080</v>
      </c>
      <c r="AS445" t="s">
        <v>3081</v>
      </c>
      <c r="AT445" t="s">
        <v>5544</v>
      </c>
      <c r="AU445">
        <v>2017</v>
      </c>
      <c r="AV445">
        <v>228</v>
      </c>
      <c r="AW445" t="s">
        <v>74</v>
      </c>
      <c r="AX445" t="s">
        <v>74</v>
      </c>
      <c r="AY445" t="s">
        <v>74</v>
      </c>
      <c r="AZ445" t="s">
        <v>74</v>
      </c>
      <c r="BA445" t="s">
        <v>74</v>
      </c>
      <c r="BB445">
        <v>464</v>
      </c>
      <c r="BC445">
        <v>473</v>
      </c>
      <c r="BD445" t="s">
        <v>74</v>
      </c>
      <c r="BE445" t="s">
        <v>9000</v>
      </c>
      <c r="BF445" t="str">
        <f>HYPERLINK("http://dx.doi.org/10.1016/j.envpol.2017.05.053","http://dx.doi.org/10.1016/j.envpol.2017.05.053")</f>
        <v>http://dx.doi.org/10.1016/j.envpol.2017.05.053</v>
      </c>
      <c r="BG445" t="s">
        <v>74</v>
      </c>
      <c r="BH445" t="s">
        <v>74</v>
      </c>
      <c r="BI445">
        <v>10</v>
      </c>
      <c r="BJ445" t="s">
        <v>2867</v>
      </c>
      <c r="BK445" t="s">
        <v>101</v>
      </c>
      <c r="BL445" t="s">
        <v>1048</v>
      </c>
      <c r="BM445" t="s">
        <v>8983</v>
      </c>
      <c r="BN445">
        <v>28570991</v>
      </c>
      <c r="BO445" t="s">
        <v>2091</v>
      </c>
      <c r="BP445" t="s">
        <v>74</v>
      </c>
      <c r="BQ445" t="s">
        <v>74</v>
      </c>
      <c r="BR445" t="s">
        <v>105</v>
      </c>
      <c r="BS445" t="s">
        <v>9001</v>
      </c>
      <c r="BT445" t="str">
        <f>HYPERLINK("https%3A%2F%2Fwww.webofscience.com%2Fwos%2Fwoscc%2Ffull-record%2FWOS:000405042100049","View Full Record in Web of Science")</f>
        <v>View Full Record in Web of Science</v>
      </c>
    </row>
    <row r="446" spans="1:72" x14ac:dyDescent="0.15">
      <c r="A446" t="s">
        <v>72</v>
      </c>
      <c r="B446" t="s">
        <v>9002</v>
      </c>
      <c r="C446" t="s">
        <v>74</v>
      </c>
      <c r="D446" t="s">
        <v>74</v>
      </c>
      <c r="E446" t="s">
        <v>74</v>
      </c>
      <c r="F446" t="s">
        <v>9003</v>
      </c>
      <c r="G446" t="s">
        <v>74</v>
      </c>
      <c r="H446" t="s">
        <v>74</v>
      </c>
      <c r="I446" t="s">
        <v>9004</v>
      </c>
      <c r="J446" t="s">
        <v>9005</v>
      </c>
      <c r="K446" t="s">
        <v>74</v>
      </c>
      <c r="L446" t="s">
        <v>74</v>
      </c>
      <c r="M446" t="s">
        <v>78</v>
      </c>
      <c r="N446" t="s">
        <v>79</v>
      </c>
      <c r="O446" t="s">
        <v>74</v>
      </c>
      <c r="P446" t="s">
        <v>74</v>
      </c>
      <c r="Q446" t="s">
        <v>74</v>
      </c>
      <c r="R446" t="s">
        <v>74</v>
      </c>
      <c r="S446" t="s">
        <v>74</v>
      </c>
      <c r="T446" t="s">
        <v>9006</v>
      </c>
      <c r="U446" t="s">
        <v>9007</v>
      </c>
      <c r="V446" t="s">
        <v>9008</v>
      </c>
      <c r="W446" t="s">
        <v>9009</v>
      </c>
      <c r="X446" t="s">
        <v>9010</v>
      </c>
      <c r="Y446" t="s">
        <v>9011</v>
      </c>
      <c r="Z446" t="s">
        <v>9012</v>
      </c>
      <c r="AA446" t="s">
        <v>9013</v>
      </c>
      <c r="AB446" t="s">
        <v>9014</v>
      </c>
      <c r="AC446" t="s">
        <v>9015</v>
      </c>
      <c r="AD446" t="s">
        <v>9016</v>
      </c>
      <c r="AE446" t="s">
        <v>9017</v>
      </c>
      <c r="AF446" t="s">
        <v>74</v>
      </c>
      <c r="AG446">
        <v>72</v>
      </c>
      <c r="AH446">
        <v>14</v>
      </c>
      <c r="AI446">
        <v>15</v>
      </c>
      <c r="AJ446">
        <v>1</v>
      </c>
      <c r="AK446">
        <v>16</v>
      </c>
      <c r="AL446" t="s">
        <v>371</v>
      </c>
      <c r="AM446" t="s">
        <v>372</v>
      </c>
      <c r="AN446" t="s">
        <v>373</v>
      </c>
      <c r="AO446" t="s">
        <v>9018</v>
      </c>
      <c r="AP446" t="s">
        <v>9019</v>
      </c>
      <c r="AQ446" t="s">
        <v>74</v>
      </c>
      <c r="AR446" t="s">
        <v>9020</v>
      </c>
      <c r="AS446" t="s">
        <v>9021</v>
      </c>
      <c r="AT446" t="s">
        <v>5544</v>
      </c>
      <c r="AU446">
        <v>2017</v>
      </c>
      <c r="AV446">
        <v>193</v>
      </c>
      <c r="AW446" t="s">
        <v>74</v>
      </c>
      <c r="AX446" t="s">
        <v>74</v>
      </c>
      <c r="AY446" t="s">
        <v>74</v>
      </c>
      <c r="AZ446" t="s">
        <v>74</v>
      </c>
      <c r="BA446" t="s">
        <v>74</v>
      </c>
      <c r="BB446">
        <v>250</v>
      </c>
      <c r="BC446">
        <v>262</v>
      </c>
      <c r="BD446" t="s">
        <v>74</v>
      </c>
      <c r="BE446" t="s">
        <v>9022</v>
      </c>
      <c r="BF446" t="str">
        <f>HYPERLINK("http://dx.doi.org/10.1016/j.fishres.2017.05.001","http://dx.doi.org/10.1016/j.fishres.2017.05.001")</f>
        <v>http://dx.doi.org/10.1016/j.fishres.2017.05.001</v>
      </c>
      <c r="BG446" t="s">
        <v>74</v>
      </c>
      <c r="BH446" t="s">
        <v>74</v>
      </c>
      <c r="BI446">
        <v>13</v>
      </c>
      <c r="BJ446" t="s">
        <v>7962</v>
      </c>
      <c r="BK446" t="s">
        <v>101</v>
      </c>
      <c r="BL446" t="s">
        <v>7962</v>
      </c>
      <c r="BM446" t="s">
        <v>9023</v>
      </c>
      <c r="BN446" t="s">
        <v>74</v>
      </c>
      <c r="BO446" t="s">
        <v>74</v>
      </c>
      <c r="BP446" t="s">
        <v>74</v>
      </c>
      <c r="BQ446" t="s">
        <v>74</v>
      </c>
      <c r="BR446" t="s">
        <v>105</v>
      </c>
      <c r="BS446" t="s">
        <v>9024</v>
      </c>
      <c r="BT446" t="str">
        <f>HYPERLINK("https%3A%2F%2Fwww.webofscience.com%2Fwos%2Fwoscc%2Ffull-record%2FWOS:000404311100026","View Full Record in Web of Science")</f>
        <v>View Full Record in Web of Science</v>
      </c>
    </row>
    <row r="447" spans="1:72" x14ac:dyDescent="0.15">
      <c r="A447" t="s">
        <v>72</v>
      </c>
      <c r="B447" t="s">
        <v>9025</v>
      </c>
      <c r="C447" t="s">
        <v>74</v>
      </c>
      <c r="D447" t="s">
        <v>74</v>
      </c>
      <c r="E447" t="s">
        <v>74</v>
      </c>
      <c r="F447" t="s">
        <v>9026</v>
      </c>
      <c r="G447" t="s">
        <v>74</v>
      </c>
      <c r="H447" t="s">
        <v>74</v>
      </c>
      <c r="I447" t="s">
        <v>9027</v>
      </c>
      <c r="J447" t="s">
        <v>2856</v>
      </c>
      <c r="K447" t="s">
        <v>74</v>
      </c>
      <c r="L447" t="s">
        <v>74</v>
      </c>
      <c r="M447" t="s">
        <v>78</v>
      </c>
      <c r="N447" t="s">
        <v>79</v>
      </c>
      <c r="O447" t="s">
        <v>74</v>
      </c>
      <c r="P447" t="s">
        <v>74</v>
      </c>
      <c r="Q447" t="s">
        <v>74</v>
      </c>
      <c r="R447" t="s">
        <v>74</v>
      </c>
      <c r="S447" t="s">
        <v>74</v>
      </c>
      <c r="T447" t="s">
        <v>9028</v>
      </c>
      <c r="U447" t="s">
        <v>9029</v>
      </c>
      <c r="V447" t="s">
        <v>9030</v>
      </c>
      <c r="W447" t="s">
        <v>9031</v>
      </c>
      <c r="X447" t="s">
        <v>9032</v>
      </c>
      <c r="Y447" t="s">
        <v>9033</v>
      </c>
      <c r="Z447" t="s">
        <v>9034</v>
      </c>
      <c r="AA447" t="s">
        <v>9035</v>
      </c>
      <c r="AB447" t="s">
        <v>9036</v>
      </c>
      <c r="AC447" t="s">
        <v>9037</v>
      </c>
      <c r="AD447" t="s">
        <v>9038</v>
      </c>
      <c r="AE447" t="s">
        <v>9039</v>
      </c>
      <c r="AF447" t="s">
        <v>74</v>
      </c>
      <c r="AG447">
        <v>60</v>
      </c>
      <c r="AH447">
        <v>4</v>
      </c>
      <c r="AI447">
        <v>4</v>
      </c>
      <c r="AJ447">
        <v>0</v>
      </c>
      <c r="AK447">
        <v>33</v>
      </c>
      <c r="AL447" t="s">
        <v>1981</v>
      </c>
      <c r="AM447" t="s">
        <v>729</v>
      </c>
      <c r="AN447" t="s">
        <v>1982</v>
      </c>
      <c r="AO447" t="s">
        <v>2863</v>
      </c>
      <c r="AP447" t="s">
        <v>2864</v>
      </c>
      <c r="AQ447" t="s">
        <v>74</v>
      </c>
      <c r="AR447" t="s">
        <v>2856</v>
      </c>
      <c r="AS447" t="s">
        <v>2865</v>
      </c>
      <c r="AT447" t="s">
        <v>5544</v>
      </c>
      <c r="AU447">
        <v>2017</v>
      </c>
      <c r="AV447">
        <v>183</v>
      </c>
      <c r="AW447" t="s">
        <v>74</v>
      </c>
      <c r="AX447" t="s">
        <v>74</v>
      </c>
      <c r="AY447" t="s">
        <v>74</v>
      </c>
      <c r="AZ447" t="s">
        <v>74</v>
      </c>
      <c r="BA447" t="s">
        <v>74</v>
      </c>
      <c r="BB447">
        <v>454</v>
      </c>
      <c r="BC447">
        <v>470</v>
      </c>
      <c r="BD447" t="s">
        <v>74</v>
      </c>
      <c r="BE447" t="s">
        <v>9040</v>
      </c>
      <c r="BF447" t="str">
        <f>HYPERLINK("http://dx.doi.org/10.1016/j.chemosphere.2017.05.104","http://dx.doi.org/10.1016/j.chemosphere.2017.05.104")</f>
        <v>http://dx.doi.org/10.1016/j.chemosphere.2017.05.104</v>
      </c>
      <c r="BG447" t="s">
        <v>74</v>
      </c>
      <c r="BH447" t="s">
        <v>74</v>
      </c>
      <c r="BI447">
        <v>17</v>
      </c>
      <c r="BJ447" t="s">
        <v>2867</v>
      </c>
      <c r="BK447" t="s">
        <v>101</v>
      </c>
      <c r="BL447" t="s">
        <v>1048</v>
      </c>
      <c r="BM447" t="s">
        <v>7613</v>
      </c>
      <c r="BN447">
        <v>28564625</v>
      </c>
      <c r="BO447" t="s">
        <v>74</v>
      </c>
      <c r="BP447" t="s">
        <v>74</v>
      </c>
      <c r="BQ447" t="s">
        <v>74</v>
      </c>
      <c r="BR447" t="s">
        <v>105</v>
      </c>
      <c r="BS447" t="s">
        <v>9041</v>
      </c>
      <c r="BT447" t="str">
        <f>HYPERLINK("https%3A%2F%2Fwww.webofscience.com%2Fwos%2Fwoscc%2Ffull-record%2FWOS:000404196400050","View Full Record in Web of Science")</f>
        <v>View Full Record in Web of Science</v>
      </c>
    </row>
    <row r="448" spans="1:72" x14ac:dyDescent="0.15">
      <c r="A448" t="s">
        <v>72</v>
      </c>
      <c r="B448" t="s">
        <v>9042</v>
      </c>
      <c r="C448" t="s">
        <v>74</v>
      </c>
      <c r="D448" t="s">
        <v>74</v>
      </c>
      <c r="E448" t="s">
        <v>74</v>
      </c>
      <c r="F448" t="s">
        <v>9043</v>
      </c>
      <c r="G448" t="s">
        <v>74</v>
      </c>
      <c r="H448" t="s">
        <v>74</v>
      </c>
      <c r="I448" t="s">
        <v>9044</v>
      </c>
      <c r="J448" t="s">
        <v>3992</v>
      </c>
      <c r="K448" t="s">
        <v>74</v>
      </c>
      <c r="L448" t="s">
        <v>74</v>
      </c>
      <c r="M448" t="s">
        <v>78</v>
      </c>
      <c r="N448" t="s">
        <v>79</v>
      </c>
      <c r="O448" t="s">
        <v>74</v>
      </c>
      <c r="P448" t="s">
        <v>74</v>
      </c>
      <c r="Q448" t="s">
        <v>74</v>
      </c>
      <c r="R448" t="s">
        <v>74</v>
      </c>
      <c r="S448" t="s">
        <v>74</v>
      </c>
      <c r="T448" t="s">
        <v>9045</v>
      </c>
      <c r="U448" t="s">
        <v>9046</v>
      </c>
      <c r="V448" t="s">
        <v>9047</v>
      </c>
      <c r="W448" t="s">
        <v>9048</v>
      </c>
      <c r="X448" t="s">
        <v>9049</v>
      </c>
      <c r="Y448" t="s">
        <v>9050</v>
      </c>
      <c r="Z448" t="s">
        <v>9051</v>
      </c>
      <c r="AA448" t="s">
        <v>9052</v>
      </c>
      <c r="AB448" t="s">
        <v>9053</v>
      </c>
      <c r="AC448" t="s">
        <v>9054</v>
      </c>
      <c r="AD448" t="s">
        <v>9055</v>
      </c>
      <c r="AE448" t="s">
        <v>9056</v>
      </c>
      <c r="AF448" t="s">
        <v>74</v>
      </c>
      <c r="AG448">
        <v>45</v>
      </c>
      <c r="AH448">
        <v>23</v>
      </c>
      <c r="AI448">
        <v>27</v>
      </c>
      <c r="AJ448">
        <v>1</v>
      </c>
      <c r="AK448">
        <v>39</v>
      </c>
      <c r="AL448" t="s">
        <v>371</v>
      </c>
      <c r="AM448" t="s">
        <v>372</v>
      </c>
      <c r="AN448" t="s">
        <v>373</v>
      </c>
      <c r="AO448" t="s">
        <v>4004</v>
      </c>
      <c r="AP448" t="s">
        <v>4005</v>
      </c>
      <c r="AQ448" t="s">
        <v>74</v>
      </c>
      <c r="AR448" t="s">
        <v>3992</v>
      </c>
      <c r="AS448" t="s">
        <v>4006</v>
      </c>
      <c r="AT448" t="s">
        <v>5838</v>
      </c>
      <c r="AU448">
        <v>2017</v>
      </c>
      <c r="AV448">
        <v>478</v>
      </c>
      <c r="AW448" t="s">
        <v>74</v>
      </c>
      <c r="AX448" t="s">
        <v>74</v>
      </c>
      <c r="AY448" t="s">
        <v>74</v>
      </c>
      <c r="AZ448" t="s">
        <v>74</v>
      </c>
      <c r="BA448" t="s">
        <v>74</v>
      </c>
      <c r="BB448">
        <v>25</v>
      </c>
      <c r="BC448">
        <v>34</v>
      </c>
      <c r="BD448" t="s">
        <v>74</v>
      </c>
      <c r="BE448" t="s">
        <v>9057</v>
      </c>
      <c r="BF448" t="str">
        <f>HYPERLINK("http://dx.doi.org/10.1016/j.aquaculture.2017.04.035","http://dx.doi.org/10.1016/j.aquaculture.2017.04.035")</f>
        <v>http://dx.doi.org/10.1016/j.aquaculture.2017.04.035</v>
      </c>
      <c r="BG448" t="s">
        <v>74</v>
      </c>
      <c r="BH448" t="s">
        <v>74</v>
      </c>
      <c r="BI448">
        <v>10</v>
      </c>
      <c r="BJ448" t="s">
        <v>4008</v>
      </c>
      <c r="BK448" t="s">
        <v>101</v>
      </c>
      <c r="BL448" t="s">
        <v>4008</v>
      </c>
      <c r="BM448" t="s">
        <v>9058</v>
      </c>
      <c r="BN448" t="s">
        <v>74</v>
      </c>
      <c r="BO448" t="s">
        <v>633</v>
      </c>
      <c r="BP448" t="s">
        <v>74</v>
      </c>
      <c r="BQ448" t="s">
        <v>74</v>
      </c>
      <c r="BR448" t="s">
        <v>105</v>
      </c>
      <c r="BS448" t="s">
        <v>9059</v>
      </c>
      <c r="BT448" t="str">
        <f>HYPERLINK("https%3A%2F%2Fwww.webofscience.com%2Fwos%2Fwoscc%2Ffull-record%2FWOS:000404196200004","View Full Record in Web of Science")</f>
        <v>View Full Record in Web of Science</v>
      </c>
    </row>
    <row r="449" spans="1:72" x14ac:dyDescent="0.15">
      <c r="A449" t="s">
        <v>72</v>
      </c>
      <c r="B449" t="s">
        <v>9060</v>
      </c>
      <c r="C449" t="s">
        <v>74</v>
      </c>
      <c r="D449" t="s">
        <v>74</v>
      </c>
      <c r="E449" t="s">
        <v>74</v>
      </c>
      <c r="F449" t="s">
        <v>9061</v>
      </c>
      <c r="G449" t="s">
        <v>74</v>
      </c>
      <c r="H449" t="s">
        <v>74</v>
      </c>
      <c r="I449" t="s">
        <v>9062</v>
      </c>
      <c r="J449" t="s">
        <v>9063</v>
      </c>
      <c r="K449" t="s">
        <v>74</v>
      </c>
      <c r="L449" t="s">
        <v>74</v>
      </c>
      <c r="M449" t="s">
        <v>78</v>
      </c>
      <c r="N449" t="s">
        <v>79</v>
      </c>
      <c r="O449" t="s">
        <v>74</v>
      </c>
      <c r="P449" t="s">
        <v>74</v>
      </c>
      <c r="Q449" t="s">
        <v>74</v>
      </c>
      <c r="R449" t="s">
        <v>74</v>
      </c>
      <c r="S449" t="s">
        <v>74</v>
      </c>
      <c r="T449" t="s">
        <v>9064</v>
      </c>
      <c r="U449" t="s">
        <v>9065</v>
      </c>
      <c r="V449" t="s">
        <v>9066</v>
      </c>
      <c r="W449" t="s">
        <v>9067</v>
      </c>
      <c r="X449" t="s">
        <v>9068</v>
      </c>
      <c r="Y449" t="s">
        <v>9069</v>
      </c>
      <c r="Z449" t="s">
        <v>9070</v>
      </c>
      <c r="AA449" t="s">
        <v>9071</v>
      </c>
      <c r="AB449" t="s">
        <v>9072</v>
      </c>
      <c r="AC449" t="s">
        <v>74</v>
      </c>
      <c r="AD449" t="s">
        <v>74</v>
      </c>
      <c r="AE449" t="s">
        <v>74</v>
      </c>
      <c r="AF449" t="s">
        <v>74</v>
      </c>
      <c r="AG449">
        <v>44</v>
      </c>
      <c r="AH449">
        <v>8</v>
      </c>
      <c r="AI449">
        <v>8</v>
      </c>
      <c r="AJ449">
        <v>0</v>
      </c>
      <c r="AK449">
        <v>7</v>
      </c>
      <c r="AL449" t="s">
        <v>728</v>
      </c>
      <c r="AM449" t="s">
        <v>729</v>
      </c>
      <c r="AN449" t="s">
        <v>730</v>
      </c>
      <c r="AO449" t="s">
        <v>9073</v>
      </c>
      <c r="AP449" t="s">
        <v>9074</v>
      </c>
      <c r="AQ449" t="s">
        <v>74</v>
      </c>
      <c r="AR449" t="s">
        <v>9075</v>
      </c>
      <c r="AS449" t="s">
        <v>9076</v>
      </c>
      <c r="AT449" t="s">
        <v>5544</v>
      </c>
      <c r="AU449">
        <v>2017</v>
      </c>
      <c r="AV449">
        <v>175</v>
      </c>
      <c r="AW449" t="s">
        <v>74</v>
      </c>
      <c r="AX449" t="s">
        <v>74</v>
      </c>
      <c r="AY449" t="s">
        <v>74</v>
      </c>
      <c r="AZ449" t="s">
        <v>74</v>
      </c>
      <c r="BA449" t="s">
        <v>74</v>
      </c>
      <c r="BB449">
        <v>149</v>
      </c>
      <c r="BC449">
        <v>157</v>
      </c>
      <c r="BD449" t="s">
        <v>74</v>
      </c>
      <c r="BE449" t="s">
        <v>9077</v>
      </c>
      <c r="BF449" t="str">
        <f>HYPERLINK("http://dx.doi.org/10.1016/j.jenvrad.2017.04.011","http://dx.doi.org/10.1016/j.jenvrad.2017.04.011")</f>
        <v>http://dx.doi.org/10.1016/j.jenvrad.2017.04.011</v>
      </c>
      <c r="BG449" t="s">
        <v>74</v>
      </c>
      <c r="BH449" t="s">
        <v>74</v>
      </c>
      <c r="BI449">
        <v>9</v>
      </c>
      <c r="BJ449" t="s">
        <v>2867</v>
      </c>
      <c r="BK449" t="s">
        <v>101</v>
      </c>
      <c r="BL449" t="s">
        <v>1048</v>
      </c>
      <c r="BM449" t="s">
        <v>9078</v>
      </c>
      <c r="BN449">
        <v>28544977</v>
      </c>
      <c r="BO449" t="s">
        <v>74</v>
      </c>
      <c r="BP449" t="s">
        <v>74</v>
      </c>
      <c r="BQ449" t="s">
        <v>74</v>
      </c>
      <c r="BR449" t="s">
        <v>105</v>
      </c>
      <c r="BS449" t="s">
        <v>9079</v>
      </c>
      <c r="BT449" t="str">
        <f>HYPERLINK("https%3A%2F%2Fwww.webofscience.com%2Fwos%2Fwoscc%2Ffull-record%2FWOS:000404310100017","View Full Record in Web of Science")</f>
        <v>View Full Record in Web of Science</v>
      </c>
    </row>
    <row r="450" spans="1:72" x14ac:dyDescent="0.15">
      <c r="A450" t="s">
        <v>72</v>
      </c>
      <c r="B450" t="s">
        <v>9080</v>
      </c>
      <c r="C450" t="s">
        <v>74</v>
      </c>
      <c r="D450" t="s">
        <v>74</v>
      </c>
      <c r="E450" t="s">
        <v>74</v>
      </c>
      <c r="F450" t="s">
        <v>9081</v>
      </c>
      <c r="G450" t="s">
        <v>74</v>
      </c>
      <c r="H450" t="s">
        <v>74</v>
      </c>
      <c r="I450" t="s">
        <v>9082</v>
      </c>
      <c r="J450" t="s">
        <v>9083</v>
      </c>
      <c r="K450" t="s">
        <v>74</v>
      </c>
      <c r="L450" t="s">
        <v>74</v>
      </c>
      <c r="M450" t="s">
        <v>78</v>
      </c>
      <c r="N450" t="s">
        <v>79</v>
      </c>
      <c r="O450" t="s">
        <v>74</v>
      </c>
      <c r="P450" t="s">
        <v>74</v>
      </c>
      <c r="Q450" t="s">
        <v>74</v>
      </c>
      <c r="R450" t="s">
        <v>74</v>
      </c>
      <c r="S450" t="s">
        <v>74</v>
      </c>
      <c r="T450" t="s">
        <v>9084</v>
      </c>
      <c r="U450" t="s">
        <v>9085</v>
      </c>
      <c r="V450" t="s">
        <v>9086</v>
      </c>
      <c r="W450" t="s">
        <v>9087</v>
      </c>
      <c r="X450" t="s">
        <v>9088</v>
      </c>
      <c r="Y450" t="s">
        <v>9089</v>
      </c>
      <c r="Z450" t="s">
        <v>9090</v>
      </c>
      <c r="AA450" t="s">
        <v>9091</v>
      </c>
      <c r="AB450" t="s">
        <v>9092</v>
      </c>
      <c r="AC450" t="s">
        <v>9093</v>
      </c>
      <c r="AD450" t="s">
        <v>9094</v>
      </c>
      <c r="AE450" t="s">
        <v>9095</v>
      </c>
      <c r="AF450" t="s">
        <v>74</v>
      </c>
      <c r="AG450">
        <v>75</v>
      </c>
      <c r="AH450">
        <v>33</v>
      </c>
      <c r="AI450">
        <v>36</v>
      </c>
      <c r="AJ450">
        <v>21</v>
      </c>
      <c r="AK450">
        <v>128</v>
      </c>
      <c r="AL450" t="s">
        <v>1981</v>
      </c>
      <c r="AM450" t="s">
        <v>729</v>
      </c>
      <c r="AN450" t="s">
        <v>1982</v>
      </c>
      <c r="AO450" t="s">
        <v>9096</v>
      </c>
      <c r="AP450" t="s">
        <v>9097</v>
      </c>
      <c r="AQ450" t="s">
        <v>74</v>
      </c>
      <c r="AR450" t="s">
        <v>9098</v>
      </c>
      <c r="AS450" t="s">
        <v>9099</v>
      </c>
      <c r="AT450" t="s">
        <v>5838</v>
      </c>
      <c r="AU450">
        <v>2017</v>
      </c>
      <c r="AV450">
        <v>120</v>
      </c>
      <c r="AW450" t="s">
        <v>74</v>
      </c>
      <c r="AX450" t="s">
        <v>74</v>
      </c>
      <c r="AY450" t="s">
        <v>74</v>
      </c>
      <c r="AZ450" t="s">
        <v>74</v>
      </c>
      <c r="BA450" t="s">
        <v>74</v>
      </c>
      <c r="BB450">
        <v>64</v>
      </c>
      <c r="BC450">
        <v>76</v>
      </c>
      <c r="BD450" t="s">
        <v>74</v>
      </c>
      <c r="BE450" t="s">
        <v>9100</v>
      </c>
      <c r="BF450" t="str">
        <f>HYPERLINK("http://dx.doi.org/10.1016/j.watres.2017.04.067","http://dx.doi.org/10.1016/j.watres.2017.04.067")</f>
        <v>http://dx.doi.org/10.1016/j.watres.2017.04.067</v>
      </c>
      <c r="BG450" t="s">
        <v>74</v>
      </c>
      <c r="BH450" t="s">
        <v>74</v>
      </c>
      <c r="BI450">
        <v>13</v>
      </c>
      <c r="BJ450" t="s">
        <v>9101</v>
      </c>
      <c r="BK450" t="s">
        <v>101</v>
      </c>
      <c r="BL450" t="s">
        <v>9102</v>
      </c>
      <c r="BM450" t="s">
        <v>9103</v>
      </c>
      <c r="BN450">
        <v>28478296</v>
      </c>
      <c r="BO450" t="s">
        <v>74</v>
      </c>
      <c r="BP450" t="s">
        <v>74</v>
      </c>
      <c r="BQ450" t="s">
        <v>74</v>
      </c>
      <c r="BR450" t="s">
        <v>105</v>
      </c>
      <c r="BS450" t="s">
        <v>9104</v>
      </c>
      <c r="BT450" t="str">
        <f>HYPERLINK("https%3A%2F%2Fwww.webofscience.com%2Fwos%2Fwoscc%2Ffull-record%2FWOS:000403431000007","View Full Record in Web of Science")</f>
        <v>View Full Record in Web of Science</v>
      </c>
    </row>
    <row r="451" spans="1:72" x14ac:dyDescent="0.15">
      <c r="A451" t="s">
        <v>72</v>
      </c>
      <c r="B451" t="s">
        <v>9105</v>
      </c>
      <c r="C451" t="s">
        <v>74</v>
      </c>
      <c r="D451" t="s">
        <v>74</v>
      </c>
      <c r="E451" t="s">
        <v>74</v>
      </c>
      <c r="F451" t="s">
        <v>9106</v>
      </c>
      <c r="G451" t="s">
        <v>74</v>
      </c>
      <c r="H451" t="s">
        <v>74</v>
      </c>
      <c r="I451" t="s">
        <v>9107</v>
      </c>
      <c r="J451" t="s">
        <v>8749</v>
      </c>
      <c r="K451" t="s">
        <v>74</v>
      </c>
      <c r="L451" t="s">
        <v>74</v>
      </c>
      <c r="M451" t="s">
        <v>78</v>
      </c>
      <c r="N451" t="s">
        <v>79</v>
      </c>
      <c r="O451" t="s">
        <v>74</v>
      </c>
      <c r="P451" t="s">
        <v>74</v>
      </c>
      <c r="Q451" t="s">
        <v>74</v>
      </c>
      <c r="R451" t="s">
        <v>74</v>
      </c>
      <c r="S451" t="s">
        <v>74</v>
      </c>
      <c r="T451" t="s">
        <v>9108</v>
      </c>
      <c r="U451" t="s">
        <v>9109</v>
      </c>
      <c r="V451" t="s">
        <v>9110</v>
      </c>
      <c r="W451" t="s">
        <v>9111</v>
      </c>
      <c r="X451" t="s">
        <v>9112</v>
      </c>
      <c r="Y451" t="s">
        <v>9113</v>
      </c>
      <c r="Z451" t="s">
        <v>9114</v>
      </c>
      <c r="AA451" t="s">
        <v>9115</v>
      </c>
      <c r="AB451" t="s">
        <v>9116</v>
      </c>
      <c r="AC451" t="s">
        <v>9117</v>
      </c>
      <c r="AD451" t="s">
        <v>9118</v>
      </c>
      <c r="AE451" t="s">
        <v>9119</v>
      </c>
      <c r="AF451" t="s">
        <v>74</v>
      </c>
      <c r="AG451">
        <v>70</v>
      </c>
      <c r="AH451">
        <v>26</v>
      </c>
      <c r="AI451">
        <v>28</v>
      </c>
      <c r="AJ451">
        <v>12</v>
      </c>
      <c r="AK451">
        <v>133</v>
      </c>
      <c r="AL451" t="s">
        <v>502</v>
      </c>
      <c r="AM451" t="s">
        <v>372</v>
      </c>
      <c r="AN451" t="s">
        <v>503</v>
      </c>
      <c r="AO451" t="s">
        <v>8761</v>
      </c>
      <c r="AP451" t="s">
        <v>8762</v>
      </c>
      <c r="AQ451" t="s">
        <v>74</v>
      </c>
      <c r="AR451" t="s">
        <v>8763</v>
      </c>
      <c r="AS451" t="s">
        <v>8764</v>
      </c>
      <c r="AT451" t="s">
        <v>5838</v>
      </c>
      <c r="AU451">
        <v>2017</v>
      </c>
      <c r="AV451">
        <v>593</v>
      </c>
      <c r="AW451" t="s">
        <v>74</v>
      </c>
      <c r="AX451" t="s">
        <v>74</v>
      </c>
      <c r="AY451" t="s">
        <v>74</v>
      </c>
      <c r="AZ451" t="s">
        <v>74</v>
      </c>
      <c r="BA451" t="s">
        <v>74</v>
      </c>
      <c r="BB451">
        <v>144</v>
      </c>
      <c r="BC451">
        <v>154</v>
      </c>
      <c r="BD451" t="s">
        <v>74</v>
      </c>
      <c r="BE451" t="s">
        <v>9120</v>
      </c>
      <c r="BF451" t="str">
        <f>HYPERLINK("http://dx.doi.org/10.1016/j.scitotenv.2017.02.144","http://dx.doi.org/10.1016/j.scitotenv.2017.02.144")</f>
        <v>http://dx.doi.org/10.1016/j.scitotenv.2017.02.144</v>
      </c>
      <c r="BG451" t="s">
        <v>74</v>
      </c>
      <c r="BH451" t="s">
        <v>74</v>
      </c>
      <c r="BI451">
        <v>11</v>
      </c>
      <c r="BJ451" t="s">
        <v>2867</v>
      </c>
      <c r="BK451" t="s">
        <v>101</v>
      </c>
      <c r="BL451" t="s">
        <v>1048</v>
      </c>
      <c r="BM451" t="s">
        <v>8766</v>
      </c>
      <c r="BN451">
        <v>28342415</v>
      </c>
      <c r="BO451" t="s">
        <v>74</v>
      </c>
      <c r="BP451" t="s">
        <v>74</v>
      </c>
      <c r="BQ451" t="s">
        <v>74</v>
      </c>
      <c r="BR451" t="s">
        <v>105</v>
      </c>
      <c r="BS451" t="s">
        <v>9121</v>
      </c>
      <c r="BT451" t="str">
        <f>HYPERLINK("https%3A%2F%2Fwww.webofscience.com%2Fwos%2Fwoscc%2Ffull-record%2FWOS:000401201800016","View Full Record in Web of Science")</f>
        <v>View Full Record in Web of Science</v>
      </c>
    </row>
    <row r="452" spans="1:72" x14ac:dyDescent="0.15">
      <c r="A452" t="s">
        <v>72</v>
      </c>
      <c r="B452" t="s">
        <v>9122</v>
      </c>
      <c r="C452" t="s">
        <v>74</v>
      </c>
      <c r="D452" t="s">
        <v>74</v>
      </c>
      <c r="E452" t="s">
        <v>74</v>
      </c>
      <c r="F452" t="s">
        <v>9123</v>
      </c>
      <c r="G452" t="s">
        <v>74</v>
      </c>
      <c r="H452" t="s">
        <v>74</v>
      </c>
      <c r="I452" t="s">
        <v>9124</v>
      </c>
      <c r="J452" t="s">
        <v>743</v>
      </c>
      <c r="K452" t="s">
        <v>74</v>
      </c>
      <c r="L452" t="s">
        <v>74</v>
      </c>
      <c r="M452" t="s">
        <v>78</v>
      </c>
      <c r="N452" t="s">
        <v>79</v>
      </c>
      <c r="O452" t="s">
        <v>74</v>
      </c>
      <c r="P452" t="s">
        <v>74</v>
      </c>
      <c r="Q452" t="s">
        <v>74</v>
      </c>
      <c r="R452" t="s">
        <v>74</v>
      </c>
      <c r="S452" t="s">
        <v>74</v>
      </c>
      <c r="T452" t="s">
        <v>9125</v>
      </c>
      <c r="U452" t="s">
        <v>9126</v>
      </c>
      <c r="V452" t="s">
        <v>9127</v>
      </c>
      <c r="W452" t="s">
        <v>9128</v>
      </c>
      <c r="X452" t="s">
        <v>9129</v>
      </c>
      <c r="Y452" t="s">
        <v>9130</v>
      </c>
      <c r="Z452" t="s">
        <v>9131</v>
      </c>
      <c r="AA452" t="s">
        <v>9132</v>
      </c>
      <c r="AB452" t="s">
        <v>9133</v>
      </c>
      <c r="AC452" t="s">
        <v>9134</v>
      </c>
      <c r="AD452" t="s">
        <v>9135</v>
      </c>
      <c r="AE452" t="s">
        <v>9136</v>
      </c>
      <c r="AF452" t="s">
        <v>74</v>
      </c>
      <c r="AG452">
        <v>73</v>
      </c>
      <c r="AH452">
        <v>24</v>
      </c>
      <c r="AI452">
        <v>25</v>
      </c>
      <c r="AJ452">
        <v>2</v>
      </c>
      <c r="AK452">
        <v>31</v>
      </c>
      <c r="AL452" t="s">
        <v>755</v>
      </c>
      <c r="AM452" t="s">
        <v>756</v>
      </c>
      <c r="AN452" t="s">
        <v>757</v>
      </c>
      <c r="AO452" t="s">
        <v>758</v>
      </c>
      <c r="AP452" t="s">
        <v>759</v>
      </c>
      <c r="AQ452" t="s">
        <v>74</v>
      </c>
      <c r="AR452" t="s">
        <v>760</v>
      </c>
      <c r="AS452" t="s">
        <v>761</v>
      </c>
      <c r="AT452" t="s">
        <v>9137</v>
      </c>
      <c r="AU452">
        <v>2017</v>
      </c>
      <c r="AV452">
        <v>578</v>
      </c>
      <c r="AW452" t="s">
        <v>74</v>
      </c>
      <c r="AX452" t="s">
        <v>74</v>
      </c>
      <c r="AY452" t="s">
        <v>74</v>
      </c>
      <c r="AZ452" t="s">
        <v>74</v>
      </c>
      <c r="BA452" t="s">
        <v>74</v>
      </c>
      <c r="BB452">
        <v>213</v>
      </c>
      <c r="BC452">
        <v>225</v>
      </c>
      <c r="BD452" t="s">
        <v>74</v>
      </c>
      <c r="BE452" t="s">
        <v>9138</v>
      </c>
      <c r="BF452" t="str">
        <f>HYPERLINK("http://dx.doi.org/10.3354/meps11932","http://dx.doi.org/10.3354/meps11932")</f>
        <v>http://dx.doi.org/10.3354/meps11932</v>
      </c>
      <c r="BG452" t="s">
        <v>74</v>
      </c>
      <c r="BH452" t="s">
        <v>74</v>
      </c>
      <c r="BI452">
        <v>13</v>
      </c>
      <c r="BJ452" t="s">
        <v>764</v>
      </c>
      <c r="BK452" t="s">
        <v>101</v>
      </c>
      <c r="BL452" t="s">
        <v>766</v>
      </c>
      <c r="BM452" t="s">
        <v>9139</v>
      </c>
      <c r="BN452" t="s">
        <v>74</v>
      </c>
      <c r="BO452" t="s">
        <v>9140</v>
      </c>
      <c r="BP452" t="s">
        <v>74</v>
      </c>
      <c r="BQ452" t="s">
        <v>74</v>
      </c>
      <c r="BR452" t="s">
        <v>105</v>
      </c>
      <c r="BS452" t="s">
        <v>9141</v>
      </c>
      <c r="BT452" t="str">
        <f>HYPERLINK("https%3A%2F%2Fwww.webofscience.com%2Fwos%2Fwoscc%2Ffull-record%2FWOS:000411308800013","View Full Record in Web of Science")</f>
        <v>View Full Record in Web of Science</v>
      </c>
    </row>
    <row r="453" spans="1:72" x14ac:dyDescent="0.15">
      <c r="A453" t="s">
        <v>72</v>
      </c>
      <c r="B453" t="s">
        <v>9142</v>
      </c>
      <c r="C453" t="s">
        <v>74</v>
      </c>
      <c r="D453" t="s">
        <v>74</v>
      </c>
      <c r="E453" t="s">
        <v>74</v>
      </c>
      <c r="F453" t="s">
        <v>9143</v>
      </c>
      <c r="G453" t="s">
        <v>74</v>
      </c>
      <c r="H453" t="s">
        <v>74</v>
      </c>
      <c r="I453" t="s">
        <v>9144</v>
      </c>
      <c r="J453" t="s">
        <v>817</v>
      </c>
      <c r="K453" t="s">
        <v>74</v>
      </c>
      <c r="L453" t="s">
        <v>74</v>
      </c>
      <c r="M453" t="s">
        <v>78</v>
      </c>
      <c r="N453" t="s">
        <v>79</v>
      </c>
      <c r="O453" t="s">
        <v>74</v>
      </c>
      <c r="P453" t="s">
        <v>74</v>
      </c>
      <c r="Q453" t="s">
        <v>74</v>
      </c>
      <c r="R453" t="s">
        <v>74</v>
      </c>
      <c r="S453" t="s">
        <v>74</v>
      </c>
      <c r="T453" t="s">
        <v>74</v>
      </c>
      <c r="U453" t="s">
        <v>9145</v>
      </c>
      <c r="V453" t="s">
        <v>9146</v>
      </c>
      <c r="W453" t="s">
        <v>9147</v>
      </c>
      <c r="X453" t="s">
        <v>9148</v>
      </c>
      <c r="Y453" t="s">
        <v>9149</v>
      </c>
      <c r="Z453" t="s">
        <v>9150</v>
      </c>
      <c r="AA453" t="s">
        <v>9151</v>
      </c>
      <c r="AB453" t="s">
        <v>9152</v>
      </c>
      <c r="AC453" t="s">
        <v>9153</v>
      </c>
      <c r="AD453" t="s">
        <v>9154</v>
      </c>
      <c r="AE453" t="s">
        <v>9155</v>
      </c>
      <c r="AF453" t="s">
        <v>74</v>
      </c>
      <c r="AG453">
        <v>56</v>
      </c>
      <c r="AH453">
        <v>32</v>
      </c>
      <c r="AI453">
        <v>35</v>
      </c>
      <c r="AJ453">
        <v>0</v>
      </c>
      <c r="AK453">
        <v>8</v>
      </c>
      <c r="AL453" t="s">
        <v>311</v>
      </c>
      <c r="AM453" t="s">
        <v>312</v>
      </c>
      <c r="AN453" t="s">
        <v>313</v>
      </c>
      <c r="AO453" t="s">
        <v>829</v>
      </c>
      <c r="AP453" t="s">
        <v>830</v>
      </c>
      <c r="AQ453" t="s">
        <v>74</v>
      </c>
      <c r="AR453" t="s">
        <v>831</v>
      </c>
      <c r="AS453" t="s">
        <v>832</v>
      </c>
      <c r="AT453" t="s">
        <v>9137</v>
      </c>
      <c r="AU453">
        <v>2017</v>
      </c>
      <c r="AV453">
        <v>17</v>
      </c>
      <c r="AW453">
        <v>17</v>
      </c>
      <c r="AX453" t="s">
        <v>74</v>
      </c>
      <c r="AY453" t="s">
        <v>74</v>
      </c>
      <c r="AZ453" t="s">
        <v>74</v>
      </c>
      <c r="BA453" t="s">
        <v>74</v>
      </c>
      <c r="BB453">
        <v>10195</v>
      </c>
      <c r="BC453">
        <v>10221</v>
      </c>
      <c r="BD453" t="s">
        <v>74</v>
      </c>
      <c r="BE453" t="s">
        <v>9156</v>
      </c>
      <c r="BF453" t="str">
        <f>HYPERLINK("http://dx.doi.org/10.5194/acp-17-10195-2017","http://dx.doi.org/10.5194/acp-17-10195-2017")</f>
        <v>http://dx.doi.org/10.5194/acp-17-10195-2017</v>
      </c>
      <c r="BG453" t="s">
        <v>74</v>
      </c>
      <c r="BH453" t="s">
        <v>74</v>
      </c>
      <c r="BI453">
        <v>27</v>
      </c>
      <c r="BJ453" t="s">
        <v>834</v>
      </c>
      <c r="BK453" t="s">
        <v>101</v>
      </c>
      <c r="BL453" t="s">
        <v>835</v>
      </c>
      <c r="BM453" t="s">
        <v>9157</v>
      </c>
      <c r="BN453" t="s">
        <v>74</v>
      </c>
      <c r="BO453" t="s">
        <v>9158</v>
      </c>
      <c r="BP453" t="s">
        <v>74</v>
      </c>
      <c r="BQ453" t="s">
        <v>74</v>
      </c>
      <c r="BR453" t="s">
        <v>105</v>
      </c>
      <c r="BS453" t="s">
        <v>9159</v>
      </c>
      <c r="BT453" t="str">
        <f>HYPERLINK("https%3A%2F%2Fwww.webofscience.com%2Fwos%2Fwoscc%2Ffull-record%2FWOS:000408723600001","View Full Record in Web of Science")</f>
        <v>View Full Record in Web of Science</v>
      </c>
    </row>
    <row r="454" spans="1:72" x14ac:dyDescent="0.15">
      <c r="A454" t="s">
        <v>72</v>
      </c>
      <c r="B454" t="s">
        <v>9160</v>
      </c>
      <c r="C454" t="s">
        <v>74</v>
      </c>
      <c r="D454" t="s">
        <v>74</v>
      </c>
      <c r="E454" t="s">
        <v>74</v>
      </c>
      <c r="F454" t="s">
        <v>9161</v>
      </c>
      <c r="G454" t="s">
        <v>74</v>
      </c>
      <c r="H454" t="s">
        <v>74</v>
      </c>
      <c r="I454" t="s">
        <v>9162</v>
      </c>
      <c r="J454" t="s">
        <v>743</v>
      </c>
      <c r="K454" t="s">
        <v>74</v>
      </c>
      <c r="L454" t="s">
        <v>74</v>
      </c>
      <c r="M454" t="s">
        <v>78</v>
      </c>
      <c r="N454" t="s">
        <v>79</v>
      </c>
      <c r="O454" t="s">
        <v>74</v>
      </c>
      <c r="P454" t="s">
        <v>74</v>
      </c>
      <c r="Q454" t="s">
        <v>74</v>
      </c>
      <c r="R454" t="s">
        <v>74</v>
      </c>
      <c r="S454" t="s">
        <v>74</v>
      </c>
      <c r="T454" t="s">
        <v>9163</v>
      </c>
      <c r="U454" t="s">
        <v>9164</v>
      </c>
      <c r="V454" t="s">
        <v>9165</v>
      </c>
      <c r="W454" t="s">
        <v>9166</v>
      </c>
      <c r="X454" t="s">
        <v>9167</v>
      </c>
      <c r="Y454" t="s">
        <v>9168</v>
      </c>
      <c r="Z454" t="s">
        <v>9169</v>
      </c>
      <c r="AA454" t="s">
        <v>9170</v>
      </c>
      <c r="AB454" t="s">
        <v>9171</v>
      </c>
      <c r="AC454" t="s">
        <v>9172</v>
      </c>
      <c r="AD454" t="s">
        <v>9173</v>
      </c>
      <c r="AE454" t="s">
        <v>9174</v>
      </c>
      <c r="AF454" t="s">
        <v>74</v>
      </c>
      <c r="AG454">
        <v>74</v>
      </c>
      <c r="AH454">
        <v>31</v>
      </c>
      <c r="AI454">
        <v>33</v>
      </c>
      <c r="AJ454">
        <v>4</v>
      </c>
      <c r="AK454">
        <v>81</v>
      </c>
      <c r="AL454" t="s">
        <v>755</v>
      </c>
      <c r="AM454" t="s">
        <v>756</v>
      </c>
      <c r="AN454" t="s">
        <v>757</v>
      </c>
      <c r="AO454" t="s">
        <v>758</v>
      </c>
      <c r="AP454" t="s">
        <v>759</v>
      </c>
      <c r="AQ454" t="s">
        <v>74</v>
      </c>
      <c r="AR454" t="s">
        <v>760</v>
      </c>
      <c r="AS454" t="s">
        <v>761</v>
      </c>
      <c r="AT454" t="s">
        <v>9137</v>
      </c>
      <c r="AU454">
        <v>2017</v>
      </c>
      <c r="AV454">
        <v>578</v>
      </c>
      <c r="AW454" t="s">
        <v>74</v>
      </c>
      <c r="AX454" t="s">
        <v>74</v>
      </c>
      <c r="AY454" t="s">
        <v>74</v>
      </c>
      <c r="AZ454" t="s">
        <v>74</v>
      </c>
      <c r="BA454" t="s">
        <v>74</v>
      </c>
      <c r="BB454">
        <v>35</v>
      </c>
      <c r="BC454">
        <v>50</v>
      </c>
      <c r="BD454" t="s">
        <v>74</v>
      </c>
      <c r="BE454" t="s">
        <v>9175</v>
      </c>
      <c r="BF454" t="str">
        <f>HYPERLINK("http://dx.doi.org/10.3354/meps12250","http://dx.doi.org/10.3354/meps12250")</f>
        <v>http://dx.doi.org/10.3354/meps12250</v>
      </c>
      <c r="BG454" t="s">
        <v>74</v>
      </c>
      <c r="BH454" t="s">
        <v>74</v>
      </c>
      <c r="BI454">
        <v>16</v>
      </c>
      <c r="BJ454" t="s">
        <v>764</v>
      </c>
      <c r="BK454" t="s">
        <v>101</v>
      </c>
      <c r="BL454" t="s">
        <v>766</v>
      </c>
      <c r="BM454" t="s">
        <v>9139</v>
      </c>
      <c r="BN454" t="s">
        <v>74</v>
      </c>
      <c r="BO454" t="s">
        <v>598</v>
      </c>
      <c r="BP454" t="s">
        <v>74</v>
      </c>
      <c r="BQ454" t="s">
        <v>74</v>
      </c>
      <c r="BR454" t="s">
        <v>105</v>
      </c>
      <c r="BS454" t="s">
        <v>9176</v>
      </c>
      <c r="BT454" t="str">
        <f>HYPERLINK("https%3A%2F%2Fwww.webofscience.com%2Fwos%2Fwoscc%2Ffull-record%2FWOS:000411308800003","View Full Record in Web of Science")</f>
        <v>View Full Record in Web of Science</v>
      </c>
    </row>
    <row r="455" spans="1:72" x14ac:dyDescent="0.15">
      <c r="A455" t="s">
        <v>72</v>
      </c>
      <c r="B455" t="s">
        <v>9177</v>
      </c>
      <c r="C455" t="s">
        <v>74</v>
      </c>
      <c r="D455" t="s">
        <v>74</v>
      </c>
      <c r="E455" t="s">
        <v>74</v>
      </c>
      <c r="F455" t="s">
        <v>9178</v>
      </c>
      <c r="G455" t="s">
        <v>74</v>
      </c>
      <c r="H455" t="s">
        <v>74</v>
      </c>
      <c r="I455" t="s">
        <v>9179</v>
      </c>
      <c r="J455" t="s">
        <v>743</v>
      </c>
      <c r="K455" t="s">
        <v>74</v>
      </c>
      <c r="L455" t="s">
        <v>74</v>
      </c>
      <c r="M455" t="s">
        <v>78</v>
      </c>
      <c r="N455" t="s">
        <v>273</v>
      </c>
      <c r="O455" t="s">
        <v>74</v>
      </c>
      <c r="P455" t="s">
        <v>74</v>
      </c>
      <c r="Q455" t="s">
        <v>74</v>
      </c>
      <c r="R455" t="s">
        <v>74</v>
      </c>
      <c r="S455" t="s">
        <v>74</v>
      </c>
      <c r="T455" t="s">
        <v>9180</v>
      </c>
      <c r="U455" t="s">
        <v>9181</v>
      </c>
      <c r="V455" t="s">
        <v>9182</v>
      </c>
      <c r="W455" t="s">
        <v>9183</v>
      </c>
      <c r="X455" t="s">
        <v>9184</v>
      </c>
      <c r="Y455" t="s">
        <v>9185</v>
      </c>
      <c r="Z455" t="s">
        <v>9186</v>
      </c>
      <c r="AA455" t="s">
        <v>9187</v>
      </c>
      <c r="AB455" t="s">
        <v>9188</v>
      </c>
      <c r="AC455" t="s">
        <v>9189</v>
      </c>
      <c r="AD455" t="s">
        <v>9190</v>
      </c>
      <c r="AE455" t="s">
        <v>74</v>
      </c>
      <c r="AF455" t="s">
        <v>74</v>
      </c>
      <c r="AG455">
        <v>322</v>
      </c>
      <c r="AH455">
        <v>117</v>
      </c>
      <c r="AI455">
        <v>127</v>
      </c>
      <c r="AJ455">
        <v>4</v>
      </c>
      <c r="AK455">
        <v>76</v>
      </c>
      <c r="AL455" t="s">
        <v>755</v>
      </c>
      <c r="AM455" t="s">
        <v>756</v>
      </c>
      <c r="AN455" t="s">
        <v>757</v>
      </c>
      <c r="AO455" t="s">
        <v>758</v>
      </c>
      <c r="AP455" t="s">
        <v>759</v>
      </c>
      <c r="AQ455" t="s">
        <v>74</v>
      </c>
      <c r="AR455" t="s">
        <v>760</v>
      </c>
      <c r="AS455" t="s">
        <v>761</v>
      </c>
      <c r="AT455" t="s">
        <v>9137</v>
      </c>
      <c r="AU455">
        <v>2017</v>
      </c>
      <c r="AV455">
        <v>578</v>
      </c>
      <c r="AW455" t="s">
        <v>74</v>
      </c>
      <c r="AX455" t="s">
        <v>74</v>
      </c>
      <c r="AY455" t="s">
        <v>74</v>
      </c>
      <c r="AZ455" t="s">
        <v>74</v>
      </c>
      <c r="BA455" t="s">
        <v>74</v>
      </c>
      <c r="BB455">
        <v>117</v>
      </c>
      <c r="BC455">
        <v>150</v>
      </c>
      <c r="BD455" t="s">
        <v>74</v>
      </c>
      <c r="BE455" t="s">
        <v>9191</v>
      </c>
      <c r="BF455" t="str">
        <f>HYPERLINK("http://dx.doi.org/10.3354/meps12217","http://dx.doi.org/10.3354/meps12217")</f>
        <v>http://dx.doi.org/10.3354/meps12217</v>
      </c>
      <c r="BG455" t="s">
        <v>74</v>
      </c>
      <c r="BH455" t="s">
        <v>74</v>
      </c>
      <c r="BI455">
        <v>34</v>
      </c>
      <c r="BJ455" t="s">
        <v>764</v>
      </c>
      <c r="BK455" t="s">
        <v>101</v>
      </c>
      <c r="BL455" t="s">
        <v>766</v>
      </c>
      <c r="BM455" t="s">
        <v>9139</v>
      </c>
      <c r="BN455" t="s">
        <v>74</v>
      </c>
      <c r="BO455" t="s">
        <v>9192</v>
      </c>
      <c r="BP455" t="s">
        <v>74</v>
      </c>
      <c r="BQ455" t="s">
        <v>74</v>
      </c>
      <c r="BR455" t="s">
        <v>105</v>
      </c>
      <c r="BS455" t="s">
        <v>9193</v>
      </c>
      <c r="BT455" t="str">
        <f>HYPERLINK("https%3A%2F%2Fwww.webofscience.com%2Fwos%2Fwoscc%2Ffull-record%2FWOS:000411308800008","View Full Record in Web of Science")</f>
        <v>View Full Record in Web of Science</v>
      </c>
    </row>
    <row r="456" spans="1:72" x14ac:dyDescent="0.15">
      <c r="A456" t="s">
        <v>72</v>
      </c>
      <c r="B456" t="s">
        <v>9194</v>
      </c>
      <c r="C456" t="s">
        <v>74</v>
      </c>
      <c r="D456" t="s">
        <v>74</v>
      </c>
      <c r="E456" t="s">
        <v>74</v>
      </c>
      <c r="F456" t="s">
        <v>9195</v>
      </c>
      <c r="G456" t="s">
        <v>74</v>
      </c>
      <c r="H456" t="s">
        <v>74</v>
      </c>
      <c r="I456" t="s">
        <v>9196</v>
      </c>
      <c r="J456" t="s">
        <v>743</v>
      </c>
      <c r="K456" t="s">
        <v>74</v>
      </c>
      <c r="L456" t="s">
        <v>74</v>
      </c>
      <c r="M456" t="s">
        <v>78</v>
      </c>
      <c r="N456" t="s">
        <v>273</v>
      </c>
      <c r="O456" t="s">
        <v>74</v>
      </c>
      <c r="P456" t="s">
        <v>74</v>
      </c>
      <c r="Q456" t="s">
        <v>74</v>
      </c>
      <c r="R456" t="s">
        <v>74</v>
      </c>
      <c r="S456" t="s">
        <v>74</v>
      </c>
      <c r="T456" t="s">
        <v>9197</v>
      </c>
      <c r="U456" t="s">
        <v>9198</v>
      </c>
      <c r="V456" t="s">
        <v>9199</v>
      </c>
      <c r="W456" t="s">
        <v>9200</v>
      </c>
      <c r="X456" t="s">
        <v>9201</v>
      </c>
      <c r="Y456" t="s">
        <v>9202</v>
      </c>
      <c r="Z456" t="s">
        <v>9203</v>
      </c>
      <c r="AA456" t="s">
        <v>9204</v>
      </c>
      <c r="AB456" t="s">
        <v>9205</v>
      </c>
      <c r="AC456" t="s">
        <v>9206</v>
      </c>
      <c r="AD456" t="s">
        <v>9207</v>
      </c>
      <c r="AE456" t="s">
        <v>9208</v>
      </c>
      <c r="AF456" t="s">
        <v>74</v>
      </c>
      <c r="AG456">
        <v>154</v>
      </c>
      <c r="AH456">
        <v>24</v>
      </c>
      <c r="AI456">
        <v>26</v>
      </c>
      <c r="AJ456">
        <v>2</v>
      </c>
      <c r="AK456">
        <v>50</v>
      </c>
      <c r="AL456" t="s">
        <v>755</v>
      </c>
      <c r="AM456" t="s">
        <v>756</v>
      </c>
      <c r="AN456" t="s">
        <v>757</v>
      </c>
      <c r="AO456" t="s">
        <v>758</v>
      </c>
      <c r="AP456" t="s">
        <v>759</v>
      </c>
      <c r="AQ456" t="s">
        <v>74</v>
      </c>
      <c r="AR456" t="s">
        <v>760</v>
      </c>
      <c r="AS456" t="s">
        <v>761</v>
      </c>
      <c r="AT456" t="s">
        <v>9137</v>
      </c>
      <c r="AU456">
        <v>2017</v>
      </c>
      <c r="AV456">
        <v>578</v>
      </c>
      <c r="AW456" t="s">
        <v>74</v>
      </c>
      <c r="AX456" t="s">
        <v>74</v>
      </c>
      <c r="AY456" t="s">
        <v>74</v>
      </c>
      <c r="AZ456" t="s">
        <v>74</v>
      </c>
      <c r="BA456" t="s">
        <v>74</v>
      </c>
      <c r="BB456">
        <v>151</v>
      </c>
      <c r="BC456">
        <v>166</v>
      </c>
      <c r="BD456" t="s">
        <v>74</v>
      </c>
      <c r="BE456" t="s">
        <v>9209</v>
      </c>
      <c r="BF456" t="str">
        <f>HYPERLINK("http://dx.doi.org/10.3354/meps12215","http://dx.doi.org/10.3354/meps12215")</f>
        <v>http://dx.doi.org/10.3354/meps12215</v>
      </c>
      <c r="BG456" t="s">
        <v>74</v>
      </c>
      <c r="BH456" t="s">
        <v>74</v>
      </c>
      <c r="BI456">
        <v>16</v>
      </c>
      <c r="BJ456" t="s">
        <v>764</v>
      </c>
      <c r="BK456" t="s">
        <v>101</v>
      </c>
      <c r="BL456" t="s">
        <v>766</v>
      </c>
      <c r="BM456" t="s">
        <v>9139</v>
      </c>
      <c r="BN456" t="s">
        <v>74</v>
      </c>
      <c r="BO456" t="s">
        <v>9210</v>
      </c>
      <c r="BP456" t="s">
        <v>74</v>
      </c>
      <c r="BQ456" t="s">
        <v>74</v>
      </c>
      <c r="BR456" t="s">
        <v>105</v>
      </c>
      <c r="BS456" t="s">
        <v>9211</v>
      </c>
      <c r="BT456" t="str">
        <f>HYPERLINK("https%3A%2F%2Fwww.webofscience.com%2Fwos%2Fwoscc%2Ffull-record%2FWOS:000411308800009","View Full Record in Web of Science")</f>
        <v>View Full Record in Web of Science</v>
      </c>
    </row>
    <row r="457" spans="1:72" x14ac:dyDescent="0.15">
      <c r="A457" t="s">
        <v>72</v>
      </c>
      <c r="B457" t="s">
        <v>9212</v>
      </c>
      <c r="C457" t="s">
        <v>74</v>
      </c>
      <c r="D457" t="s">
        <v>74</v>
      </c>
      <c r="E457" t="s">
        <v>74</v>
      </c>
      <c r="F457" t="s">
        <v>9213</v>
      </c>
      <c r="G457" t="s">
        <v>74</v>
      </c>
      <c r="H457" t="s">
        <v>74</v>
      </c>
      <c r="I457" t="s">
        <v>9214</v>
      </c>
      <c r="J457" t="s">
        <v>743</v>
      </c>
      <c r="K457" t="s">
        <v>74</v>
      </c>
      <c r="L457" t="s">
        <v>74</v>
      </c>
      <c r="M457" t="s">
        <v>78</v>
      </c>
      <c r="N457" t="s">
        <v>79</v>
      </c>
      <c r="O457" t="s">
        <v>74</v>
      </c>
      <c r="P457" t="s">
        <v>74</v>
      </c>
      <c r="Q457" t="s">
        <v>74</v>
      </c>
      <c r="R457" t="s">
        <v>74</v>
      </c>
      <c r="S457" t="s">
        <v>74</v>
      </c>
      <c r="T457" t="s">
        <v>9215</v>
      </c>
      <c r="U457" t="s">
        <v>9216</v>
      </c>
      <c r="V457" t="s">
        <v>9217</v>
      </c>
      <c r="W457" t="s">
        <v>9218</v>
      </c>
      <c r="X457" t="s">
        <v>9219</v>
      </c>
      <c r="Y457" t="s">
        <v>9220</v>
      </c>
      <c r="Z457" t="s">
        <v>9221</v>
      </c>
      <c r="AA457" t="s">
        <v>9222</v>
      </c>
      <c r="AB457" t="s">
        <v>9223</v>
      </c>
      <c r="AC457" t="s">
        <v>9224</v>
      </c>
      <c r="AD457" t="s">
        <v>9225</v>
      </c>
      <c r="AE457" t="s">
        <v>9226</v>
      </c>
      <c r="AF457" t="s">
        <v>74</v>
      </c>
      <c r="AG457">
        <v>51</v>
      </c>
      <c r="AH457">
        <v>29</v>
      </c>
      <c r="AI457">
        <v>32</v>
      </c>
      <c r="AJ457">
        <v>3</v>
      </c>
      <c r="AK457">
        <v>31</v>
      </c>
      <c r="AL457" t="s">
        <v>755</v>
      </c>
      <c r="AM457" t="s">
        <v>756</v>
      </c>
      <c r="AN457" t="s">
        <v>757</v>
      </c>
      <c r="AO457" t="s">
        <v>758</v>
      </c>
      <c r="AP457" t="s">
        <v>759</v>
      </c>
      <c r="AQ457" t="s">
        <v>74</v>
      </c>
      <c r="AR457" t="s">
        <v>760</v>
      </c>
      <c r="AS457" t="s">
        <v>761</v>
      </c>
      <c r="AT457" t="s">
        <v>9137</v>
      </c>
      <c r="AU457">
        <v>2017</v>
      </c>
      <c r="AV457">
        <v>578</v>
      </c>
      <c r="AW457" t="s">
        <v>74</v>
      </c>
      <c r="AX457" t="s">
        <v>74</v>
      </c>
      <c r="AY457" t="s">
        <v>74</v>
      </c>
      <c r="AZ457" t="s">
        <v>74</v>
      </c>
      <c r="BA457" t="s">
        <v>74</v>
      </c>
      <c r="BB457">
        <v>167</v>
      </c>
      <c r="BC457">
        <v>181</v>
      </c>
      <c r="BD457" t="s">
        <v>74</v>
      </c>
      <c r="BE457" t="s">
        <v>9227</v>
      </c>
      <c r="BF457" t="str">
        <f>HYPERLINK("http://dx.doi.org/10.3354/meps12096","http://dx.doi.org/10.3354/meps12096")</f>
        <v>http://dx.doi.org/10.3354/meps12096</v>
      </c>
      <c r="BG457" t="s">
        <v>74</v>
      </c>
      <c r="BH457" t="s">
        <v>74</v>
      </c>
      <c r="BI457">
        <v>15</v>
      </c>
      <c r="BJ457" t="s">
        <v>764</v>
      </c>
      <c r="BK457" t="s">
        <v>101</v>
      </c>
      <c r="BL457" t="s">
        <v>766</v>
      </c>
      <c r="BM457" t="s">
        <v>9139</v>
      </c>
      <c r="BN457" t="s">
        <v>74</v>
      </c>
      <c r="BO457" t="s">
        <v>9228</v>
      </c>
      <c r="BP457" t="s">
        <v>74</v>
      </c>
      <c r="BQ457" t="s">
        <v>74</v>
      </c>
      <c r="BR457" t="s">
        <v>105</v>
      </c>
      <c r="BS457" t="s">
        <v>9229</v>
      </c>
      <c r="BT457" t="str">
        <f>HYPERLINK("https%3A%2F%2Fwww.webofscience.com%2Fwos%2Fwoscc%2Ffull-record%2FWOS:000411308800010","View Full Record in Web of Science")</f>
        <v>View Full Record in Web of Science</v>
      </c>
    </row>
    <row r="458" spans="1:72" x14ac:dyDescent="0.15">
      <c r="A458" t="s">
        <v>72</v>
      </c>
      <c r="B458" t="s">
        <v>9230</v>
      </c>
      <c r="C458" t="s">
        <v>74</v>
      </c>
      <c r="D458" t="s">
        <v>74</v>
      </c>
      <c r="E458" t="s">
        <v>74</v>
      </c>
      <c r="F458" t="s">
        <v>9231</v>
      </c>
      <c r="G458" t="s">
        <v>74</v>
      </c>
      <c r="H458" t="s">
        <v>74</v>
      </c>
      <c r="I458" t="s">
        <v>9232</v>
      </c>
      <c r="J458" t="s">
        <v>860</v>
      </c>
      <c r="K458" t="s">
        <v>74</v>
      </c>
      <c r="L458" t="s">
        <v>74</v>
      </c>
      <c r="M458" t="s">
        <v>78</v>
      </c>
      <c r="N458" t="s">
        <v>79</v>
      </c>
      <c r="O458" t="s">
        <v>74</v>
      </c>
      <c r="P458" t="s">
        <v>74</v>
      </c>
      <c r="Q458" t="s">
        <v>74</v>
      </c>
      <c r="R458" t="s">
        <v>74</v>
      </c>
      <c r="S458" t="s">
        <v>74</v>
      </c>
      <c r="T458" t="s">
        <v>74</v>
      </c>
      <c r="U458" t="s">
        <v>9233</v>
      </c>
      <c r="V458" t="s">
        <v>9234</v>
      </c>
      <c r="W458" t="s">
        <v>9235</v>
      </c>
      <c r="X458" t="s">
        <v>9236</v>
      </c>
      <c r="Y458" t="s">
        <v>9237</v>
      </c>
      <c r="Z458" t="s">
        <v>9238</v>
      </c>
      <c r="AA458" t="s">
        <v>9239</v>
      </c>
      <c r="AB458" t="s">
        <v>9240</v>
      </c>
      <c r="AC458" t="s">
        <v>9241</v>
      </c>
      <c r="AD458" t="s">
        <v>9242</v>
      </c>
      <c r="AE458" t="s">
        <v>9243</v>
      </c>
      <c r="AF458" t="s">
        <v>74</v>
      </c>
      <c r="AG458">
        <v>56</v>
      </c>
      <c r="AH458">
        <v>19</v>
      </c>
      <c r="AI458">
        <v>19</v>
      </c>
      <c r="AJ458">
        <v>0</v>
      </c>
      <c r="AK458">
        <v>18</v>
      </c>
      <c r="AL458" t="s">
        <v>872</v>
      </c>
      <c r="AM458" t="s">
        <v>873</v>
      </c>
      <c r="AN458" t="s">
        <v>874</v>
      </c>
      <c r="AO458" t="s">
        <v>875</v>
      </c>
      <c r="AP458" t="s">
        <v>74</v>
      </c>
      <c r="AQ458" t="s">
        <v>74</v>
      </c>
      <c r="AR458" t="s">
        <v>860</v>
      </c>
      <c r="AS458" t="s">
        <v>876</v>
      </c>
      <c r="AT458" t="s">
        <v>9244</v>
      </c>
      <c r="AU458">
        <v>2017</v>
      </c>
      <c r="AV458">
        <v>12</v>
      </c>
      <c r="AW458">
        <v>8</v>
      </c>
      <c r="AX458" t="s">
        <v>74</v>
      </c>
      <c r="AY458" t="s">
        <v>74</v>
      </c>
      <c r="AZ458" t="s">
        <v>74</v>
      </c>
      <c r="BA458" t="s">
        <v>74</v>
      </c>
      <c r="BB458" t="s">
        <v>74</v>
      </c>
      <c r="BC458" t="s">
        <v>74</v>
      </c>
      <c r="BD458" t="s">
        <v>9245</v>
      </c>
      <c r="BE458" t="s">
        <v>9246</v>
      </c>
      <c r="BF458" t="str">
        <f>HYPERLINK("http://dx.doi.org/10.1371/journal.pone.0184305","http://dx.doi.org/10.1371/journal.pone.0184305")</f>
        <v>http://dx.doi.org/10.1371/journal.pone.0184305</v>
      </c>
      <c r="BG458" t="s">
        <v>74</v>
      </c>
      <c r="BH458" t="s">
        <v>74</v>
      </c>
      <c r="BI458">
        <v>23</v>
      </c>
      <c r="BJ458" t="s">
        <v>190</v>
      </c>
      <c r="BK458" t="s">
        <v>101</v>
      </c>
      <c r="BL458" t="s">
        <v>191</v>
      </c>
      <c r="BM458" t="s">
        <v>9247</v>
      </c>
      <c r="BN458">
        <v>28854242</v>
      </c>
      <c r="BO458" t="s">
        <v>3495</v>
      </c>
      <c r="BP458" t="s">
        <v>74</v>
      </c>
      <c r="BQ458" t="s">
        <v>74</v>
      </c>
      <c r="BR458" t="s">
        <v>105</v>
      </c>
      <c r="BS458" t="s">
        <v>9248</v>
      </c>
      <c r="BT458" t="str">
        <f>HYPERLINK("https%3A%2F%2Fwww.webofscience.com%2Fwos%2Fwoscc%2Ffull-record%2FWOS:000408693600090","View Full Record in Web of Science")</f>
        <v>View Full Record in Web of Science</v>
      </c>
    </row>
    <row r="459" spans="1:72" x14ac:dyDescent="0.15">
      <c r="A459" t="s">
        <v>72</v>
      </c>
      <c r="B459" t="s">
        <v>9249</v>
      </c>
      <c r="C459" t="s">
        <v>74</v>
      </c>
      <c r="D459" t="s">
        <v>74</v>
      </c>
      <c r="E459" t="s">
        <v>74</v>
      </c>
      <c r="F459" t="s">
        <v>9250</v>
      </c>
      <c r="G459" t="s">
        <v>74</v>
      </c>
      <c r="H459" t="s">
        <v>74</v>
      </c>
      <c r="I459" t="s">
        <v>9251</v>
      </c>
      <c r="J459" t="s">
        <v>5454</v>
      </c>
      <c r="K459" t="s">
        <v>74</v>
      </c>
      <c r="L459" t="s">
        <v>74</v>
      </c>
      <c r="M459" t="s">
        <v>78</v>
      </c>
      <c r="N459" t="s">
        <v>79</v>
      </c>
      <c r="O459" t="s">
        <v>74</v>
      </c>
      <c r="P459" t="s">
        <v>74</v>
      </c>
      <c r="Q459" t="s">
        <v>74</v>
      </c>
      <c r="R459" t="s">
        <v>74</v>
      </c>
      <c r="S459" t="s">
        <v>74</v>
      </c>
      <c r="T459" t="s">
        <v>9252</v>
      </c>
      <c r="U459" t="s">
        <v>9253</v>
      </c>
      <c r="V459" t="s">
        <v>9254</v>
      </c>
      <c r="W459" t="s">
        <v>9255</v>
      </c>
      <c r="X459" t="s">
        <v>9256</v>
      </c>
      <c r="Y459" t="s">
        <v>9257</v>
      </c>
      <c r="Z459" t="s">
        <v>9258</v>
      </c>
      <c r="AA459" t="s">
        <v>9259</v>
      </c>
      <c r="AB459" t="s">
        <v>9260</v>
      </c>
      <c r="AC459" t="s">
        <v>9261</v>
      </c>
      <c r="AD459" t="s">
        <v>9262</v>
      </c>
      <c r="AE459" t="s">
        <v>9263</v>
      </c>
      <c r="AF459" t="s">
        <v>74</v>
      </c>
      <c r="AG459">
        <v>40</v>
      </c>
      <c r="AH459">
        <v>9</v>
      </c>
      <c r="AI459">
        <v>9</v>
      </c>
      <c r="AJ459">
        <v>0</v>
      </c>
      <c r="AK459">
        <v>1</v>
      </c>
      <c r="AL459" t="s">
        <v>804</v>
      </c>
      <c r="AM459" t="s">
        <v>805</v>
      </c>
      <c r="AN459" t="s">
        <v>806</v>
      </c>
      <c r="AO459" t="s">
        <v>5467</v>
      </c>
      <c r="AP459" t="s">
        <v>5468</v>
      </c>
      <c r="AQ459" t="s">
        <v>74</v>
      </c>
      <c r="AR459" t="s">
        <v>5454</v>
      </c>
      <c r="AS459" t="s">
        <v>5469</v>
      </c>
      <c r="AT459" t="s">
        <v>9244</v>
      </c>
      <c r="AU459">
        <v>2017</v>
      </c>
      <c r="AV459">
        <v>4312</v>
      </c>
      <c r="AW459">
        <v>3</v>
      </c>
      <c r="AX459" t="s">
        <v>74</v>
      </c>
      <c r="AY459" t="s">
        <v>74</v>
      </c>
      <c r="AZ459" t="s">
        <v>74</v>
      </c>
      <c r="BA459" t="s">
        <v>74</v>
      </c>
      <c r="BB459">
        <v>580</v>
      </c>
      <c r="BC459">
        <v>594</v>
      </c>
      <c r="BD459" t="s">
        <v>74</v>
      </c>
      <c r="BE459" t="s">
        <v>9264</v>
      </c>
      <c r="BF459" t="str">
        <f>HYPERLINK("http://dx.doi.org/10.11646/zootaxa.4312.3.11","http://dx.doi.org/10.11646/zootaxa.4312.3.11")</f>
        <v>http://dx.doi.org/10.11646/zootaxa.4312.3.11</v>
      </c>
      <c r="BG459" t="s">
        <v>74</v>
      </c>
      <c r="BH459" t="s">
        <v>74</v>
      </c>
      <c r="BI459">
        <v>15</v>
      </c>
      <c r="BJ459" t="s">
        <v>2802</v>
      </c>
      <c r="BK459" t="s">
        <v>101</v>
      </c>
      <c r="BL459" t="s">
        <v>2802</v>
      </c>
      <c r="BM459" t="s">
        <v>9265</v>
      </c>
      <c r="BN459" t="s">
        <v>74</v>
      </c>
      <c r="BO459" t="s">
        <v>2091</v>
      </c>
      <c r="BP459" t="s">
        <v>74</v>
      </c>
      <c r="BQ459" t="s">
        <v>74</v>
      </c>
      <c r="BR459" t="s">
        <v>105</v>
      </c>
      <c r="BS459" t="s">
        <v>9266</v>
      </c>
      <c r="BT459" t="str">
        <f>HYPERLINK("https%3A%2F%2Fwww.webofscience.com%2Fwos%2Fwoscc%2Ffull-record%2FWOS:000408571000011","View Full Record in Web of Science")</f>
        <v>View Full Record in Web of Science</v>
      </c>
    </row>
    <row r="460" spans="1:72" x14ac:dyDescent="0.15">
      <c r="A460" t="s">
        <v>72</v>
      </c>
      <c r="B460" t="s">
        <v>9267</v>
      </c>
      <c r="C460" t="s">
        <v>74</v>
      </c>
      <c r="D460" t="s">
        <v>74</v>
      </c>
      <c r="E460" t="s">
        <v>74</v>
      </c>
      <c r="F460" t="s">
        <v>9268</v>
      </c>
      <c r="G460" t="s">
        <v>74</v>
      </c>
      <c r="H460" t="s">
        <v>74</v>
      </c>
      <c r="I460" t="s">
        <v>9269</v>
      </c>
      <c r="J460" t="s">
        <v>9270</v>
      </c>
      <c r="K460" t="s">
        <v>74</v>
      </c>
      <c r="L460" t="s">
        <v>74</v>
      </c>
      <c r="M460" t="s">
        <v>78</v>
      </c>
      <c r="N460" t="s">
        <v>79</v>
      </c>
      <c r="O460" t="s">
        <v>74</v>
      </c>
      <c r="P460" t="s">
        <v>74</v>
      </c>
      <c r="Q460" t="s">
        <v>74</v>
      </c>
      <c r="R460" t="s">
        <v>74</v>
      </c>
      <c r="S460" t="s">
        <v>74</v>
      </c>
      <c r="T460" t="s">
        <v>9271</v>
      </c>
      <c r="U460" t="s">
        <v>9272</v>
      </c>
      <c r="V460" t="s">
        <v>9273</v>
      </c>
      <c r="W460" t="s">
        <v>9274</v>
      </c>
      <c r="X460" t="s">
        <v>9275</v>
      </c>
      <c r="Y460" t="s">
        <v>9276</v>
      </c>
      <c r="Z460" t="s">
        <v>9277</v>
      </c>
      <c r="AA460" t="s">
        <v>9278</v>
      </c>
      <c r="AB460" t="s">
        <v>74</v>
      </c>
      <c r="AC460" t="s">
        <v>9279</v>
      </c>
      <c r="AD460" t="s">
        <v>9280</v>
      </c>
      <c r="AE460" t="s">
        <v>9281</v>
      </c>
      <c r="AF460" t="s">
        <v>74</v>
      </c>
      <c r="AG460">
        <v>39</v>
      </c>
      <c r="AH460">
        <v>4</v>
      </c>
      <c r="AI460">
        <v>4</v>
      </c>
      <c r="AJ460">
        <v>8</v>
      </c>
      <c r="AK460">
        <v>66</v>
      </c>
      <c r="AL460" t="s">
        <v>1338</v>
      </c>
      <c r="AM460" t="s">
        <v>1339</v>
      </c>
      <c r="AN460" t="s">
        <v>1340</v>
      </c>
      <c r="AO460" t="s">
        <v>9282</v>
      </c>
      <c r="AP460" t="s">
        <v>9283</v>
      </c>
      <c r="AQ460" t="s">
        <v>74</v>
      </c>
      <c r="AR460" t="s">
        <v>9284</v>
      </c>
      <c r="AS460" t="s">
        <v>9285</v>
      </c>
      <c r="AT460" t="s">
        <v>9244</v>
      </c>
      <c r="AU460">
        <v>2017</v>
      </c>
      <c r="AV460">
        <v>97</v>
      </c>
      <c r="AW460">
        <v>11</v>
      </c>
      <c r="AX460" t="s">
        <v>74</v>
      </c>
      <c r="AY460" t="s">
        <v>74</v>
      </c>
      <c r="AZ460" t="s">
        <v>74</v>
      </c>
      <c r="BA460" t="s">
        <v>74</v>
      </c>
      <c r="BB460">
        <v>3546</v>
      </c>
      <c r="BC460">
        <v>3551</v>
      </c>
      <c r="BD460" t="s">
        <v>74</v>
      </c>
      <c r="BE460" t="s">
        <v>9286</v>
      </c>
      <c r="BF460" t="str">
        <f>HYPERLINK("http://dx.doi.org/10.1002/jsfa.8209","http://dx.doi.org/10.1002/jsfa.8209")</f>
        <v>http://dx.doi.org/10.1002/jsfa.8209</v>
      </c>
      <c r="BG460" t="s">
        <v>74</v>
      </c>
      <c r="BH460" t="s">
        <v>74</v>
      </c>
      <c r="BI460">
        <v>6</v>
      </c>
      <c r="BJ460" t="s">
        <v>9287</v>
      </c>
      <c r="BK460" t="s">
        <v>101</v>
      </c>
      <c r="BL460" t="s">
        <v>9288</v>
      </c>
      <c r="BM460" t="s">
        <v>9289</v>
      </c>
      <c r="BN460">
        <v>28078684</v>
      </c>
      <c r="BO460" t="s">
        <v>74</v>
      </c>
      <c r="BP460" t="s">
        <v>74</v>
      </c>
      <c r="BQ460" t="s">
        <v>74</v>
      </c>
      <c r="BR460" t="s">
        <v>105</v>
      </c>
      <c r="BS460" t="s">
        <v>9290</v>
      </c>
      <c r="BT460" t="str">
        <f>HYPERLINK("https%3A%2F%2Fwww.webofscience.com%2Fwos%2Fwoscc%2Ffull-record%2FWOS:000405415600008","View Full Record in Web of Science")</f>
        <v>View Full Record in Web of Science</v>
      </c>
    </row>
    <row r="461" spans="1:72" x14ac:dyDescent="0.15">
      <c r="A461" t="s">
        <v>72</v>
      </c>
      <c r="B461" t="s">
        <v>9291</v>
      </c>
      <c r="C461" t="s">
        <v>74</v>
      </c>
      <c r="D461" t="s">
        <v>74</v>
      </c>
      <c r="E461" t="s">
        <v>74</v>
      </c>
      <c r="F461" t="s">
        <v>9292</v>
      </c>
      <c r="G461" t="s">
        <v>74</v>
      </c>
      <c r="H461" t="s">
        <v>74</v>
      </c>
      <c r="I461" t="s">
        <v>9293</v>
      </c>
      <c r="J461" t="s">
        <v>860</v>
      </c>
      <c r="K461" t="s">
        <v>74</v>
      </c>
      <c r="L461" t="s">
        <v>74</v>
      </c>
      <c r="M461" t="s">
        <v>78</v>
      </c>
      <c r="N461" t="s">
        <v>79</v>
      </c>
      <c r="O461" t="s">
        <v>74</v>
      </c>
      <c r="P461" t="s">
        <v>74</v>
      </c>
      <c r="Q461" t="s">
        <v>74</v>
      </c>
      <c r="R461" t="s">
        <v>74</v>
      </c>
      <c r="S461" t="s">
        <v>74</v>
      </c>
      <c r="T461" t="s">
        <v>74</v>
      </c>
      <c r="U461" t="s">
        <v>9294</v>
      </c>
      <c r="V461" t="s">
        <v>9295</v>
      </c>
      <c r="W461" t="s">
        <v>9296</v>
      </c>
      <c r="X461" t="s">
        <v>9297</v>
      </c>
      <c r="Y461" t="s">
        <v>9298</v>
      </c>
      <c r="Z461" t="s">
        <v>9299</v>
      </c>
      <c r="AA461" t="s">
        <v>9300</v>
      </c>
      <c r="AB461" t="s">
        <v>9301</v>
      </c>
      <c r="AC461" t="s">
        <v>9302</v>
      </c>
      <c r="AD461" t="s">
        <v>9303</v>
      </c>
      <c r="AE461" t="s">
        <v>9304</v>
      </c>
      <c r="AF461" t="s">
        <v>74</v>
      </c>
      <c r="AG461">
        <v>66</v>
      </c>
      <c r="AH461">
        <v>14</v>
      </c>
      <c r="AI461">
        <v>14</v>
      </c>
      <c r="AJ461">
        <v>1</v>
      </c>
      <c r="AK461">
        <v>15</v>
      </c>
      <c r="AL461" t="s">
        <v>872</v>
      </c>
      <c r="AM461" t="s">
        <v>873</v>
      </c>
      <c r="AN461" t="s">
        <v>874</v>
      </c>
      <c r="AO461" t="s">
        <v>875</v>
      </c>
      <c r="AP461" t="s">
        <v>74</v>
      </c>
      <c r="AQ461" t="s">
        <v>74</v>
      </c>
      <c r="AR461" t="s">
        <v>860</v>
      </c>
      <c r="AS461" t="s">
        <v>876</v>
      </c>
      <c r="AT461" t="s">
        <v>9305</v>
      </c>
      <c r="AU461">
        <v>2017</v>
      </c>
      <c r="AV461">
        <v>12</v>
      </c>
      <c r="AW461">
        <v>8</v>
      </c>
      <c r="AX461" t="s">
        <v>74</v>
      </c>
      <c r="AY461" t="s">
        <v>74</v>
      </c>
      <c r="AZ461" t="s">
        <v>74</v>
      </c>
      <c r="BA461" t="s">
        <v>74</v>
      </c>
      <c r="BB461" t="s">
        <v>74</v>
      </c>
      <c r="BC461" t="s">
        <v>74</v>
      </c>
      <c r="BD461" t="s">
        <v>9306</v>
      </c>
      <c r="BE461" t="s">
        <v>9307</v>
      </c>
      <c r="BF461" t="str">
        <f>HYPERLINK("http://dx.doi.org/10.1371/journal.pone.0183848","http://dx.doi.org/10.1371/journal.pone.0183848")</f>
        <v>http://dx.doi.org/10.1371/journal.pone.0183848</v>
      </c>
      <c r="BG461" t="s">
        <v>74</v>
      </c>
      <c r="BH461" t="s">
        <v>74</v>
      </c>
      <c r="BI461">
        <v>20</v>
      </c>
      <c r="BJ461" t="s">
        <v>190</v>
      </c>
      <c r="BK461" t="s">
        <v>101</v>
      </c>
      <c r="BL461" t="s">
        <v>191</v>
      </c>
      <c r="BM461" t="s">
        <v>9308</v>
      </c>
      <c r="BN461">
        <v>28850607</v>
      </c>
      <c r="BO461" t="s">
        <v>432</v>
      </c>
      <c r="BP461" t="s">
        <v>74</v>
      </c>
      <c r="BQ461" t="s">
        <v>74</v>
      </c>
      <c r="BR461" t="s">
        <v>105</v>
      </c>
      <c r="BS461" t="s">
        <v>9309</v>
      </c>
      <c r="BT461" t="str">
        <f>HYPERLINK("https%3A%2F%2Fwww.webofscience.com%2Fwos%2Fwoscc%2Ffull-record%2FWOS:000408544200032","View Full Record in Web of Science")</f>
        <v>View Full Record in Web of Science</v>
      </c>
    </row>
    <row r="462" spans="1:72" x14ac:dyDescent="0.15">
      <c r="A462" t="s">
        <v>72</v>
      </c>
      <c r="B462" t="s">
        <v>9310</v>
      </c>
      <c r="C462" t="s">
        <v>74</v>
      </c>
      <c r="D462" t="s">
        <v>74</v>
      </c>
      <c r="E462" t="s">
        <v>74</v>
      </c>
      <c r="F462" t="s">
        <v>9311</v>
      </c>
      <c r="G462" t="s">
        <v>74</v>
      </c>
      <c r="H462" t="s">
        <v>74</v>
      </c>
      <c r="I462" t="s">
        <v>9312</v>
      </c>
      <c r="J462" t="s">
        <v>77</v>
      </c>
      <c r="K462" t="s">
        <v>74</v>
      </c>
      <c r="L462" t="s">
        <v>74</v>
      </c>
      <c r="M462" t="s">
        <v>78</v>
      </c>
      <c r="N462" t="s">
        <v>79</v>
      </c>
      <c r="O462" t="s">
        <v>74</v>
      </c>
      <c r="P462" t="s">
        <v>74</v>
      </c>
      <c r="Q462" t="s">
        <v>74</v>
      </c>
      <c r="R462" t="s">
        <v>74</v>
      </c>
      <c r="S462" t="s">
        <v>74</v>
      </c>
      <c r="T462" t="s">
        <v>9313</v>
      </c>
      <c r="U462" t="s">
        <v>9314</v>
      </c>
      <c r="V462" t="s">
        <v>9315</v>
      </c>
      <c r="W462" t="s">
        <v>9316</v>
      </c>
      <c r="X462" t="s">
        <v>9317</v>
      </c>
      <c r="Y462" t="s">
        <v>9318</v>
      </c>
      <c r="Z462" t="s">
        <v>9319</v>
      </c>
      <c r="AA462" t="s">
        <v>9320</v>
      </c>
      <c r="AB462" t="s">
        <v>9321</v>
      </c>
      <c r="AC462" t="s">
        <v>9322</v>
      </c>
      <c r="AD462" t="s">
        <v>9323</v>
      </c>
      <c r="AE462" t="s">
        <v>9324</v>
      </c>
      <c r="AF462" t="s">
        <v>74</v>
      </c>
      <c r="AG462">
        <v>49</v>
      </c>
      <c r="AH462">
        <v>44</v>
      </c>
      <c r="AI462">
        <v>45</v>
      </c>
      <c r="AJ462">
        <v>0</v>
      </c>
      <c r="AK462">
        <v>29</v>
      </c>
      <c r="AL462" t="s">
        <v>91</v>
      </c>
      <c r="AM462" t="s">
        <v>92</v>
      </c>
      <c r="AN462" t="s">
        <v>93</v>
      </c>
      <c r="AO462" t="s">
        <v>94</v>
      </c>
      <c r="AP462" t="s">
        <v>95</v>
      </c>
      <c r="AQ462" t="s">
        <v>74</v>
      </c>
      <c r="AR462" t="s">
        <v>96</v>
      </c>
      <c r="AS462" t="s">
        <v>97</v>
      </c>
      <c r="AT462" t="s">
        <v>9325</v>
      </c>
      <c r="AU462">
        <v>2017</v>
      </c>
      <c r="AV462">
        <v>44</v>
      </c>
      <c r="AW462">
        <v>16</v>
      </c>
      <c r="AX462" t="s">
        <v>74</v>
      </c>
      <c r="AY462" t="s">
        <v>74</v>
      </c>
      <c r="AZ462" t="s">
        <v>74</v>
      </c>
      <c r="BA462" t="s">
        <v>74</v>
      </c>
      <c r="BB462">
        <v>8481</v>
      </c>
      <c r="BC462">
        <v>8491</v>
      </c>
      <c r="BD462" t="s">
        <v>74</v>
      </c>
      <c r="BE462" t="s">
        <v>9326</v>
      </c>
      <c r="BF462" t="str">
        <f>HYPERLINK("http://dx.doi.org/10.1002/2017GL074176","http://dx.doi.org/10.1002/2017GL074176")</f>
        <v>http://dx.doi.org/10.1002/2017GL074176</v>
      </c>
      <c r="BG462" t="s">
        <v>74</v>
      </c>
      <c r="BH462" t="s">
        <v>74</v>
      </c>
      <c r="BI462">
        <v>11</v>
      </c>
      <c r="BJ462" t="s">
        <v>100</v>
      </c>
      <c r="BK462" t="s">
        <v>101</v>
      </c>
      <c r="BL462" t="s">
        <v>102</v>
      </c>
      <c r="BM462" t="s">
        <v>9327</v>
      </c>
      <c r="BN462" t="s">
        <v>74</v>
      </c>
      <c r="BO462" t="s">
        <v>164</v>
      </c>
      <c r="BP462" t="s">
        <v>74</v>
      </c>
      <c r="BQ462" t="s">
        <v>74</v>
      </c>
      <c r="BR462" t="s">
        <v>105</v>
      </c>
      <c r="BS462" t="s">
        <v>9328</v>
      </c>
      <c r="BT462" t="str">
        <f>HYPERLINK("https%3A%2F%2Fwww.webofscience.com%2Fwos%2Fwoscc%2Ffull-record%2FWOS:000410658800046","View Full Record in Web of Science")</f>
        <v>View Full Record in Web of Science</v>
      </c>
    </row>
    <row r="463" spans="1:72" x14ac:dyDescent="0.15">
      <c r="A463" t="s">
        <v>72</v>
      </c>
      <c r="B463" t="s">
        <v>9329</v>
      </c>
      <c r="C463" t="s">
        <v>74</v>
      </c>
      <c r="D463" t="s">
        <v>74</v>
      </c>
      <c r="E463" t="s">
        <v>74</v>
      </c>
      <c r="F463" t="s">
        <v>9330</v>
      </c>
      <c r="G463" t="s">
        <v>74</v>
      </c>
      <c r="H463" t="s">
        <v>74</v>
      </c>
      <c r="I463" t="s">
        <v>9331</v>
      </c>
      <c r="J463" t="s">
        <v>77</v>
      </c>
      <c r="K463" t="s">
        <v>74</v>
      </c>
      <c r="L463" t="s">
        <v>74</v>
      </c>
      <c r="M463" t="s">
        <v>78</v>
      </c>
      <c r="N463" t="s">
        <v>79</v>
      </c>
      <c r="O463" t="s">
        <v>74</v>
      </c>
      <c r="P463" t="s">
        <v>74</v>
      </c>
      <c r="Q463" t="s">
        <v>74</v>
      </c>
      <c r="R463" t="s">
        <v>74</v>
      </c>
      <c r="S463" t="s">
        <v>74</v>
      </c>
      <c r="T463" t="s">
        <v>9332</v>
      </c>
      <c r="U463" t="s">
        <v>9333</v>
      </c>
      <c r="V463" t="s">
        <v>9334</v>
      </c>
      <c r="W463" t="s">
        <v>9335</v>
      </c>
      <c r="X463" t="s">
        <v>9336</v>
      </c>
      <c r="Y463" t="s">
        <v>9337</v>
      </c>
      <c r="Z463" t="s">
        <v>9338</v>
      </c>
      <c r="AA463" t="s">
        <v>9339</v>
      </c>
      <c r="AB463" t="s">
        <v>9340</v>
      </c>
      <c r="AC463" t="s">
        <v>9341</v>
      </c>
      <c r="AD463" t="s">
        <v>9342</v>
      </c>
      <c r="AE463" t="s">
        <v>9343</v>
      </c>
      <c r="AF463" t="s">
        <v>74</v>
      </c>
      <c r="AG463">
        <v>58</v>
      </c>
      <c r="AH463">
        <v>22</v>
      </c>
      <c r="AI463">
        <v>23</v>
      </c>
      <c r="AJ463">
        <v>0</v>
      </c>
      <c r="AK463">
        <v>41</v>
      </c>
      <c r="AL463" t="s">
        <v>91</v>
      </c>
      <c r="AM463" t="s">
        <v>92</v>
      </c>
      <c r="AN463" t="s">
        <v>93</v>
      </c>
      <c r="AO463" t="s">
        <v>94</v>
      </c>
      <c r="AP463" t="s">
        <v>95</v>
      </c>
      <c r="AQ463" t="s">
        <v>74</v>
      </c>
      <c r="AR463" t="s">
        <v>96</v>
      </c>
      <c r="AS463" t="s">
        <v>97</v>
      </c>
      <c r="AT463" t="s">
        <v>9325</v>
      </c>
      <c r="AU463">
        <v>2017</v>
      </c>
      <c r="AV463">
        <v>44</v>
      </c>
      <c r="AW463">
        <v>16</v>
      </c>
      <c r="AX463" t="s">
        <v>74</v>
      </c>
      <c r="AY463" t="s">
        <v>74</v>
      </c>
      <c r="AZ463" t="s">
        <v>74</v>
      </c>
      <c r="BA463" t="s">
        <v>74</v>
      </c>
      <c r="BB463">
        <v>8647</v>
      </c>
      <c r="BC463">
        <v>8655</v>
      </c>
      <c r="BD463" t="s">
        <v>74</v>
      </c>
      <c r="BE463" t="s">
        <v>9344</v>
      </c>
      <c r="BF463" t="str">
        <f>HYPERLINK("http://dx.doi.org/10.1002/2017GL074813","http://dx.doi.org/10.1002/2017GL074813")</f>
        <v>http://dx.doi.org/10.1002/2017GL074813</v>
      </c>
      <c r="BG463" t="s">
        <v>74</v>
      </c>
      <c r="BH463" t="s">
        <v>74</v>
      </c>
      <c r="BI463">
        <v>9</v>
      </c>
      <c r="BJ463" t="s">
        <v>100</v>
      </c>
      <c r="BK463" t="s">
        <v>101</v>
      </c>
      <c r="BL463" t="s">
        <v>102</v>
      </c>
      <c r="BM463" t="s">
        <v>9327</v>
      </c>
      <c r="BN463" t="s">
        <v>74</v>
      </c>
      <c r="BO463" t="s">
        <v>164</v>
      </c>
      <c r="BP463" t="s">
        <v>74</v>
      </c>
      <c r="BQ463" t="s">
        <v>74</v>
      </c>
      <c r="BR463" t="s">
        <v>105</v>
      </c>
      <c r="BS463" t="s">
        <v>9345</v>
      </c>
      <c r="BT463" t="str">
        <f>HYPERLINK("https%3A%2F%2Fwww.webofscience.com%2Fwos%2Fwoscc%2Ffull-record%2FWOS:000410658800064","View Full Record in Web of Science")</f>
        <v>View Full Record in Web of Science</v>
      </c>
    </row>
    <row r="464" spans="1:72" x14ac:dyDescent="0.15">
      <c r="A464" t="s">
        <v>72</v>
      </c>
      <c r="B464" t="s">
        <v>9346</v>
      </c>
      <c r="C464" t="s">
        <v>74</v>
      </c>
      <c r="D464" t="s">
        <v>74</v>
      </c>
      <c r="E464" t="s">
        <v>74</v>
      </c>
      <c r="F464" t="s">
        <v>9347</v>
      </c>
      <c r="G464" t="s">
        <v>74</v>
      </c>
      <c r="H464" t="s">
        <v>74</v>
      </c>
      <c r="I464" t="s">
        <v>9348</v>
      </c>
      <c r="J464" t="s">
        <v>437</v>
      </c>
      <c r="K464" t="s">
        <v>74</v>
      </c>
      <c r="L464" t="s">
        <v>74</v>
      </c>
      <c r="M464" t="s">
        <v>78</v>
      </c>
      <c r="N464" t="s">
        <v>79</v>
      </c>
      <c r="O464" t="s">
        <v>74</v>
      </c>
      <c r="P464" t="s">
        <v>74</v>
      </c>
      <c r="Q464" t="s">
        <v>74</v>
      </c>
      <c r="R464" t="s">
        <v>74</v>
      </c>
      <c r="S464" t="s">
        <v>74</v>
      </c>
      <c r="T464" t="s">
        <v>9349</v>
      </c>
      <c r="U464" t="s">
        <v>9350</v>
      </c>
      <c r="V464" t="s">
        <v>9351</v>
      </c>
      <c r="W464" t="s">
        <v>9352</v>
      </c>
      <c r="X464" t="s">
        <v>9353</v>
      </c>
      <c r="Y464" t="s">
        <v>9354</v>
      </c>
      <c r="Z464" t="s">
        <v>9355</v>
      </c>
      <c r="AA464" t="s">
        <v>9356</v>
      </c>
      <c r="AB464" t="s">
        <v>9357</v>
      </c>
      <c r="AC464" t="s">
        <v>9358</v>
      </c>
      <c r="AD464" t="s">
        <v>9359</v>
      </c>
      <c r="AE464" t="s">
        <v>9360</v>
      </c>
      <c r="AF464" t="s">
        <v>74</v>
      </c>
      <c r="AG464">
        <v>55</v>
      </c>
      <c r="AH464">
        <v>53</v>
      </c>
      <c r="AI464">
        <v>56</v>
      </c>
      <c r="AJ464">
        <v>1</v>
      </c>
      <c r="AK464">
        <v>63</v>
      </c>
      <c r="AL464" t="s">
        <v>450</v>
      </c>
      <c r="AM464" t="s">
        <v>451</v>
      </c>
      <c r="AN464" t="s">
        <v>452</v>
      </c>
      <c r="AO464" t="s">
        <v>453</v>
      </c>
      <c r="AP464" t="s">
        <v>74</v>
      </c>
      <c r="AQ464" t="s">
        <v>74</v>
      </c>
      <c r="AR464" t="s">
        <v>454</v>
      </c>
      <c r="AS464" t="s">
        <v>455</v>
      </c>
      <c r="AT464" t="s">
        <v>9325</v>
      </c>
      <c r="AU464">
        <v>2017</v>
      </c>
      <c r="AV464">
        <v>8</v>
      </c>
      <c r="AW464" t="s">
        <v>74</v>
      </c>
      <c r="AX464" t="s">
        <v>74</v>
      </c>
      <c r="AY464" t="s">
        <v>74</v>
      </c>
      <c r="AZ464" t="s">
        <v>74</v>
      </c>
      <c r="BA464" t="s">
        <v>74</v>
      </c>
      <c r="BB464" t="s">
        <v>74</v>
      </c>
      <c r="BC464" t="s">
        <v>74</v>
      </c>
      <c r="BD464">
        <v>1634</v>
      </c>
      <c r="BE464" t="s">
        <v>9361</v>
      </c>
      <c r="BF464" t="str">
        <f>HYPERLINK("http://dx.doi.org/10.3389/fmicb.2017.01634","http://dx.doi.org/10.3389/fmicb.2017.01634")</f>
        <v>http://dx.doi.org/10.3389/fmicb.2017.01634</v>
      </c>
      <c r="BG464" t="s">
        <v>74</v>
      </c>
      <c r="BH464" t="s">
        <v>74</v>
      </c>
      <c r="BI464">
        <v>12</v>
      </c>
      <c r="BJ464" t="s">
        <v>457</v>
      </c>
      <c r="BK464" t="s">
        <v>101</v>
      </c>
      <c r="BL464" t="s">
        <v>457</v>
      </c>
      <c r="BM464" t="s">
        <v>9362</v>
      </c>
      <c r="BN464">
        <v>28894442</v>
      </c>
      <c r="BO464" t="s">
        <v>658</v>
      </c>
      <c r="BP464" t="s">
        <v>74</v>
      </c>
      <c r="BQ464" t="s">
        <v>74</v>
      </c>
      <c r="BR464" t="s">
        <v>105</v>
      </c>
      <c r="BS464" t="s">
        <v>9363</v>
      </c>
      <c r="BT464" t="str">
        <f>HYPERLINK("https%3A%2F%2Fwww.webofscience.com%2Fwos%2Fwoscc%2Ffull-record%2FWOS:000408504300001","View Full Record in Web of Science")</f>
        <v>View Full Record in Web of Science</v>
      </c>
    </row>
    <row r="465" spans="1:72" x14ac:dyDescent="0.15">
      <c r="A465" t="s">
        <v>72</v>
      </c>
      <c r="B465" t="s">
        <v>9364</v>
      </c>
      <c r="C465" t="s">
        <v>74</v>
      </c>
      <c r="D465" t="s">
        <v>74</v>
      </c>
      <c r="E465" t="s">
        <v>74</v>
      </c>
      <c r="F465" t="s">
        <v>9365</v>
      </c>
      <c r="G465" t="s">
        <v>74</v>
      </c>
      <c r="H465" t="s">
        <v>74</v>
      </c>
      <c r="I465" t="s">
        <v>9366</v>
      </c>
      <c r="J465" t="s">
        <v>144</v>
      </c>
      <c r="K465" t="s">
        <v>74</v>
      </c>
      <c r="L465" t="s">
        <v>74</v>
      </c>
      <c r="M465" t="s">
        <v>78</v>
      </c>
      <c r="N465" t="s">
        <v>79</v>
      </c>
      <c r="O465" t="s">
        <v>74</v>
      </c>
      <c r="P465" t="s">
        <v>74</v>
      </c>
      <c r="Q465" t="s">
        <v>74</v>
      </c>
      <c r="R465" t="s">
        <v>74</v>
      </c>
      <c r="S465" t="s">
        <v>74</v>
      </c>
      <c r="T465" t="s">
        <v>74</v>
      </c>
      <c r="U465" t="s">
        <v>9367</v>
      </c>
      <c r="V465" t="s">
        <v>9368</v>
      </c>
      <c r="W465" t="s">
        <v>9369</v>
      </c>
      <c r="X465" t="s">
        <v>9370</v>
      </c>
      <c r="Y465" t="s">
        <v>9371</v>
      </c>
      <c r="Z465" t="s">
        <v>9372</v>
      </c>
      <c r="AA465" t="s">
        <v>9373</v>
      </c>
      <c r="AB465" t="s">
        <v>9374</v>
      </c>
      <c r="AC465" t="s">
        <v>9375</v>
      </c>
      <c r="AD465" t="s">
        <v>9376</v>
      </c>
      <c r="AE465" t="s">
        <v>9377</v>
      </c>
      <c r="AF465" t="s">
        <v>74</v>
      </c>
      <c r="AG465">
        <v>66</v>
      </c>
      <c r="AH465">
        <v>9</v>
      </c>
      <c r="AI465">
        <v>12</v>
      </c>
      <c r="AJ465">
        <v>0</v>
      </c>
      <c r="AK465">
        <v>9</v>
      </c>
      <c r="AL465" t="s">
        <v>91</v>
      </c>
      <c r="AM465" t="s">
        <v>92</v>
      </c>
      <c r="AN465" t="s">
        <v>93</v>
      </c>
      <c r="AO465" t="s">
        <v>156</v>
      </c>
      <c r="AP465" t="s">
        <v>157</v>
      </c>
      <c r="AQ465" t="s">
        <v>74</v>
      </c>
      <c r="AR465" t="s">
        <v>158</v>
      </c>
      <c r="AS465" t="s">
        <v>159</v>
      </c>
      <c r="AT465" t="s">
        <v>9378</v>
      </c>
      <c r="AU465">
        <v>2017</v>
      </c>
      <c r="AV465">
        <v>122</v>
      </c>
      <c r="AW465">
        <v>16</v>
      </c>
      <c r="AX465" t="s">
        <v>74</v>
      </c>
      <c r="AY465" t="s">
        <v>74</v>
      </c>
      <c r="AZ465" t="s">
        <v>74</v>
      </c>
      <c r="BA465" t="s">
        <v>74</v>
      </c>
      <c r="BB465">
        <v>8525</v>
      </c>
      <c r="BC465">
        <v>8542</v>
      </c>
      <c r="BD465" t="s">
        <v>74</v>
      </c>
      <c r="BE465" t="s">
        <v>9379</v>
      </c>
      <c r="BF465" t="str">
        <f>HYPERLINK("http://dx.doi.org/10.1002/2016JD026442","http://dx.doi.org/10.1002/2016JD026442")</f>
        <v>http://dx.doi.org/10.1002/2016JD026442</v>
      </c>
      <c r="BG465" t="s">
        <v>74</v>
      </c>
      <c r="BH465" t="s">
        <v>74</v>
      </c>
      <c r="BI465">
        <v>18</v>
      </c>
      <c r="BJ465" t="s">
        <v>162</v>
      </c>
      <c r="BK465" t="s">
        <v>101</v>
      </c>
      <c r="BL465" t="s">
        <v>162</v>
      </c>
      <c r="BM465" t="s">
        <v>9380</v>
      </c>
      <c r="BN465" t="s">
        <v>74</v>
      </c>
      <c r="BO465" t="s">
        <v>74</v>
      </c>
      <c r="BP465" t="s">
        <v>74</v>
      </c>
      <c r="BQ465" t="s">
        <v>74</v>
      </c>
      <c r="BR465" t="s">
        <v>105</v>
      </c>
      <c r="BS465" t="s">
        <v>9381</v>
      </c>
      <c r="BT465" t="str">
        <f>HYPERLINK("https%3A%2F%2Fwww.webofscience.com%2Fwos%2Fwoscc%2Ffull-record%2FWOS:000416382800010","View Full Record in Web of Science")</f>
        <v>View Full Record in Web of Science</v>
      </c>
    </row>
    <row r="466" spans="1:72" x14ac:dyDescent="0.15">
      <c r="A466" t="s">
        <v>72</v>
      </c>
      <c r="B466" t="s">
        <v>9382</v>
      </c>
      <c r="C466" t="s">
        <v>74</v>
      </c>
      <c r="D466" t="s">
        <v>74</v>
      </c>
      <c r="E466" t="s">
        <v>74</v>
      </c>
      <c r="F466" t="s">
        <v>9383</v>
      </c>
      <c r="G466" t="s">
        <v>74</v>
      </c>
      <c r="H466" t="s">
        <v>74</v>
      </c>
      <c r="I466" t="s">
        <v>9384</v>
      </c>
      <c r="J466" t="s">
        <v>144</v>
      </c>
      <c r="K466" t="s">
        <v>74</v>
      </c>
      <c r="L466" t="s">
        <v>74</v>
      </c>
      <c r="M466" t="s">
        <v>78</v>
      </c>
      <c r="N466" t="s">
        <v>79</v>
      </c>
      <c r="O466" t="s">
        <v>74</v>
      </c>
      <c r="P466" t="s">
        <v>74</v>
      </c>
      <c r="Q466" t="s">
        <v>74</v>
      </c>
      <c r="R466" t="s">
        <v>74</v>
      </c>
      <c r="S466" t="s">
        <v>74</v>
      </c>
      <c r="T466" t="s">
        <v>74</v>
      </c>
      <c r="U466" t="s">
        <v>9385</v>
      </c>
      <c r="V466" t="s">
        <v>9386</v>
      </c>
      <c r="W466" t="s">
        <v>9387</v>
      </c>
      <c r="X466" t="s">
        <v>9388</v>
      </c>
      <c r="Y466" t="s">
        <v>9389</v>
      </c>
      <c r="Z466" t="s">
        <v>9390</v>
      </c>
      <c r="AA466" t="s">
        <v>9391</v>
      </c>
      <c r="AB466" t="s">
        <v>9392</v>
      </c>
      <c r="AC466" t="s">
        <v>9393</v>
      </c>
      <c r="AD466" t="s">
        <v>9394</v>
      </c>
      <c r="AE466" t="s">
        <v>9395</v>
      </c>
      <c r="AF466" t="s">
        <v>74</v>
      </c>
      <c r="AG466">
        <v>94</v>
      </c>
      <c r="AH466">
        <v>7</v>
      </c>
      <c r="AI466">
        <v>7</v>
      </c>
      <c r="AJ466">
        <v>0</v>
      </c>
      <c r="AK466">
        <v>9</v>
      </c>
      <c r="AL466" t="s">
        <v>91</v>
      </c>
      <c r="AM466" t="s">
        <v>92</v>
      </c>
      <c r="AN466" t="s">
        <v>93</v>
      </c>
      <c r="AO466" t="s">
        <v>156</v>
      </c>
      <c r="AP466" t="s">
        <v>157</v>
      </c>
      <c r="AQ466" t="s">
        <v>74</v>
      </c>
      <c r="AR466" t="s">
        <v>158</v>
      </c>
      <c r="AS466" t="s">
        <v>159</v>
      </c>
      <c r="AT466" t="s">
        <v>9378</v>
      </c>
      <c r="AU466">
        <v>2017</v>
      </c>
      <c r="AV466">
        <v>122</v>
      </c>
      <c r="AW466">
        <v>16</v>
      </c>
      <c r="AX466" t="s">
        <v>74</v>
      </c>
      <c r="AY466" t="s">
        <v>74</v>
      </c>
      <c r="AZ466" t="s">
        <v>74</v>
      </c>
      <c r="BA466" t="s">
        <v>74</v>
      </c>
      <c r="BB466">
        <v>8593</v>
      </c>
      <c r="BC466">
        <v>8616</v>
      </c>
      <c r="BD466" t="s">
        <v>74</v>
      </c>
      <c r="BE466" t="s">
        <v>9396</v>
      </c>
      <c r="BF466" t="str">
        <f>HYPERLINK("http://dx.doi.org/10.1002/2017JD026704","http://dx.doi.org/10.1002/2017JD026704")</f>
        <v>http://dx.doi.org/10.1002/2017JD026704</v>
      </c>
      <c r="BG466" t="s">
        <v>74</v>
      </c>
      <c r="BH466" t="s">
        <v>74</v>
      </c>
      <c r="BI466">
        <v>24</v>
      </c>
      <c r="BJ466" t="s">
        <v>162</v>
      </c>
      <c r="BK466" t="s">
        <v>101</v>
      </c>
      <c r="BL466" t="s">
        <v>162</v>
      </c>
      <c r="BM466" t="s">
        <v>9380</v>
      </c>
      <c r="BN466" t="s">
        <v>74</v>
      </c>
      <c r="BO466" t="s">
        <v>1170</v>
      </c>
      <c r="BP466" t="s">
        <v>74</v>
      </c>
      <c r="BQ466" t="s">
        <v>74</v>
      </c>
      <c r="BR466" t="s">
        <v>105</v>
      </c>
      <c r="BS466" t="s">
        <v>9397</v>
      </c>
      <c r="BT466" t="str">
        <f>HYPERLINK("https%3A%2F%2Fwww.webofscience.com%2Fwos%2Fwoscc%2Ffull-record%2FWOS:000416382800013","View Full Record in Web of Science")</f>
        <v>View Full Record in Web of Science</v>
      </c>
    </row>
    <row r="467" spans="1:72" x14ac:dyDescent="0.15">
      <c r="A467" t="s">
        <v>72</v>
      </c>
      <c r="B467" t="s">
        <v>9398</v>
      </c>
      <c r="C467" t="s">
        <v>74</v>
      </c>
      <c r="D467" t="s">
        <v>74</v>
      </c>
      <c r="E467" t="s">
        <v>74</v>
      </c>
      <c r="F467" t="s">
        <v>9399</v>
      </c>
      <c r="G467" t="s">
        <v>74</v>
      </c>
      <c r="H467" t="s">
        <v>74</v>
      </c>
      <c r="I467" t="s">
        <v>9400</v>
      </c>
      <c r="J467" t="s">
        <v>144</v>
      </c>
      <c r="K467" t="s">
        <v>74</v>
      </c>
      <c r="L467" t="s">
        <v>74</v>
      </c>
      <c r="M467" t="s">
        <v>78</v>
      </c>
      <c r="N467" t="s">
        <v>79</v>
      </c>
      <c r="O467" t="s">
        <v>74</v>
      </c>
      <c r="P467" t="s">
        <v>74</v>
      </c>
      <c r="Q467" t="s">
        <v>74</v>
      </c>
      <c r="R467" t="s">
        <v>74</v>
      </c>
      <c r="S467" t="s">
        <v>74</v>
      </c>
      <c r="T467" t="s">
        <v>74</v>
      </c>
      <c r="U467" t="s">
        <v>9401</v>
      </c>
      <c r="V467" t="s">
        <v>9402</v>
      </c>
      <c r="W467" t="s">
        <v>9403</v>
      </c>
      <c r="X467" t="s">
        <v>9404</v>
      </c>
      <c r="Y467" t="s">
        <v>9405</v>
      </c>
      <c r="Z467" t="s">
        <v>9406</v>
      </c>
      <c r="AA467" t="s">
        <v>9407</v>
      </c>
      <c r="AB467" t="s">
        <v>9408</v>
      </c>
      <c r="AC467" t="s">
        <v>9409</v>
      </c>
      <c r="AD467" t="s">
        <v>9410</v>
      </c>
      <c r="AE467" t="s">
        <v>9411</v>
      </c>
      <c r="AF467" t="s">
        <v>74</v>
      </c>
      <c r="AG467">
        <v>55</v>
      </c>
      <c r="AH467">
        <v>25</v>
      </c>
      <c r="AI467">
        <v>28</v>
      </c>
      <c r="AJ467">
        <v>6</v>
      </c>
      <c r="AK467">
        <v>14</v>
      </c>
      <c r="AL467" t="s">
        <v>91</v>
      </c>
      <c r="AM467" t="s">
        <v>92</v>
      </c>
      <c r="AN467" t="s">
        <v>93</v>
      </c>
      <c r="AO467" t="s">
        <v>156</v>
      </c>
      <c r="AP467" t="s">
        <v>157</v>
      </c>
      <c r="AQ467" t="s">
        <v>74</v>
      </c>
      <c r="AR467" t="s">
        <v>158</v>
      </c>
      <c r="AS467" t="s">
        <v>159</v>
      </c>
      <c r="AT467" t="s">
        <v>9378</v>
      </c>
      <c r="AU467">
        <v>2017</v>
      </c>
      <c r="AV467">
        <v>122</v>
      </c>
      <c r="AW467">
        <v>16</v>
      </c>
      <c r="AX467" t="s">
        <v>74</v>
      </c>
      <c r="AY467" t="s">
        <v>74</v>
      </c>
      <c r="AZ467" t="s">
        <v>74</v>
      </c>
      <c r="BA467" t="s">
        <v>74</v>
      </c>
      <c r="BB467">
        <v>8908</v>
      </c>
      <c r="BC467">
        <v>8920</v>
      </c>
      <c r="BD467" t="s">
        <v>74</v>
      </c>
      <c r="BE467" t="s">
        <v>9412</v>
      </c>
      <c r="BF467" t="str">
        <f>HYPERLINK("http://dx.doi.org/10.1002/2017JD026893","http://dx.doi.org/10.1002/2017JD026893")</f>
        <v>http://dx.doi.org/10.1002/2017JD026893</v>
      </c>
      <c r="BG467" t="s">
        <v>74</v>
      </c>
      <c r="BH467" t="s">
        <v>74</v>
      </c>
      <c r="BI467">
        <v>13</v>
      </c>
      <c r="BJ467" t="s">
        <v>162</v>
      </c>
      <c r="BK467" t="s">
        <v>101</v>
      </c>
      <c r="BL467" t="s">
        <v>162</v>
      </c>
      <c r="BM467" t="s">
        <v>9380</v>
      </c>
      <c r="BN467" t="s">
        <v>74</v>
      </c>
      <c r="BO467" t="s">
        <v>74</v>
      </c>
      <c r="BP467" t="s">
        <v>74</v>
      </c>
      <c r="BQ467" t="s">
        <v>74</v>
      </c>
      <c r="BR467" t="s">
        <v>105</v>
      </c>
      <c r="BS467" t="s">
        <v>9413</v>
      </c>
      <c r="BT467" t="str">
        <f>HYPERLINK("https%3A%2F%2Fwww.webofscience.com%2Fwos%2Fwoscc%2Ffull-record%2FWOS:000416382800029","View Full Record in Web of Science")</f>
        <v>View Full Record in Web of Science</v>
      </c>
    </row>
    <row r="468" spans="1:72" x14ac:dyDescent="0.15">
      <c r="A468" t="s">
        <v>72</v>
      </c>
      <c r="B468" t="s">
        <v>9414</v>
      </c>
      <c r="C468" t="s">
        <v>74</v>
      </c>
      <c r="D468" t="s">
        <v>74</v>
      </c>
      <c r="E468" t="s">
        <v>74</v>
      </c>
      <c r="F468" t="s">
        <v>9415</v>
      </c>
      <c r="G468" t="s">
        <v>74</v>
      </c>
      <c r="H468" t="s">
        <v>74</v>
      </c>
      <c r="I468" t="s">
        <v>9416</v>
      </c>
      <c r="J468" t="s">
        <v>144</v>
      </c>
      <c r="K468" t="s">
        <v>74</v>
      </c>
      <c r="L468" t="s">
        <v>74</v>
      </c>
      <c r="M468" t="s">
        <v>78</v>
      </c>
      <c r="N468" t="s">
        <v>79</v>
      </c>
      <c r="O468" t="s">
        <v>74</v>
      </c>
      <c r="P468" t="s">
        <v>74</v>
      </c>
      <c r="Q468" t="s">
        <v>74</v>
      </c>
      <c r="R468" t="s">
        <v>74</v>
      </c>
      <c r="S468" t="s">
        <v>74</v>
      </c>
      <c r="T468" t="s">
        <v>74</v>
      </c>
      <c r="U468" t="s">
        <v>9417</v>
      </c>
      <c r="V468" t="s">
        <v>9418</v>
      </c>
      <c r="W468" t="s">
        <v>9419</v>
      </c>
      <c r="X468" t="s">
        <v>9420</v>
      </c>
      <c r="Y468" t="s">
        <v>9421</v>
      </c>
      <c r="Z468" t="s">
        <v>9422</v>
      </c>
      <c r="AA468" t="s">
        <v>9423</v>
      </c>
      <c r="AB468" t="s">
        <v>9424</v>
      </c>
      <c r="AC468" t="s">
        <v>9425</v>
      </c>
      <c r="AD468" t="s">
        <v>9426</v>
      </c>
      <c r="AE468" t="s">
        <v>9427</v>
      </c>
      <c r="AF468" t="s">
        <v>74</v>
      </c>
      <c r="AG468">
        <v>35</v>
      </c>
      <c r="AH468">
        <v>11</v>
      </c>
      <c r="AI468">
        <v>11</v>
      </c>
      <c r="AJ468">
        <v>1</v>
      </c>
      <c r="AK468">
        <v>6</v>
      </c>
      <c r="AL468" t="s">
        <v>91</v>
      </c>
      <c r="AM468" t="s">
        <v>92</v>
      </c>
      <c r="AN468" t="s">
        <v>93</v>
      </c>
      <c r="AO468" t="s">
        <v>156</v>
      </c>
      <c r="AP468" t="s">
        <v>157</v>
      </c>
      <c r="AQ468" t="s">
        <v>74</v>
      </c>
      <c r="AR468" t="s">
        <v>158</v>
      </c>
      <c r="AS468" t="s">
        <v>159</v>
      </c>
      <c r="AT468" t="s">
        <v>9378</v>
      </c>
      <c r="AU468">
        <v>2017</v>
      </c>
      <c r="AV468">
        <v>122</v>
      </c>
      <c r="AW468">
        <v>16</v>
      </c>
      <c r="AX468" t="s">
        <v>74</v>
      </c>
      <c r="AY468" t="s">
        <v>74</v>
      </c>
      <c r="AZ468" t="s">
        <v>74</v>
      </c>
      <c r="BA468" t="s">
        <v>74</v>
      </c>
      <c r="BB468">
        <v>8940</v>
      </c>
      <c r="BC468">
        <v>8950</v>
      </c>
      <c r="BD468" t="s">
        <v>74</v>
      </c>
      <c r="BE468" t="s">
        <v>9428</v>
      </c>
      <c r="BF468" t="str">
        <f>HYPERLINK("http://dx.doi.org/10.1002/2017JD026719","http://dx.doi.org/10.1002/2017JD026719")</f>
        <v>http://dx.doi.org/10.1002/2017JD026719</v>
      </c>
      <c r="BG468" t="s">
        <v>74</v>
      </c>
      <c r="BH468" t="s">
        <v>74</v>
      </c>
      <c r="BI468">
        <v>11</v>
      </c>
      <c r="BJ468" t="s">
        <v>162</v>
      </c>
      <c r="BK468" t="s">
        <v>101</v>
      </c>
      <c r="BL468" t="s">
        <v>162</v>
      </c>
      <c r="BM468" t="s">
        <v>9380</v>
      </c>
      <c r="BN468" t="s">
        <v>74</v>
      </c>
      <c r="BO468" t="s">
        <v>122</v>
      </c>
      <c r="BP468" t="s">
        <v>74</v>
      </c>
      <c r="BQ468" t="s">
        <v>74</v>
      </c>
      <c r="BR468" t="s">
        <v>105</v>
      </c>
      <c r="BS468" t="s">
        <v>9429</v>
      </c>
      <c r="BT468" t="str">
        <f>HYPERLINK("https%3A%2F%2Fwww.webofscience.com%2Fwos%2Fwoscc%2Ffull-record%2FWOS:000416382800031","View Full Record in Web of Science")</f>
        <v>View Full Record in Web of Science</v>
      </c>
    </row>
    <row r="469" spans="1:72" x14ac:dyDescent="0.15">
      <c r="A469" t="s">
        <v>72</v>
      </c>
      <c r="B469" t="s">
        <v>9430</v>
      </c>
      <c r="C469" t="s">
        <v>74</v>
      </c>
      <c r="D469" t="s">
        <v>74</v>
      </c>
      <c r="E469" t="s">
        <v>74</v>
      </c>
      <c r="F469" t="s">
        <v>9431</v>
      </c>
      <c r="G469" t="s">
        <v>74</v>
      </c>
      <c r="H469" t="s">
        <v>74</v>
      </c>
      <c r="I469" t="s">
        <v>9432</v>
      </c>
      <c r="J469" t="s">
        <v>9433</v>
      </c>
      <c r="K469" t="s">
        <v>74</v>
      </c>
      <c r="L469" t="s">
        <v>74</v>
      </c>
      <c r="M469" t="s">
        <v>78</v>
      </c>
      <c r="N469" t="s">
        <v>79</v>
      </c>
      <c r="O469" t="s">
        <v>74</v>
      </c>
      <c r="P469" t="s">
        <v>74</v>
      </c>
      <c r="Q469" t="s">
        <v>74</v>
      </c>
      <c r="R469" t="s">
        <v>74</v>
      </c>
      <c r="S469" t="s">
        <v>74</v>
      </c>
      <c r="T469" t="s">
        <v>9434</v>
      </c>
      <c r="U469" t="s">
        <v>9435</v>
      </c>
      <c r="V469" t="s">
        <v>9436</v>
      </c>
      <c r="W469" t="s">
        <v>9437</v>
      </c>
      <c r="X469" t="s">
        <v>9438</v>
      </c>
      <c r="Y469" t="s">
        <v>9439</v>
      </c>
      <c r="Z469" t="s">
        <v>9440</v>
      </c>
      <c r="AA469" t="s">
        <v>9441</v>
      </c>
      <c r="AB469" t="s">
        <v>74</v>
      </c>
      <c r="AC469" t="s">
        <v>74</v>
      </c>
      <c r="AD469" t="s">
        <v>74</v>
      </c>
      <c r="AE469" t="s">
        <v>74</v>
      </c>
      <c r="AF469" t="s">
        <v>74</v>
      </c>
      <c r="AG469">
        <v>22</v>
      </c>
      <c r="AH469">
        <v>7</v>
      </c>
      <c r="AI469">
        <v>7</v>
      </c>
      <c r="AJ469">
        <v>0</v>
      </c>
      <c r="AK469">
        <v>6</v>
      </c>
      <c r="AL469" t="s">
        <v>9442</v>
      </c>
      <c r="AM469" t="s">
        <v>9443</v>
      </c>
      <c r="AN469" t="s">
        <v>9444</v>
      </c>
      <c r="AO469" t="s">
        <v>9445</v>
      </c>
      <c r="AP469" t="s">
        <v>74</v>
      </c>
      <c r="AQ469" t="s">
        <v>74</v>
      </c>
      <c r="AR469" t="s">
        <v>9446</v>
      </c>
      <c r="AS469" t="s">
        <v>9447</v>
      </c>
      <c r="AT469" t="s">
        <v>9448</v>
      </c>
      <c r="AU469">
        <v>2017</v>
      </c>
      <c r="AV469">
        <v>113</v>
      </c>
      <c r="AW469">
        <v>4</v>
      </c>
      <c r="AX469" t="s">
        <v>74</v>
      </c>
      <c r="AY469" t="s">
        <v>74</v>
      </c>
      <c r="AZ469" t="s">
        <v>74</v>
      </c>
      <c r="BA469" t="s">
        <v>74</v>
      </c>
      <c r="BB469">
        <v>733</v>
      </c>
      <c r="BC469">
        <v>742</v>
      </c>
      <c r="BD469" t="s">
        <v>74</v>
      </c>
      <c r="BE469" t="s">
        <v>9449</v>
      </c>
      <c r="BF469" t="str">
        <f>HYPERLINK("http://dx.doi.org/10.18520/cs/v113/i04/733-742","http://dx.doi.org/10.18520/cs/v113/i04/733-742")</f>
        <v>http://dx.doi.org/10.18520/cs/v113/i04/733-742</v>
      </c>
      <c r="BG469" t="s">
        <v>74</v>
      </c>
      <c r="BH469" t="s">
        <v>74</v>
      </c>
      <c r="BI469">
        <v>10</v>
      </c>
      <c r="BJ469" t="s">
        <v>190</v>
      </c>
      <c r="BK469" t="s">
        <v>101</v>
      </c>
      <c r="BL469" t="s">
        <v>191</v>
      </c>
      <c r="BM469" t="s">
        <v>9450</v>
      </c>
      <c r="BN469" t="s">
        <v>74</v>
      </c>
      <c r="BO469" t="s">
        <v>104</v>
      </c>
      <c r="BP469" t="s">
        <v>74</v>
      </c>
      <c r="BQ469" t="s">
        <v>74</v>
      </c>
      <c r="BR469" t="s">
        <v>105</v>
      </c>
      <c r="BS469" t="s">
        <v>9451</v>
      </c>
      <c r="BT469" t="str">
        <f>HYPERLINK("https%3A%2F%2Fwww.webofscience.com%2Fwos%2Fwoscc%2Ffull-record%2FWOS:000408204500057","View Full Record in Web of Science")</f>
        <v>View Full Record in Web of Science</v>
      </c>
    </row>
    <row r="470" spans="1:72" x14ac:dyDescent="0.15">
      <c r="A470" t="s">
        <v>72</v>
      </c>
      <c r="B470" t="s">
        <v>9452</v>
      </c>
      <c r="C470" t="s">
        <v>74</v>
      </c>
      <c r="D470" t="s">
        <v>74</v>
      </c>
      <c r="E470" t="s">
        <v>74</v>
      </c>
      <c r="F470" t="s">
        <v>9453</v>
      </c>
      <c r="G470" t="s">
        <v>74</v>
      </c>
      <c r="H470" t="s">
        <v>74</v>
      </c>
      <c r="I470" t="s">
        <v>9454</v>
      </c>
      <c r="J470" t="s">
        <v>9455</v>
      </c>
      <c r="K470" t="s">
        <v>74</v>
      </c>
      <c r="L470" t="s">
        <v>74</v>
      </c>
      <c r="M470" t="s">
        <v>78</v>
      </c>
      <c r="N470" t="s">
        <v>79</v>
      </c>
      <c r="O470" t="s">
        <v>74</v>
      </c>
      <c r="P470" t="s">
        <v>74</v>
      </c>
      <c r="Q470" t="s">
        <v>74</v>
      </c>
      <c r="R470" t="s">
        <v>74</v>
      </c>
      <c r="S470" t="s">
        <v>74</v>
      </c>
      <c r="T470" t="s">
        <v>74</v>
      </c>
      <c r="U470" t="s">
        <v>9456</v>
      </c>
      <c r="V470" t="s">
        <v>9457</v>
      </c>
      <c r="W470" t="s">
        <v>9458</v>
      </c>
      <c r="X470" t="s">
        <v>9459</v>
      </c>
      <c r="Y470" t="s">
        <v>9460</v>
      </c>
      <c r="Z470" t="s">
        <v>9461</v>
      </c>
      <c r="AA470" t="s">
        <v>9462</v>
      </c>
      <c r="AB470" t="s">
        <v>9463</v>
      </c>
      <c r="AC470" t="s">
        <v>9464</v>
      </c>
      <c r="AD470" t="s">
        <v>9465</v>
      </c>
      <c r="AE470" t="s">
        <v>9466</v>
      </c>
      <c r="AF470" t="s">
        <v>74</v>
      </c>
      <c r="AG470">
        <v>43</v>
      </c>
      <c r="AH470">
        <v>3</v>
      </c>
      <c r="AI470">
        <v>3</v>
      </c>
      <c r="AJ470">
        <v>0</v>
      </c>
      <c r="AK470">
        <v>17</v>
      </c>
      <c r="AL470" t="s">
        <v>9467</v>
      </c>
      <c r="AM470" t="s">
        <v>92</v>
      </c>
      <c r="AN470" t="s">
        <v>9468</v>
      </c>
      <c r="AO470" t="s">
        <v>9469</v>
      </c>
      <c r="AP470" t="s">
        <v>74</v>
      </c>
      <c r="AQ470" t="s">
        <v>74</v>
      </c>
      <c r="AR470" t="s">
        <v>9470</v>
      </c>
      <c r="AS470" t="s">
        <v>9471</v>
      </c>
      <c r="AT470" t="s">
        <v>9472</v>
      </c>
      <c r="AU470">
        <v>2017</v>
      </c>
      <c r="AV470">
        <v>121</v>
      </c>
      <c r="AW470">
        <v>33</v>
      </c>
      <c r="AX470" t="s">
        <v>74</v>
      </c>
      <c r="AY470" t="s">
        <v>74</v>
      </c>
      <c r="AZ470" t="s">
        <v>74</v>
      </c>
      <c r="BA470" t="s">
        <v>74</v>
      </c>
      <c r="BB470">
        <v>7855</v>
      </c>
      <c r="BC470">
        <v>7861</v>
      </c>
      <c r="BD470" t="s">
        <v>74</v>
      </c>
      <c r="BE470" t="s">
        <v>9473</v>
      </c>
      <c r="BF470" t="str">
        <f>HYPERLINK("http://dx.doi.org/10.1021/acs.jpcb.7b05769","http://dx.doi.org/10.1021/acs.jpcb.7b05769")</f>
        <v>http://dx.doi.org/10.1021/acs.jpcb.7b05769</v>
      </c>
      <c r="BG470" t="s">
        <v>74</v>
      </c>
      <c r="BH470" t="s">
        <v>74</v>
      </c>
      <c r="BI470">
        <v>7</v>
      </c>
      <c r="BJ470" t="s">
        <v>217</v>
      </c>
      <c r="BK470" t="s">
        <v>101</v>
      </c>
      <c r="BL470" t="s">
        <v>218</v>
      </c>
      <c r="BM470" t="s">
        <v>9474</v>
      </c>
      <c r="BN470">
        <v>28792753</v>
      </c>
      <c r="BO470" t="s">
        <v>164</v>
      </c>
      <c r="BP470" t="s">
        <v>74</v>
      </c>
      <c r="BQ470" t="s">
        <v>74</v>
      </c>
      <c r="BR470" t="s">
        <v>105</v>
      </c>
      <c r="BS470" t="s">
        <v>9475</v>
      </c>
      <c r="BT470" t="str">
        <f>HYPERLINK("https%3A%2F%2Fwww.webofscience.com%2Fwos%2Fwoscc%2Ffull-record%2FWOS:000408598300013","View Full Record in Web of Science")</f>
        <v>View Full Record in Web of Science</v>
      </c>
    </row>
    <row r="471" spans="1:72" x14ac:dyDescent="0.15">
      <c r="A471" t="s">
        <v>72</v>
      </c>
      <c r="B471" t="s">
        <v>9476</v>
      </c>
      <c r="C471" t="s">
        <v>74</v>
      </c>
      <c r="D471" t="s">
        <v>74</v>
      </c>
      <c r="E471" t="s">
        <v>74</v>
      </c>
      <c r="F471" t="s">
        <v>9477</v>
      </c>
      <c r="G471" t="s">
        <v>74</v>
      </c>
      <c r="H471" t="s">
        <v>74</v>
      </c>
      <c r="I471" t="s">
        <v>9478</v>
      </c>
      <c r="J471" t="s">
        <v>169</v>
      </c>
      <c r="K471" t="s">
        <v>74</v>
      </c>
      <c r="L471" t="s">
        <v>74</v>
      </c>
      <c r="M471" t="s">
        <v>78</v>
      </c>
      <c r="N471" t="s">
        <v>79</v>
      </c>
      <c r="O471" t="s">
        <v>74</v>
      </c>
      <c r="P471" t="s">
        <v>74</v>
      </c>
      <c r="Q471" t="s">
        <v>74</v>
      </c>
      <c r="R471" t="s">
        <v>74</v>
      </c>
      <c r="S471" t="s">
        <v>74</v>
      </c>
      <c r="T471" t="s">
        <v>74</v>
      </c>
      <c r="U471" t="s">
        <v>9479</v>
      </c>
      <c r="V471" t="s">
        <v>9480</v>
      </c>
      <c r="W471" t="s">
        <v>9481</v>
      </c>
      <c r="X471" t="s">
        <v>9482</v>
      </c>
      <c r="Y471" t="s">
        <v>9483</v>
      </c>
      <c r="Z471" t="s">
        <v>9484</v>
      </c>
      <c r="AA471" t="s">
        <v>9485</v>
      </c>
      <c r="AB471" t="s">
        <v>9486</v>
      </c>
      <c r="AC471" t="s">
        <v>9487</v>
      </c>
      <c r="AD471" t="s">
        <v>9488</v>
      </c>
      <c r="AE471" t="s">
        <v>9489</v>
      </c>
      <c r="AF471" t="s">
        <v>74</v>
      </c>
      <c r="AG471">
        <v>33</v>
      </c>
      <c r="AH471">
        <v>68</v>
      </c>
      <c r="AI471">
        <v>75</v>
      </c>
      <c r="AJ471">
        <v>6</v>
      </c>
      <c r="AK471">
        <v>79</v>
      </c>
      <c r="AL471" t="s">
        <v>181</v>
      </c>
      <c r="AM471" t="s">
        <v>182</v>
      </c>
      <c r="AN471" t="s">
        <v>183</v>
      </c>
      <c r="AO471" t="s">
        <v>184</v>
      </c>
      <c r="AP471" t="s">
        <v>185</v>
      </c>
      <c r="AQ471" t="s">
        <v>74</v>
      </c>
      <c r="AR471" t="s">
        <v>169</v>
      </c>
      <c r="AS471" t="s">
        <v>186</v>
      </c>
      <c r="AT471" t="s">
        <v>9472</v>
      </c>
      <c r="AU471">
        <v>2017</v>
      </c>
      <c r="AV471">
        <v>548</v>
      </c>
      <c r="AW471">
        <v>7668</v>
      </c>
      <c r="AX471" t="s">
        <v>74</v>
      </c>
      <c r="AY471" t="s">
        <v>74</v>
      </c>
      <c r="AZ471" t="s">
        <v>74</v>
      </c>
      <c r="BA471" t="s">
        <v>74</v>
      </c>
      <c r="BB471">
        <v>443</v>
      </c>
      <c r="BC471">
        <v>446</v>
      </c>
      <c r="BD471" t="s">
        <v>74</v>
      </c>
      <c r="BE471" t="s">
        <v>9490</v>
      </c>
      <c r="BF471" t="str">
        <f>HYPERLINK("http://dx.doi.org/10.1038/nature23316","http://dx.doi.org/10.1038/nature23316")</f>
        <v>http://dx.doi.org/10.1038/nature23316</v>
      </c>
      <c r="BG471" t="s">
        <v>74</v>
      </c>
      <c r="BH471" t="s">
        <v>74</v>
      </c>
      <c r="BI471">
        <v>4</v>
      </c>
      <c r="BJ471" t="s">
        <v>190</v>
      </c>
      <c r="BK471" t="s">
        <v>101</v>
      </c>
      <c r="BL471" t="s">
        <v>191</v>
      </c>
      <c r="BM471" t="s">
        <v>9491</v>
      </c>
      <c r="BN471">
        <v>28836593</v>
      </c>
      <c r="BO471" t="s">
        <v>164</v>
      </c>
      <c r="BP471" t="s">
        <v>74</v>
      </c>
      <c r="BQ471" t="s">
        <v>74</v>
      </c>
      <c r="BR471" t="s">
        <v>105</v>
      </c>
      <c r="BS471" t="s">
        <v>9492</v>
      </c>
      <c r="BT471" t="str">
        <f>HYPERLINK("https%3A%2F%2Fwww.webofscience.com%2Fwos%2Fwoscc%2Ffull-record%2FWOS:000408279000036","View Full Record in Web of Science")</f>
        <v>View Full Record in Web of Science</v>
      </c>
    </row>
    <row r="472" spans="1:72" x14ac:dyDescent="0.15">
      <c r="A472" t="s">
        <v>72</v>
      </c>
      <c r="B472" t="s">
        <v>9493</v>
      </c>
      <c r="C472" t="s">
        <v>74</v>
      </c>
      <c r="D472" t="s">
        <v>74</v>
      </c>
      <c r="E472" t="s">
        <v>74</v>
      </c>
      <c r="F472" t="s">
        <v>9494</v>
      </c>
      <c r="G472" t="s">
        <v>74</v>
      </c>
      <c r="H472" t="s">
        <v>74</v>
      </c>
      <c r="I472" t="s">
        <v>9495</v>
      </c>
      <c r="J472" t="s">
        <v>169</v>
      </c>
      <c r="K472" t="s">
        <v>74</v>
      </c>
      <c r="L472" t="s">
        <v>74</v>
      </c>
      <c r="M472" t="s">
        <v>78</v>
      </c>
      <c r="N472" t="s">
        <v>2737</v>
      </c>
      <c r="O472" t="s">
        <v>74</v>
      </c>
      <c r="P472" t="s">
        <v>74</v>
      </c>
      <c r="Q472" t="s">
        <v>74</v>
      </c>
      <c r="R472" t="s">
        <v>74</v>
      </c>
      <c r="S472" t="s">
        <v>74</v>
      </c>
      <c r="T472" t="s">
        <v>74</v>
      </c>
      <c r="U472" t="s">
        <v>9496</v>
      </c>
      <c r="V472" t="s">
        <v>9497</v>
      </c>
      <c r="W472" t="s">
        <v>9498</v>
      </c>
      <c r="X472" t="s">
        <v>9499</v>
      </c>
      <c r="Y472" t="s">
        <v>9500</v>
      </c>
      <c r="Z472" t="s">
        <v>9501</v>
      </c>
      <c r="AA472" t="s">
        <v>9502</v>
      </c>
      <c r="AB472" t="s">
        <v>9503</v>
      </c>
      <c r="AC472" t="s">
        <v>74</v>
      </c>
      <c r="AD472" t="s">
        <v>74</v>
      </c>
      <c r="AE472" t="s">
        <v>74</v>
      </c>
      <c r="AF472" t="s">
        <v>74</v>
      </c>
      <c r="AG472">
        <v>16</v>
      </c>
      <c r="AH472">
        <v>2</v>
      </c>
      <c r="AI472">
        <v>3</v>
      </c>
      <c r="AJ472">
        <v>0</v>
      </c>
      <c r="AK472">
        <v>32</v>
      </c>
      <c r="AL472" t="s">
        <v>181</v>
      </c>
      <c r="AM472" t="s">
        <v>182</v>
      </c>
      <c r="AN472" t="s">
        <v>183</v>
      </c>
      <c r="AO472" t="s">
        <v>184</v>
      </c>
      <c r="AP472" t="s">
        <v>185</v>
      </c>
      <c r="AQ472" t="s">
        <v>74</v>
      </c>
      <c r="AR472" t="s">
        <v>169</v>
      </c>
      <c r="AS472" t="s">
        <v>186</v>
      </c>
      <c r="AT472" t="s">
        <v>9472</v>
      </c>
      <c r="AU472">
        <v>2017</v>
      </c>
      <c r="AV472">
        <v>548</v>
      </c>
      <c r="AW472">
        <v>7668</v>
      </c>
      <c r="AX472" t="s">
        <v>74</v>
      </c>
      <c r="AY472" t="s">
        <v>74</v>
      </c>
      <c r="AZ472" t="s">
        <v>74</v>
      </c>
      <c r="BA472" t="s">
        <v>74</v>
      </c>
      <c r="BB472">
        <v>403</v>
      </c>
      <c r="BC472">
        <v>404</v>
      </c>
      <c r="BD472" t="s">
        <v>74</v>
      </c>
      <c r="BE472" t="s">
        <v>9504</v>
      </c>
      <c r="BF472" t="str">
        <f>HYPERLINK("http://dx.doi.org/10.1038/548403a","http://dx.doi.org/10.1038/548403a")</f>
        <v>http://dx.doi.org/10.1038/548403a</v>
      </c>
      <c r="BG472" t="s">
        <v>74</v>
      </c>
      <c r="BH472" t="s">
        <v>74</v>
      </c>
      <c r="BI472">
        <v>2</v>
      </c>
      <c r="BJ472" t="s">
        <v>190</v>
      </c>
      <c r="BK472" t="s">
        <v>765</v>
      </c>
      <c r="BL472" t="s">
        <v>191</v>
      </c>
      <c r="BM472" t="s">
        <v>9491</v>
      </c>
      <c r="BN472">
        <v>28836592</v>
      </c>
      <c r="BO472" t="s">
        <v>74</v>
      </c>
      <c r="BP472" t="s">
        <v>74</v>
      </c>
      <c r="BQ472" t="s">
        <v>74</v>
      </c>
      <c r="BR472" t="s">
        <v>105</v>
      </c>
      <c r="BS472" t="s">
        <v>9505</v>
      </c>
      <c r="BT472" t="str">
        <f>HYPERLINK("https%3A%2F%2Fwww.webofscience.com%2Fwos%2Fwoscc%2Ffull-record%2FWOS:000408279000027","View Full Record in Web of Science")</f>
        <v>View Full Record in Web of Science</v>
      </c>
    </row>
    <row r="473" spans="1:72" x14ac:dyDescent="0.15">
      <c r="A473" t="s">
        <v>72</v>
      </c>
      <c r="B473" t="s">
        <v>9506</v>
      </c>
      <c r="C473" t="s">
        <v>74</v>
      </c>
      <c r="D473" t="s">
        <v>74</v>
      </c>
      <c r="E473" t="s">
        <v>74</v>
      </c>
      <c r="F473" t="s">
        <v>9507</v>
      </c>
      <c r="G473" t="s">
        <v>74</v>
      </c>
      <c r="H473" t="s">
        <v>74</v>
      </c>
      <c r="I473" t="s">
        <v>9508</v>
      </c>
      <c r="J473" t="s">
        <v>638</v>
      </c>
      <c r="K473" t="s">
        <v>74</v>
      </c>
      <c r="L473" t="s">
        <v>74</v>
      </c>
      <c r="M473" t="s">
        <v>78</v>
      </c>
      <c r="N473" t="s">
        <v>79</v>
      </c>
      <c r="O473" t="s">
        <v>74</v>
      </c>
      <c r="P473" t="s">
        <v>74</v>
      </c>
      <c r="Q473" t="s">
        <v>74</v>
      </c>
      <c r="R473" t="s">
        <v>74</v>
      </c>
      <c r="S473" t="s">
        <v>74</v>
      </c>
      <c r="T473" t="s">
        <v>74</v>
      </c>
      <c r="U473" t="s">
        <v>9509</v>
      </c>
      <c r="V473" t="s">
        <v>9510</v>
      </c>
      <c r="W473" t="s">
        <v>9511</v>
      </c>
      <c r="X473" t="s">
        <v>9512</v>
      </c>
      <c r="Y473" t="s">
        <v>9513</v>
      </c>
      <c r="Z473" t="s">
        <v>9514</v>
      </c>
      <c r="AA473" t="s">
        <v>9515</v>
      </c>
      <c r="AB473" t="s">
        <v>9516</v>
      </c>
      <c r="AC473" t="s">
        <v>9517</v>
      </c>
      <c r="AD473" t="s">
        <v>9518</v>
      </c>
      <c r="AE473" t="s">
        <v>9519</v>
      </c>
      <c r="AF473" t="s">
        <v>74</v>
      </c>
      <c r="AG473">
        <v>53</v>
      </c>
      <c r="AH473">
        <v>24</v>
      </c>
      <c r="AI473">
        <v>27</v>
      </c>
      <c r="AJ473">
        <v>4</v>
      </c>
      <c r="AK473">
        <v>43</v>
      </c>
      <c r="AL473" t="s">
        <v>650</v>
      </c>
      <c r="AM473" t="s">
        <v>651</v>
      </c>
      <c r="AN473" t="s">
        <v>652</v>
      </c>
      <c r="AO473" t="s">
        <v>653</v>
      </c>
      <c r="AP473" t="s">
        <v>74</v>
      </c>
      <c r="AQ473" t="s">
        <v>74</v>
      </c>
      <c r="AR473" t="s">
        <v>654</v>
      </c>
      <c r="AS473" t="s">
        <v>655</v>
      </c>
      <c r="AT473" t="s">
        <v>9472</v>
      </c>
      <c r="AU473">
        <v>2017</v>
      </c>
      <c r="AV473">
        <v>7</v>
      </c>
      <c r="AW473" t="s">
        <v>74</v>
      </c>
      <c r="AX473" t="s">
        <v>74</v>
      </c>
      <c r="AY473" t="s">
        <v>74</v>
      </c>
      <c r="AZ473" t="s">
        <v>74</v>
      </c>
      <c r="BA473" t="s">
        <v>74</v>
      </c>
      <c r="BB473" t="s">
        <v>74</v>
      </c>
      <c r="BC473" t="s">
        <v>74</v>
      </c>
      <c r="BD473">
        <v>9281</v>
      </c>
      <c r="BE473" t="s">
        <v>9520</v>
      </c>
      <c r="BF473" t="str">
        <f>HYPERLINK("http://dx.doi.org/10.1038/s41598-017-09541-2","http://dx.doi.org/10.1038/s41598-017-09541-2")</f>
        <v>http://dx.doi.org/10.1038/s41598-017-09541-2</v>
      </c>
      <c r="BG473" t="s">
        <v>74</v>
      </c>
      <c r="BH473" t="s">
        <v>74</v>
      </c>
      <c r="BI473">
        <v>10</v>
      </c>
      <c r="BJ473" t="s">
        <v>190</v>
      </c>
      <c r="BK473" t="s">
        <v>101</v>
      </c>
      <c r="BL473" t="s">
        <v>191</v>
      </c>
      <c r="BM473" t="s">
        <v>9521</v>
      </c>
      <c r="BN473">
        <v>28839181</v>
      </c>
      <c r="BO473" t="s">
        <v>658</v>
      </c>
      <c r="BP473" t="s">
        <v>74</v>
      </c>
      <c r="BQ473" t="s">
        <v>74</v>
      </c>
      <c r="BR473" t="s">
        <v>105</v>
      </c>
      <c r="BS473" t="s">
        <v>9522</v>
      </c>
      <c r="BT473" t="str">
        <f>HYPERLINK("https%3A%2F%2Fwww.webofscience.com%2Fwos%2Fwoscc%2Ffull-record%2FWOS:000408441600005","View Full Record in Web of Science")</f>
        <v>View Full Record in Web of Science</v>
      </c>
    </row>
    <row r="474" spans="1:72" x14ac:dyDescent="0.15">
      <c r="A474" t="s">
        <v>72</v>
      </c>
      <c r="B474" t="s">
        <v>9523</v>
      </c>
      <c r="C474" t="s">
        <v>74</v>
      </c>
      <c r="D474" t="s">
        <v>74</v>
      </c>
      <c r="E474" t="s">
        <v>74</v>
      </c>
      <c r="F474" t="s">
        <v>9524</v>
      </c>
      <c r="G474" t="s">
        <v>74</v>
      </c>
      <c r="H474" t="s">
        <v>74</v>
      </c>
      <c r="I474" t="s">
        <v>9525</v>
      </c>
      <c r="J474" t="s">
        <v>9526</v>
      </c>
      <c r="K474" t="s">
        <v>74</v>
      </c>
      <c r="L474" t="s">
        <v>74</v>
      </c>
      <c r="M474" t="s">
        <v>78</v>
      </c>
      <c r="N474" t="s">
        <v>4769</v>
      </c>
      <c r="O474" t="s">
        <v>74</v>
      </c>
      <c r="P474" t="s">
        <v>74</v>
      </c>
      <c r="Q474" t="s">
        <v>74</v>
      </c>
      <c r="R474" t="s">
        <v>74</v>
      </c>
      <c r="S474" t="s">
        <v>74</v>
      </c>
      <c r="T474" t="s">
        <v>74</v>
      </c>
      <c r="U474" t="s">
        <v>74</v>
      </c>
      <c r="V474" t="s">
        <v>74</v>
      </c>
      <c r="W474" t="s">
        <v>74</v>
      </c>
      <c r="X474" t="s">
        <v>74</v>
      </c>
      <c r="Y474" t="s">
        <v>74</v>
      </c>
      <c r="Z474" t="s">
        <v>74</v>
      </c>
      <c r="AA474" t="s">
        <v>74</v>
      </c>
      <c r="AB474" t="s">
        <v>74</v>
      </c>
      <c r="AC474" t="s">
        <v>74</v>
      </c>
      <c r="AD474" t="s">
        <v>74</v>
      </c>
      <c r="AE474" t="s">
        <v>74</v>
      </c>
      <c r="AF474" t="s">
        <v>74</v>
      </c>
      <c r="AG474">
        <v>1</v>
      </c>
      <c r="AH474">
        <v>1</v>
      </c>
      <c r="AI474">
        <v>1</v>
      </c>
      <c r="AJ474">
        <v>0</v>
      </c>
      <c r="AK474">
        <v>5</v>
      </c>
      <c r="AL474" t="s">
        <v>5918</v>
      </c>
      <c r="AM474" t="s">
        <v>729</v>
      </c>
      <c r="AN474" t="s">
        <v>5919</v>
      </c>
      <c r="AO474" t="s">
        <v>9527</v>
      </c>
      <c r="AP474" t="s">
        <v>74</v>
      </c>
      <c r="AQ474" t="s">
        <v>74</v>
      </c>
      <c r="AR474" t="s">
        <v>9526</v>
      </c>
      <c r="AS474" t="s">
        <v>9528</v>
      </c>
      <c r="AT474" t="s">
        <v>9529</v>
      </c>
      <c r="AU474">
        <v>2017</v>
      </c>
      <c r="AV474">
        <v>6</v>
      </c>
      <c r="AW474">
        <v>10</v>
      </c>
      <c r="AX474" t="s">
        <v>74</v>
      </c>
      <c r="AY474" t="s">
        <v>74</v>
      </c>
      <c r="AZ474" t="s">
        <v>74</v>
      </c>
      <c r="BA474" t="s">
        <v>74</v>
      </c>
      <c r="BB474" t="s">
        <v>74</v>
      </c>
      <c r="BC474" t="s">
        <v>74</v>
      </c>
      <c r="BD474" t="s">
        <v>74</v>
      </c>
      <c r="BE474" t="s">
        <v>9530</v>
      </c>
      <c r="BF474" t="str">
        <f>HYPERLINK("http://dx.doi.org/10.1093/gigascience/gix071","http://dx.doi.org/10.1093/gigascience/gix071")</f>
        <v>http://dx.doi.org/10.1093/gigascience/gix071</v>
      </c>
      <c r="BG474" t="s">
        <v>74</v>
      </c>
      <c r="BH474" t="s">
        <v>74</v>
      </c>
      <c r="BI474">
        <v>1</v>
      </c>
      <c r="BJ474" t="s">
        <v>9531</v>
      </c>
      <c r="BK474" t="s">
        <v>101</v>
      </c>
      <c r="BL474" t="s">
        <v>9532</v>
      </c>
      <c r="BM474" t="s">
        <v>9533</v>
      </c>
      <c r="BN474">
        <v>29020754</v>
      </c>
      <c r="BO474" t="s">
        <v>1094</v>
      </c>
      <c r="BP474" t="s">
        <v>74</v>
      </c>
      <c r="BQ474" t="s">
        <v>74</v>
      </c>
      <c r="BR474" t="s">
        <v>105</v>
      </c>
      <c r="BS474" t="s">
        <v>9534</v>
      </c>
      <c r="BT474" t="str">
        <f>HYPERLINK("https%3A%2F%2Fwww.webofscience.com%2Fwos%2Fwoscc%2Ffull-record%2FWOS:000412397300004","View Full Record in Web of Science")</f>
        <v>View Full Record in Web of Science</v>
      </c>
    </row>
    <row r="475" spans="1:72" x14ac:dyDescent="0.15">
      <c r="A475" t="s">
        <v>72</v>
      </c>
      <c r="B475" t="s">
        <v>9535</v>
      </c>
      <c r="C475" t="s">
        <v>74</v>
      </c>
      <c r="D475" t="s">
        <v>74</v>
      </c>
      <c r="E475" t="s">
        <v>74</v>
      </c>
      <c r="F475" t="s">
        <v>9536</v>
      </c>
      <c r="G475" t="s">
        <v>74</v>
      </c>
      <c r="H475" t="s">
        <v>74</v>
      </c>
      <c r="I475" t="s">
        <v>9537</v>
      </c>
      <c r="J475" t="s">
        <v>4399</v>
      </c>
      <c r="K475" t="s">
        <v>74</v>
      </c>
      <c r="L475" t="s">
        <v>74</v>
      </c>
      <c r="M475" t="s">
        <v>78</v>
      </c>
      <c r="N475" t="s">
        <v>79</v>
      </c>
      <c r="O475" t="s">
        <v>74</v>
      </c>
      <c r="P475" t="s">
        <v>74</v>
      </c>
      <c r="Q475" t="s">
        <v>74</v>
      </c>
      <c r="R475" t="s">
        <v>74</v>
      </c>
      <c r="S475" t="s">
        <v>74</v>
      </c>
      <c r="T475" t="s">
        <v>74</v>
      </c>
      <c r="U475" t="s">
        <v>9538</v>
      </c>
      <c r="V475" t="s">
        <v>9539</v>
      </c>
      <c r="W475" t="s">
        <v>9540</v>
      </c>
      <c r="X475" t="s">
        <v>9541</v>
      </c>
      <c r="Y475" t="s">
        <v>9542</v>
      </c>
      <c r="Z475" t="s">
        <v>9543</v>
      </c>
      <c r="AA475" t="s">
        <v>9544</v>
      </c>
      <c r="AB475" t="s">
        <v>74</v>
      </c>
      <c r="AC475" t="s">
        <v>9545</v>
      </c>
      <c r="AD475" t="s">
        <v>9546</v>
      </c>
      <c r="AE475" t="s">
        <v>9547</v>
      </c>
      <c r="AF475" t="s">
        <v>74</v>
      </c>
      <c r="AG475">
        <v>12</v>
      </c>
      <c r="AH475">
        <v>6</v>
      </c>
      <c r="AI475">
        <v>6</v>
      </c>
      <c r="AJ475">
        <v>0</v>
      </c>
      <c r="AK475">
        <v>3</v>
      </c>
      <c r="AL475" t="s">
        <v>4411</v>
      </c>
      <c r="AM475" t="s">
        <v>4412</v>
      </c>
      <c r="AN475" t="s">
        <v>4413</v>
      </c>
      <c r="AO475" t="s">
        <v>4414</v>
      </c>
      <c r="AP475" t="s">
        <v>74</v>
      </c>
      <c r="AQ475" t="s">
        <v>74</v>
      </c>
      <c r="AR475" t="s">
        <v>4415</v>
      </c>
      <c r="AS475" t="s">
        <v>4416</v>
      </c>
      <c r="AT475" t="s">
        <v>9548</v>
      </c>
      <c r="AU475">
        <v>2017</v>
      </c>
      <c r="AV475">
        <v>5</v>
      </c>
      <c r="AW475" t="s">
        <v>74</v>
      </c>
      <c r="AX475" t="s">
        <v>74</v>
      </c>
      <c r="AY475" t="s">
        <v>74</v>
      </c>
      <c r="AZ475" t="s">
        <v>74</v>
      </c>
      <c r="BA475" t="s">
        <v>74</v>
      </c>
      <c r="BB475" t="s">
        <v>74</v>
      </c>
      <c r="BC475" t="s">
        <v>74</v>
      </c>
      <c r="BD475">
        <v>47</v>
      </c>
      <c r="BE475" t="s">
        <v>9549</v>
      </c>
      <c r="BF475" t="str">
        <f>HYPERLINK("http://dx.doi.org/10.1525/elementa.233","http://dx.doi.org/10.1525/elementa.233")</f>
        <v>http://dx.doi.org/10.1525/elementa.233</v>
      </c>
      <c r="BG475" t="s">
        <v>74</v>
      </c>
      <c r="BH475" t="s">
        <v>74</v>
      </c>
      <c r="BI475">
        <v>16</v>
      </c>
      <c r="BJ475" t="s">
        <v>834</v>
      </c>
      <c r="BK475" t="s">
        <v>101</v>
      </c>
      <c r="BL475" t="s">
        <v>835</v>
      </c>
      <c r="BM475" t="s">
        <v>9550</v>
      </c>
      <c r="BN475" t="s">
        <v>74</v>
      </c>
      <c r="BO475" t="s">
        <v>9551</v>
      </c>
      <c r="BP475" t="s">
        <v>74</v>
      </c>
      <c r="BQ475" t="s">
        <v>74</v>
      </c>
      <c r="BR475" t="s">
        <v>105</v>
      </c>
      <c r="BS475" t="s">
        <v>9552</v>
      </c>
      <c r="BT475" t="str">
        <f>HYPERLINK("https%3A%2F%2Fwww.webofscience.com%2Fwos%2Fwoscc%2Ffull-record%2FWOS:000408003900001","View Full Record in Web of Science")</f>
        <v>View Full Record in Web of Science</v>
      </c>
    </row>
    <row r="476" spans="1:72" x14ac:dyDescent="0.15">
      <c r="A476" t="s">
        <v>72</v>
      </c>
      <c r="B476" t="s">
        <v>9553</v>
      </c>
      <c r="C476" t="s">
        <v>74</v>
      </c>
      <c r="D476" t="s">
        <v>74</v>
      </c>
      <c r="E476" t="s">
        <v>74</v>
      </c>
      <c r="F476" t="s">
        <v>9554</v>
      </c>
      <c r="G476" t="s">
        <v>74</v>
      </c>
      <c r="H476" t="s">
        <v>74</v>
      </c>
      <c r="I476" t="s">
        <v>9555</v>
      </c>
      <c r="J476" t="s">
        <v>489</v>
      </c>
      <c r="K476" t="s">
        <v>74</v>
      </c>
      <c r="L476" t="s">
        <v>74</v>
      </c>
      <c r="M476" t="s">
        <v>78</v>
      </c>
      <c r="N476" t="s">
        <v>79</v>
      </c>
      <c r="O476" t="s">
        <v>74</v>
      </c>
      <c r="P476" t="s">
        <v>74</v>
      </c>
      <c r="Q476" t="s">
        <v>74</v>
      </c>
      <c r="R476" t="s">
        <v>74</v>
      </c>
      <c r="S476" t="s">
        <v>74</v>
      </c>
      <c r="T476" t="s">
        <v>9556</v>
      </c>
      <c r="U476" t="s">
        <v>9557</v>
      </c>
      <c r="V476" t="s">
        <v>9558</v>
      </c>
      <c r="W476" t="s">
        <v>9559</v>
      </c>
      <c r="X476" t="s">
        <v>9560</v>
      </c>
      <c r="Y476" t="s">
        <v>9561</v>
      </c>
      <c r="Z476" t="s">
        <v>9562</v>
      </c>
      <c r="AA476" t="s">
        <v>74</v>
      </c>
      <c r="AB476" t="s">
        <v>9563</v>
      </c>
      <c r="AC476" t="s">
        <v>9564</v>
      </c>
      <c r="AD476" t="s">
        <v>9565</v>
      </c>
      <c r="AE476" t="s">
        <v>9566</v>
      </c>
      <c r="AF476" t="s">
        <v>74</v>
      </c>
      <c r="AG476">
        <v>80</v>
      </c>
      <c r="AH476">
        <v>41</v>
      </c>
      <c r="AI476">
        <v>42</v>
      </c>
      <c r="AJ476">
        <v>0</v>
      </c>
      <c r="AK476">
        <v>11</v>
      </c>
      <c r="AL476" t="s">
        <v>502</v>
      </c>
      <c r="AM476" t="s">
        <v>372</v>
      </c>
      <c r="AN476" t="s">
        <v>503</v>
      </c>
      <c r="AO476" t="s">
        <v>504</v>
      </c>
      <c r="AP476" t="s">
        <v>505</v>
      </c>
      <c r="AQ476" t="s">
        <v>74</v>
      </c>
      <c r="AR476" t="s">
        <v>489</v>
      </c>
      <c r="AS476" t="s">
        <v>506</v>
      </c>
      <c r="AT476" t="s">
        <v>9548</v>
      </c>
      <c r="AU476">
        <v>2017</v>
      </c>
      <c r="AV476">
        <v>712</v>
      </c>
      <c r="AW476" t="s">
        <v>74</v>
      </c>
      <c r="AX476" t="s">
        <v>74</v>
      </c>
      <c r="AY476" t="s">
        <v>74</v>
      </c>
      <c r="AZ476" t="s">
        <v>74</v>
      </c>
      <c r="BA476" t="s">
        <v>74</v>
      </c>
      <c r="BB476">
        <v>684</v>
      </c>
      <c r="BC476">
        <v>703</v>
      </c>
      <c r="BD476" t="s">
        <v>74</v>
      </c>
      <c r="BE476" t="s">
        <v>9567</v>
      </c>
      <c r="BF476" t="str">
        <f>HYPERLINK("http://dx.doi.org/10.1016/j.tecto.2017.06.007","http://dx.doi.org/10.1016/j.tecto.2017.06.007")</f>
        <v>http://dx.doi.org/10.1016/j.tecto.2017.06.007</v>
      </c>
      <c r="BG476" t="s">
        <v>74</v>
      </c>
      <c r="BH476" t="s">
        <v>74</v>
      </c>
      <c r="BI476">
        <v>20</v>
      </c>
      <c r="BJ476" t="s">
        <v>509</v>
      </c>
      <c r="BK476" t="s">
        <v>101</v>
      </c>
      <c r="BL476" t="s">
        <v>509</v>
      </c>
      <c r="BM476" t="s">
        <v>9568</v>
      </c>
      <c r="BN476" t="s">
        <v>74</v>
      </c>
      <c r="BO476" t="s">
        <v>74</v>
      </c>
      <c r="BP476" t="s">
        <v>74</v>
      </c>
      <c r="BQ476" t="s">
        <v>74</v>
      </c>
      <c r="BR476" t="s">
        <v>105</v>
      </c>
      <c r="BS476" t="s">
        <v>9569</v>
      </c>
      <c r="BT476" t="str">
        <f>HYPERLINK("https%3A%2F%2Fwww.webofscience.com%2Fwos%2Fwoscc%2Ffull-record%2FWOS:000409284500049","View Full Record in Web of Science")</f>
        <v>View Full Record in Web of Science</v>
      </c>
    </row>
    <row r="477" spans="1:72" x14ac:dyDescent="0.15">
      <c r="A477" t="s">
        <v>72</v>
      </c>
      <c r="B477" t="s">
        <v>9570</v>
      </c>
      <c r="C477" t="s">
        <v>74</v>
      </c>
      <c r="D477" t="s">
        <v>74</v>
      </c>
      <c r="E477" t="s">
        <v>74</v>
      </c>
      <c r="F477" t="s">
        <v>9571</v>
      </c>
      <c r="G477" t="s">
        <v>74</v>
      </c>
      <c r="H477" t="s">
        <v>74</v>
      </c>
      <c r="I477" t="s">
        <v>9572</v>
      </c>
      <c r="J477" t="s">
        <v>860</v>
      </c>
      <c r="K477" t="s">
        <v>74</v>
      </c>
      <c r="L477" t="s">
        <v>74</v>
      </c>
      <c r="M477" t="s">
        <v>78</v>
      </c>
      <c r="N477" t="s">
        <v>79</v>
      </c>
      <c r="O477" t="s">
        <v>74</v>
      </c>
      <c r="P477" t="s">
        <v>74</v>
      </c>
      <c r="Q477" t="s">
        <v>74</v>
      </c>
      <c r="R477" t="s">
        <v>74</v>
      </c>
      <c r="S477" t="s">
        <v>74</v>
      </c>
      <c r="T477" t="s">
        <v>74</v>
      </c>
      <c r="U477" t="s">
        <v>9573</v>
      </c>
      <c r="V477" t="s">
        <v>9574</v>
      </c>
      <c r="W477" t="s">
        <v>9575</v>
      </c>
      <c r="X477" t="s">
        <v>9576</v>
      </c>
      <c r="Y477" t="s">
        <v>9577</v>
      </c>
      <c r="Z477" t="s">
        <v>9578</v>
      </c>
      <c r="AA477" t="s">
        <v>9579</v>
      </c>
      <c r="AB477" t="s">
        <v>9580</v>
      </c>
      <c r="AC477" t="s">
        <v>9581</v>
      </c>
      <c r="AD477" t="s">
        <v>9582</v>
      </c>
      <c r="AE477" t="s">
        <v>9583</v>
      </c>
      <c r="AF477" t="s">
        <v>74</v>
      </c>
      <c r="AG477">
        <v>53</v>
      </c>
      <c r="AH477">
        <v>10</v>
      </c>
      <c r="AI477">
        <v>10</v>
      </c>
      <c r="AJ477">
        <v>2</v>
      </c>
      <c r="AK477">
        <v>35</v>
      </c>
      <c r="AL477" t="s">
        <v>872</v>
      </c>
      <c r="AM477" t="s">
        <v>873</v>
      </c>
      <c r="AN477" t="s">
        <v>874</v>
      </c>
      <c r="AO477" t="s">
        <v>875</v>
      </c>
      <c r="AP477" t="s">
        <v>74</v>
      </c>
      <c r="AQ477" t="s">
        <v>74</v>
      </c>
      <c r="AR477" t="s">
        <v>860</v>
      </c>
      <c r="AS477" t="s">
        <v>876</v>
      </c>
      <c r="AT477" t="s">
        <v>9548</v>
      </c>
      <c r="AU477">
        <v>2017</v>
      </c>
      <c r="AV477">
        <v>12</v>
      </c>
      <c r="AW477">
        <v>8</v>
      </c>
      <c r="AX477" t="s">
        <v>74</v>
      </c>
      <c r="AY477" t="s">
        <v>74</v>
      </c>
      <c r="AZ477" t="s">
        <v>74</v>
      </c>
      <c r="BA477" t="s">
        <v>74</v>
      </c>
      <c r="BB477" t="s">
        <v>74</v>
      </c>
      <c r="BC477" t="s">
        <v>74</v>
      </c>
      <c r="BD477" t="s">
        <v>9584</v>
      </c>
      <c r="BE477" t="s">
        <v>9585</v>
      </c>
      <c r="BF477" t="str">
        <f>HYPERLINK("http://dx.doi.org/10.1371/journal.pone.0183400","http://dx.doi.org/10.1371/journal.pone.0183400")</f>
        <v>http://dx.doi.org/10.1371/journal.pone.0183400</v>
      </c>
      <c r="BG477" t="s">
        <v>74</v>
      </c>
      <c r="BH477" t="s">
        <v>74</v>
      </c>
      <c r="BI477">
        <v>16</v>
      </c>
      <c r="BJ477" t="s">
        <v>190</v>
      </c>
      <c r="BK477" t="s">
        <v>101</v>
      </c>
      <c r="BL477" t="s">
        <v>191</v>
      </c>
      <c r="BM477" t="s">
        <v>9586</v>
      </c>
      <c r="BN477">
        <v>28827834</v>
      </c>
      <c r="BO477" t="s">
        <v>9587</v>
      </c>
      <c r="BP477" t="s">
        <v>74</v>
      </c>
      <c r="BQ477" t="s">
        <v>74</v>
      </c>
      <c r="BR477" t="s">
        <v>105</v>
      </c>
      <c r="BS477" t="s">
        <v>9588</v>
      </c>
      <c r="BT477" t="str">
        <f>HYPERLINK("https%3A%2F%2Fwww.webofscience.com%2Fwos%2Fwoscc%2Ffull-record%2FWOS:000408069300021","View Full Record in Web of Science")</f>
        <v>View Full Record in Web of Science</v>
      </c>
    </row>
    <row r="478" spans="1:72" x14ac:dyDescent="0.15">
      <c r="A478" t="s">
        <v>72</v>
      </c>
      <c r="B478" t="s">
        <v>9589</v>
      </c>
      <c r="C478" t="s">
        <v>74</v>
      </c>
      <c r="D478" t="s">
        <v>74</v>
      </c>
      <c r="E478" t="s">
        <v>74</v>
      </c>
      <c r="F478" t="s">
        <v>9590</v>
      </c>
      <c r="G478" t="s">
        <v>74</v>
      </c>
      <c r="H478" t="s">
        <v>74</v>
      </c>
      <c r="I478" t="s">
        <v>9591</v>
      </c>
      <c r="J478" t="s">
        <v>9592</v>
      </c>
      <c r="K478" t="s">
        <v>74</v>
      </c>
      <c r="L478" t="s">
        <v>74</v>
      </c>
      <c r="M478" t="s">
        <v>78</v>
      </c>
      <c r="N478" t="s">
        <v>52</v>
      </c>
      <c r="O478" t="s">
        <v>9593</v>
      </c>
      <c r="P478" t="s">
        <v>9594</v>
      </c>
      <c r="Q478" t="s">
        <v>9595</v>
      </c>
      <c r="R478" t="s">
        <v>74</v>
      </c>
      <c r="S478" t="s">
        <v>74</v>
      </c>
      <c r="T478" t="s">
        <v>74</v>
      </c>
      <c r="U478" t="s">
        <v>74</v>
      </c>
      <c r="V478" t="s">
        <v>74</v>
      </c>
      <c r="W478" t="s">
        <v>9596</v>
      </c>
      <c r="X478" t="s">
        <v>9597</v>
      </c>
      <c r="Y478" t="s">
        <v>74</v>
      </c>
      <c r="Z478" t="s">
        <v>9598</v>
      </c>
      <c r="AA478" t="s">
        <v>74</v>
      </c>
      <c r="AB478" t="s">
        <v>74</v>
      </c>
      <c r="AC478" t="s">
        <v>74</v>
      </c>
      <c r="AD478" t="s">
        <v>74</v>
      </c>
      <c r="AE478" t="s">
        <v>74</v>
      </c>
      <c r="AF478" t="s">
        <v>74</v>
      </c>
      <c r="AG478">
        <v>0</v>
      </c>
      <c r="AH478">
        <v>0</v>
      </c>
      <c r="AI478">
        <v>0</v>
      </c>
      <c r="AJ478">
        <v>0</v>
      </c>
      <c r="AK478">
        <v>1</v>
      </c>
      <c r="AL478" t="s">
        <v>9467</v>
      </c>
      <c r="AM478" t="s">
        <v>92</v>
      </c>
      <c r="AN478" t="s">
        <v>9468</v>
      </c>
      <c r="AO478" t="s">
        <v>9599</v>
      </c>
      <c r="AP478" t="s">
        <v>74</v>
      </c>
      <c r="AQ478" t="s">
        <v>74</v>
      </c>
      <c r="AR478" t="s">
        <v>9600</v>
      </c>
      <c r="AS478" t="s">
        <v>9601</v>
      </c>
      <c r="AT478" t="s">
        <v>9602</v>
      </c>
      <c r="AU478">
        <v>2017</v>
      </c>
      <c r="AV478">
        <v>254</v>
      </c>
      <c r="AW478" t="s">
        <v>74</v>
      </c>
      <c r="AX478" t="s">
        <v>74</v>
      </c>
      <c r="AY478" t="s">
        <v>74</v>
      </c>
      <c r="AZ478" t="s">
        <v>74</v>
      </c>
      <c r="BA478">
        <v>27</v>
      </c>
      <c r="BB478" t="s">
        <v>74</v>
      </c>
      <c r="BC478" t="s">
        <v>74</v>
      </c>
      <c r="BD478" t="s">
        <v>74</v>
      </c>
      <c r="BE478" t="s">
        <v>74</v>
      </c>
      <c r="BF478" t="s">
        <v>74</v>
      </c>
      <c r="BG478" t="s">
        <v>74</v>
      </c>
      <c r="BH478" t="s">
        <v>74</v>
      </c>
      <c r="BI478">
        <v>1</v>
      </c>
      <c r="BJ478" t="s">
        <v>5240</v>
      </c>
      <c r="BK478" t="s">
        <v>1347</v>
      </c>
      <c r="BL478" t="s">
        <v>218</v>
      </c>
      <c r="BM478" t="s">
        <v>9603</v>
      </c>
      <c r="BN478" t="s">
        <v>74</v>
      </c>
      <c r="BO478" t="s">
        <v>74</v>
      </c>
      <c r="BP478" t="s">
        <v>74</v>
      </c>
      <c r="BQ478" t="s">
        <v>74</v>
      </c>
      <c r="BR478" t="s">
        <v>105</v>
      </c>
      <c r="BS478" t="s">
        <v>9604</v>
      </c>
      <c r="BT478" t="str">
        <f>HYPERLINK("https%3A%2F%2Fwww.webofscience.com%2Fwos%2Fwoscc%2Ffull-record%2FWOS:000429525601480","View Full Record in Web of Science")</f>
        <v>View Full Record in Web of Science</v>
      </c>
    </row>
    <row r="479" spans="1:72" x14ac:dyDescent="0.15">
      <c r="A479" t="s">
        <v>72</v>
      </c>
      <c r="B479" t="s">
        <v>9605</v>
      </c>
      <c r="C479" t="s">
        <v>74</v>
      </c>
      <c r="D479" t="s">
        <v>74</v>
      </c>
      <c r="E479" t="s">
        <v>74</v>
      </c>
      <c r="F479" t="s">
        <v>9606</v>
      </c>
      <c r="G479" t="s">
        <v>74</v>
      </c>
      <c r="H479" t="s">
        <v>74</v>
      </c>
      <c r="I479" t="s">
        <v>9607</v>
      </c>
      <c r="J479" t="s">
        <v>9608</v>
      </c>
      <c r="K479" t="s">
        <v>74</v>
      </c>
      <c r="L479" t="s">
        <v>74</v>
      </c>
      <c r="M479" t="s">
        <v>78</v>
      </c>
      <c r="N479" t="s">
        <v>79</v>
      </c>
      <c r="O479" t="s">
        <v>74</v>
      </c>
      <c r="P479" t="s">
        <v>74</v>
      </c>
      <c r="Q479" t="s">
        <v>74</v>
      </c>
      <c r="R479" t="s">
        <v>74</v>
      </c>
      <c r="S479" t="s">
        <v>74</v>
      </c>
      <c r="T479" t="s">
        <v>9609</v>
      </c>
      <c r="U479" t="s">
        <v>9610</v>
      </c>
      <c r="V479" t="s">
        <v>9611</v>
      </c>
      <c r="W479" t="s">
        <v>9612</v>
      </c>
      <c r="X479" t="s">
        <v>9613</v>
      </c>
      <c r="Y479" t="s">
        <v>9614</v>
      </c>
      <c r="Z479" t="s">
        <v>9615</v>
      </c>
      <c r="AA479" t="s">
        <v>74</v>
      </c>
      <c r="AB479" t="s">
        <v>9616</v>
      </c>
      <c r="AC479" t="s">
        <v>9617</v>
      </c>
      <c r="AD479" t="s">
        <v>9618</v>
      </c>
      <c r="AE479" t="s">
        <v>9619</v>
      </c>
      <c r="AF479" t="s">
        <v>74</v>
      </c>
      <c r="AG479">
        <v>64</v>
      </c>
      <c r="AH479">
        <v>13</v>
      </c>
      <c r="AI479">
        <v>17</v>
      </c>
      <c r="AJ479">
        <v>5</v>
      </c>
      <c r="AK479">
        <v>35</v>
      </c>
      <c r="AL479" t="s">
        <v>2901</v>
      </c>
      <c r="AM479" t="s">
        <v>2902</v>
      </c>
      <c r="AN479" t="s">
        <v>2903</v>
      </c>
      <c r="AO479" t="s">
        <v>9620</v>
      </c>
      <c r="AP479" t="s">
        <v>9621</v>
      </c>
      <c r="AQ479" t="s">
        <v>74</v>
      </c>
      <c r="AR479" t="s">
        <v>9622</v>
      </c>
      <c r="AS479" t="s">
        <v>9623</v>
      </c>
      <c r="AT479" t="s">
        <v>9602</v>
      </c>
      <c r="AU479">
        <v>2017</v>
      </c>
      <c r="AV479">
        <v>44</v>
      </c>
      <c r="AW479">
        <v>8</v>
      </c>
      <c r="AX479" t="s">
        <v>74</v>
      </c>
      <c r="AY479" t="s">
        <v>74</v>
      </c>
      <c r="AZ479" t="s">
        <v>74</v>
      </c>
      <c r="BA479" t="s">
        <v>74</v>
      </c>
      <c r="BB479">
        <v>385</v>
      </c>
      <c r="BC479">
        <v>394</v>
      </c>
      <c r="BD479" t="s">
        <v>74</v>
      </c>
      <c r="BE479" t="s">
        <v>9624</v>
      </c>
      <c r="BF479" t="str">
        <f>HYPERLINK("http://dx.doi.org/10.1016/j.jgg.2017.07.002","http://dx.doi.org/10.1016/j.jgg.2017.07.002")</f>
        <v>http://dx.doi.org/10.1016/j.jgg.2017.07.002</v>
      </c>
      <c r="BG479" t="s">
        <v>74</v>
      </c>
      <c r="BH479" t="s">
        <v>74</v>
      </c>
      <c r="BI479">
        <v>10</v>
      </c>
      <c r="BJ479" t="s">
        <v>9625</v>
      </c>
      <c r="BK479" t="s">
        <v>101</v>
      </c>
      <c r="BL479" t="s">
        <v>9625</v>
      </c>
      <c r="BM479" t="s">
        <v>9626</v>
      </c>
      <c r="BN479">
        <v>28869113</v>
      </c>
      <c r="BO479" t="s">
        <v>74</v>
      </c>
      <c r="BP479" t="s">
        <v>74</v>
      </c>
      <c r="BQ479" t="s">
        <v>74</v>
      </c>
      <c r="BR479" t="s">
        <v>105</v>
      </c>
      <c r="BS479" t="s">
        <v>9627</v>
      </c>
      <c r="BT479" t="str">
        <f>HYPERLINK("https%3A%2F%2Fwww.webofscience.com%2Fwos%2Fwoscc%2Ffull-record%2FWOS:000409993500003","View Full Record in Web of Science")</f>
        <v>View Full Record in Web of Science</v>
      </c>
    </row>
    <row r="480" spans="1:72" x14ac:dyDescent="0.15">
      <c r="A480" t="s">
        <v>72</v>
      </c>
      <c r="B480" t="s">
        <v>9628</v>
      </c>
      <c r="C480" t="s">
        <v>74</v>
      </c>
      <c r="D480" t="s">
        <v>74</v>
      </c>
      <c r="E480" t="s">
        <v>74</v>
      </c>
      <c r="F480" t="s">
        <v>9629</v>
      </c>
      <c r="G480" t="s">
        <v>74</v>
      </c>
      <c r="H480" t="s">
        <v>74</v>
      </c>
      <c r="I480" t="s">
        <v>9630</v>
      </c>
      <c r="J480" t="s">
        <v>358</v>
      </c>
      <c r="K480" t="s">
        <v>74</v>
      </c>
      <c r="L480" t="s">
        <v>74</v>
      </c>
      <c r="M480" t="s">
        <v>78</v>
      </c>
      <c r="N480" t="s">
        <v>79</v>
      </c>
      <c r="O480" t="s">
        <v>74</v>
      </c>
      <c r="P480" t="s">
        <v>74</v>
      </c>
      <c r="Q480" t="s">
        <v>74</v>
      </c>
      <c r="R480" t="s">
        <v>74</v>
      </c>
      <c r="S480" t="s">
        <v>74</v>
      </c>
      <c r="T480" t="s">
        <v>9631</v>
      </c>
      <c r="U480" t="s">
        <v>9632</v>
      </c>
      <c r="V480" t="s">
        <v>9633</v>
      </c>
      <c r="W480" t="s">
        <v>9634</v>
      </c>
      <c r="X480" t="s">
        <v>9635</v>
      </c>
      <c r="Y480" t="s">
        <v>9636</v>
      </c>
      <c r="Z480" t="s">
        <v>9637</v>
      </c>
      <c r="AA480" t="s">
        <v>9638</v>
      </c>
      <c r="AB480" t="s">
        <v>9639</v>
      </c>
      <c r="AC480" t="s">
        <v>9640</v>
      </c>
      <c r="AD480" t="s">
        <v>9641</v>
      </c>
      <c r="AE480" t="s">
        <v>9642</v>
      </c>
      <c r="AF480" t="s">
        <v>74</v>
      </c>
      <c r="AG480">
        <v>110</v>
      </c>
      <c r="AH480">
        <v>14</v>
      </c>
      <c r="AI480">
        <v>14</v>
      </c>
      <c r="AJ480">
        <v>0</v>
      </c>
      <c r="AK480">
        <v>24</v>
      </c>
      <c r="AL480" t="s">
        <v>371</v>
      </c>
      <c r="AM480" t="s">
        <v>372</v>
      </c>
      <c r="AN480" t="s">
        <v>373</v>
      </c>
      <c r="AO480" t="s">
        <v>374</v>
      </c>
      <c r="AP480" t="s">
        <v>375</v>
      </c>
      <c r="AQ480" t="s">
        <v>74</v>
      </c>
      <c r="AR480" t="s">
        <v>376</v>
      </c>
      <c r="AS480" t="s">
        <v>377</v>
      </c>
      <c r="AT480" t="s">
        <v>9602</v>
      </c>
      <c r="AU480">
        <v>2017</v>
      </c>
      <c r="AV480">
        <v>194</v>
      </c>
      <c r="AW480" t="s">
        <v>74</v>
      </c>
      <c r="AX480" t="s">
        <v>74</v>
      </c>
      <c r="AY480" t="s">
        <v>74</v>
      </c>
      <c r="AZ480" t="s">
        <v>74</v>
      </c>
      <c r="BA480" t="s">
        <v>74</v>
      </c>
      <c r="BB480">
        <v>79</v>
      </c>
      <c r="BC480">
        <v>88</v>
      </c>
      <c r="BD480" t="s">
        <v>74</v>
      </c>
      <c r="BE480" t="s">
        <v>9643</v>
      </c>
      <c r="BF480" t="str">
        <f>HYPERLINK("http://dx.doi.org/10.1016/j.marchem.2017.05.004","http://dx.doi.org/10.1016/j.marchem.2017.05.004")</f>
        <v>http://dx.doi.org/10.1016/j.marchem.2017.05.004</v>
      </c>
      <c r="BG480" t="s">
        <v>74</v>
      </c>
      <c r="BH480" t="s">
        <v>74</v>
      </c>
      <c r="BI480">
        <v>10</v>
      </c>
      <c r="BJ480" t="s">
        <v>379</v>
      </c>
      <c r="BK480" t="s">
        <v>101</v>
      </c>
      <c r="BL480" t="s">
        <v>380</v>
      </c>
      <c r="BM480" t="s">
        <v>9644</v>
      </c>
      <c r="BN480" t="s">
        <v>74</v>
      </c>
      <c r="BO480" t="s">
        <v>74</v>
      </c>
      <c r="BP480" t="s">
        <v>74</v>
      </c>
      <c r="BQ480" t="s">
        <v>74</v>
      </c>
      <c r="BR480" t="s">
        <v>105</v>
      </c>
      <c r="BS480" t="s">
        <v>9645</v>
      </c>
      <c r="BT480" t="str">
        <f>HYPERLINK("https%3A%2F%2Fwww.webofscience.com%2Fwos%2Fwoscc%2Ffull-record%2FWOS:000412615500008","View Full Record in Web of Science")</f>
        <v>View Full Record in Web of Science</v>
      </c>
    </row>
    <row r="481" spans="1:72" x14ac:dyDescent="0.15">
      <c r="A481" t="s">
        <v>72</v>
      </c>
      <c r="B481" t="s">
        <v>9646</v>
      </c>
      <c r="C481" t="s">
        <v>74</v>
      </c>
      <c r="D481" t="s">
        <v>74</v>
      </c>
      <c r="E481" t="s">
        <v>74</v>
      </c>
      <c r="F481" t="s">
        <v>9647</v>
      </c>
      <c r="G481" t="s">
        <v>74</v>
      </c>
      <c r="H481" t="s">
        <v>74</v>
      </c>
      <c r="I481" t="s">
        <v>9648</v>
      </c>
      <c r="J481" t="s">
        <v>4895</v>
      </c>
      <c r="K481" t="s">
        <v>74</v>
      </c>
      <c r="L481" t="s">
        <v>74</v>
      </c>
      <c r="M481" t="s">
        <v>78</v>
      </c>
      <c r="N481" t="s">
        <v>79</v>
      </c>
      <c r="O481" t="s">
        <v>74</v>
      </c>
      <c r="P481" t="s">
        <v>74</v>
      </c>
      <c r="Q481" t="s">
        <v>74</v>
      </c>
      <c r="R481" t="s">
        <v>74</v>
      </c>
      <c r="S481" t="s">
        <v>74</v>
      </c>
      <c r="T481" t="s">
        <v>9649</v>
      </c>
      <c r="U481" t="s">
        <v>9650</v>
      </c>
      <c r="V481" t="s">
        <v>9651</v>
      </c>
      <c r="W481" t="s">
        <v>9652</v>
      </c>
      <c r="X481" t="s">
        <v>9653</v>
      </c>
      <c r="Y481" t="s">
        <v>9654</v>
      </c>
      <c r="Z481" t="s">
        <v>9655</v>
      </c>
      <c r="AA481" t="s">
        <v>9656</v>
      </c>
      <c r="AB481" t="s">
        <v>9657</v>
      </c>
      <c r="AC481" t="s">
        <v>9658</v>
      </c>
      <c r="AD481" t="s">
        <v>9659</v>
      </c>
      <c r="AE481" t="s">
        <v>9660</v>
      </c>
      <c r="AF481" t="s">
        <v>74</v>
      </c>
      <c r="AG481">
        <v>103</v>
      </c>
      <c r="AH481">
        <v>16</v>
      </c>
      <c r="AI481">
        <v>16</v>
      </c>
      <c r="AJ481">
        <v>0</v>
      </c>
      <c r="AK481">
        <v>34</v>
      </c>
      <c r="AL481" t="s">
        <v>1981</v>
      </c>
      <c r="AM481" t="s">
        <v>729</v>
      </c>
      <c r="AN481" t="s">
        <v>1982</v>
      </c>
      <c r="AO481" t="s">
        <v>4908</v>
      </c>
      <c r="AP481" t="s">
        <v>4909</v>
      </c>
      <c r="AQ481" t="s">
        <v>74</v>
      </c>
      <c r="AR481" t="s">
        <v>4910</v>
      </c>
      <c r="AS481" t="s">
        <v>4911</v>
      </c>
      <c r="AT481" t="s">
        <v>9602</v>
      </c>
      <c r="AU481">
        <v>2017</v>
      </c>
      <c r="AV481">
        <v>449</v>
      </c>
      <c r="AW481" t="s">
        <v>74</v>
      </c>
      <c r="AX481" t="s">
        <v>74</v>
      </c>
      <c r="AY481" t="s">
        <v>74</v>
      </c>
      <c r="AZ481" t="s">
        <v>74</v>
      </c>
      <c r="BA481" t="s">
        <v>74</v>
      </c>
      <c r="BB481">
        <v>106</v>
      </c>
      <c r="BC481">
        <v>118</v>
      </c>
      <c r="BD481" t="s">
        <v>74</v>
      </c>
      <c r="BE481" t="s">
        <v>9661</v>
      </c>
      <c r="BF481" t="str">
        <f>HYPERLINK("http://dx.doi.org/10.1016/j.quaint.2017.04.011","http://dx.doi.org/10.1016/j.quaint.2017.04.011")</f>
        <v>http://dx.doi.org/10.1016/j.quaint.2017.04.011</v>
      </c>
      <c r="BG481" t="s">
        <v>74</v>
      </c>
      <c r="BH481" t="s">
        <v>74</v>
      </c>
      <c r="BI481">
        <v>13</v>
      </c>
      <c r="BJ481" t="s">
        <v>319</v>
      </c>
      <c r="BK481" t="s">
        <v>101</v>
      </c>
      <c r="BL481" t="s">
        <v>320</v>
      </c>
      <c r="BM481" t="s">
        <v>9662</v>
      </c>
      <c r="BN481" t="s">
        <v>74</v>
      </c>
      <c r="BO481" t="s">
        <v>74</v>
      </c>
      <c r="BP481" t="s">
        <v>74</v>
      </c>
      <c r="BQ481" t="s">
        <v>74</v>
      </c>
      <c r="BR481" t="s">
        <v>105</v>
      </c>
      <c r="BS481" t="s">
        <v>9663</v>
      </c>
      <c r="BT481" t="str">
        <f>HYPERLINK("https%3A%2F%2Fwww.webofscience.com%2Fwos%2Fwoscc%2Ffull-record%2FWOS:000409351800009","View Full Record in Web of Science")</f>
        <v>View Full Record in Web of Science</v>
      </c>
    </row>
    <row r="482" spans="1:72" x14ac:dyDescent="0.15">
      <c r="A482" t="s">
        <v>72</v>
      </c>
      <c r="B482" t="s">
        <v>9664</v>
      </c>
      <c r="C482" t="s">
        <v>74</v>
      </c>
      <c r="D482" t="s">
        <v>74</v>
      </c>
      <c r="E482" t="s">
        <v>74</v>
      </c>
      <c r="F482" t="s">
        <v>9665</v>
      </c>
      <c r="G482" t="s">
        <v>74</v>
      </c>
      <c r="H482" t="s">
        <v>74</v>
      </c>
      <c r="I482" t="s">
        <v>9666</v>
      </c>
      <c r="J482" t="s">
        <v>743</v>
      </c>
      <c r="K482" t="s">
        <v>74</v>
      </c>
      <c r="L482" t="s">
        <v>74</v>
      </c>
      <c r="M482" t="s">
        <v>78</v>
      </c>
      <c r="N482" t="s">
        <v>79</v>
      </c>
      <c r="O482" t="s">
        <v>74</v>
      </c>
      <c r="P482" t="s">
        <v>74</v>
      </c>
      <c r="Q482" t="s">
        <v>74</v>
      </c>
      <c r="R482" t="s">
        <v>74</v>
      </c>
      <c r="S482" t="s">
        <v>74</v>
      </c>
      <c r="T482" t="s">
        <v>9667</v>
      </c>
      <c r="U482" t="s">
        <v>9668</v>
      </c>
      <c r="V482" t="s">
        <v>9669</v>
      </c>
      <c r="W482" t="s">
        <v>9670</v>
      </c>
      <c r="X482" t="s">
        <v>9671</v>
      </c>
      <c r="Y482" t="s">
        <v>9672</v>
      </c>
      <c r="Z482" t="s">
        <v>9673</v>
      </c>
      <c r="AA482" t="s">
        <v>9674</v>
      </c>
      <c r="AB482" t="s">
        <v>9675</v>
      </c>
      <c r="AC482" t="s">
        <v>9676</v>
      </c>
      <c r="AD482" t="s">
        <v>9677</v>
      </c>
      <c r="AE482" t="s">
        <v>9678</v>
      </c>
      <c r="AF482" t="s">
        <v>74</v>
      </c>
      <c r="AG482">
        <v>67</v>
      </c>
      <c r="AH482">
        <v>17</v>
      </c>
      <c r="AI482">
        <v>18</v>
      </c>
      <c r="AJ482">
        <v>0</v>
      </c>
      <c r="AK482">
        <v>19</v>
      </c>
      <c r="AL482" t="s">
        <v>755</v>
      </c>
      <c r="AM482" t="s">
        <v>756</v>
      </c>
      <c r="AN482" t="s">
        <v>757</v>
      </c>
      <c r="AO482" t="s">
        <v>758</v>
      </c>
      <c r="AP482" t="s">
        <v>759</v>
      </c>
      <c r="AQ482" t="s">
        <v>74</v>
      </c>
      <c r="AR482" t="s">
        <v>760</v>
      </c>
      <c r="AS482" t="s">
        <v>761</v>
      </c>
      <c r="AT482" t="s">
        <v>9679</v>
      </c>
      <c r="AU482">
        <v>2017</v>
      </c>
      <c r="AV482">
        <v>577</v>
      </c>
      <c r="AW482" t="s">
        <v>74</v>
      </c>
      <c r="AX482" t="s">
        <v>74</v>
      </c>
      <c r="AY482" t="s">
        <v>74</v>
      </c>
      <c r="AZ482" t="s">
        <v>74</v>
      </c>
      <c r="BA482" t="s">
        <v>74</v>
      </c>
      <c r="BB482">
        <v>237</v>
      </c>
      <c r="BC482">
        <v>250</v>
      </c>
      <c r="BD482" t="s">
        <v>74</v>
      </c>
      <c r="BE482" t="s">
        <v>9680</v>
      </c>
      <c r="BF482" t="str">
        <f>HYPERLINK("http://dx.doi.org/10.3354/meps12240","http://dx.doi.org/10.3354/meps12240")</f>
        <v>http://dx.doi.org/10.3354/meps12240</v>
      </c>
      <c r="BG482" t="s">
        <v>74</v>
      </c>
      <c r="BH482" t="s">
        <v>74</v>
      </c>
      <c r="BI482">
        <v>14</v>
      </c>
      <c r="BJ482" t="s">
        <v>764</v>
      </c>
      <c r="BK482" t="s">
        <v>101</v>
      </c>
      <c r="BL482" t="s">
        <v>766</v>
      </c>
      <c r="BM482" t="s">
        <v>9681</v>
      </c>
      <c r="BN482" t="s">
        <v>74</v>
      </c>
      <c r="BO482" t="s">
        <v>2091</v>
      </c>
      <c r="BP482" t="s">
        <v>74</v>
      </c>
      <c r="BQ482" t="s">
        <v>74</v>
      </c>
      <c r="BR482" t="s">
        <v>105</v>
      </c>
      <c r="BS482" t="s">
        <v>9682</v>
      </c>
      <c r="BT482" t="str">
        <f>HYPERLINK("https%3A%2F%2Fwww.webofscience.com%2Fwos%2Fwoscc%2Ffull-record%2FWOS:000411307400017","View Full Record in Web of Science")</f>
        <v>View Full Record in Web of Science</v>
      </c>
    </row>
    <row r="483" spans="1:72" x14ac:dyDescent="0.15">
      <c r="A483" t="s">
        <v>72</v>
      </c>
      <c r="B483" t="s">
        <v>9683</v>
      </c>
      <c r="C483" t="s">
        <v>74</v>
      </c>
      <c r="D483" t="s">
        <v>74</v>
      </c>
      <c r="E483" t="s">
        <v>74</v>
      </c>
      <c r="F483" t="s">
        <v>9684</v>
      </c>
      <c r="G483" t="s">
        <v>74</v>
      </c>
      <c r="H483" t="s">
        <v>74</v>
      </c>
      <c r="I483" t="s">
        <v>9685</v>
      </c>
      <c r="J483" t="s">
        <v>9686</v>
      </c>
      <c r="K483" t="s">
        <v>74</v>
      </c>
      <c r="L483" t="s">
        <v>74</v>
      </c>
      <c r="M483" t="s">
        <v>78</v>
      </c>
      <c r="N483" t="s">
        <v>79</v>
      </c>
      <c r="O483" t="s">
        <v>74</v>
      </c>
      <c r="P483" t="s">
        <v>74</v>
      </c>
      <c r="Q483" t="s">
        <v>74</v>
      </c>
      <c r="R483" t="s">
        <v>74</v>
      </c>
      <c r="S483" t="s">
        <v>74</v>
      </c>
      <c r="T483" t="s">
        <v>9687</v>
      </c>
      <c r="U483" t="s">
        <v>9688</v>
      </c>
      <c r="V483" t="s">
        <v>9689</v>
      </c>
      <c r="W483" t="s">
        <v>9690</v>
      </c>
      <c r="X483" t="s">
        <v>9691</v>
      </c>
      <c r="Y483" t="s">
        <v>9692</v>
      </c>
      <c r="Z483" t="s">
        <v>9693</v>
      </c>
      <c r="AA483" t="s">
        <v>9694</v>
      </c>
      <c r="AB483" t="s">
        <v>9695</v>
      </c>
      <c r="AC483" t="s">
        <v>9696</v>
      </c>
      <c r="AD483" t="s">
        <v>9697</v>
      </c>
      <c r="AE483" t="s">
        <v>9698</v>
      </c>
      <c r="AF483" t="s">
        <v>74</v>
      </c>
      <c r="AG483">
        <v>87</v>
      </c>
      <c r="AH483">
        <v>17</v>
      </c>
      <c r="AI483">
        <v>18</v>
      </c>
      <c r="AJ483">
        <v>1</v>
      </c>
      <c r="AK483">
        <v>20</v>
      </c>
      <c r="AL483" t="s">
        <v>259</v>
      </c>
      <c r="AM483" t="s">
        <v>182</v>
      </c>
      <c r="AN483" t="s">
        <v>260</v>
      </c>
      <c r="AO483" t="s">
        <v>9699</v>
      </c>
      <c r="AP483" t="s">
        <v>74</v>
      </c>
      <c r="AQ483" t="s">
        <v>74</v>
      </c>
      <c r="AR483" t="s">
        <v>9700</v>
      </c>
      <c r="AS483" t="s">
        <v>9701</v>
      </c>
      <c r="AT483" t="s">
        <v>9679</v>
      </c>
      <c r="AU483">
        <v>2017</v>
      </c>
      <c r="AV483">
        <v>17</v>
      </c>
      <c r="AW483" t="s">
        <v>74</v>
      </c>
      <c r="AX483" t="s">
        <v>74</v>
      </c>
      <c r="AY483" t="s">
        <v>74</v>
      </c>
      <c r="AZ483" t="s">
        <v>74</v>
      </c>
      <c r="BA483" t="s">
        <v>74</v>
      </c>
      <c r="BB483" t="s">
        <v>74</v>
      </c>
      <c r="BC483" t="s">
        <v>74</v>
      </c>
      <c r="BD483">
        <v>195</v>
      </c>
      <c r="BE483" t="s">
        <v>9702</v>
      </c>
      <c r="BF483" t="str">
        <f>HYPERLINK("http://dx.doi.org/10.1186/s12862-017-1050-8","http://dx.doi.org/10.1186/s12862-017-1050-8")</f>
        <v>http://dx.doi.org/10.1186/s12862-017-1050-8</v>
      </c>
      <c r="BG483" t="s">
        <v>74</v>
      </c>
      <c r="BH483" t="s">
        <v>74</v>
      </c>
      <c r="BI483">
        <v>14</v>
      </c>
      <c r="BJ483" t="s">
        <v>9703</v>
      </c>
      <c r="BK483" t="s">
        <v>101</v>
      </c>
      <c r="BL483" t="s">
        <v>9703</v>
      </c>
      <c r="BM483" t="s">
        <v>9704</v>
      </c>
      <c r="BN483">
        <v>28821229</v>
      </c>
      <c r="BO483" t="s">
        <v>3746</v>
      </c>
      <c r="BP483" t="s">
        <v>74</v>
      </c>
      <c r="BQ483" t="s">
        <v>74</v>
      </c>
      <c r="BR483" t="s">
        <v>105</v>
      </c>
      <c r="BS483" t="s">
        <v>9705</v>
      </c>
      <c r="BT483" t="str">
        <f>HYPERLINK("https%3A%2F%2Fwww.webofscience.com%2Fwos%2Fwoscc%2Ffull-record%2FWOS:000407959200001","View Full Record in Web of Science")</f>
        <v>View Full Record in Web of Science</v>
      </c>
    </row>
    <row r="484" spans="1:72" x14ac:dyDescent="0.15">
      <c r="A484" t="s">
        <v>72</v>
      </c>
      <c r="B484" t="s">
        <v>9706</v>
      </c>
      <c r="C484" t="s">
        <v>74</v>
      </c>
      <c r="D484" t="s">
        <v>74</v>
      </c>
      <c r="E484" t="s">
        <v>74</v>
      </c>
      <c r="F484" t="s">
        <v>9707</v>
      </c>
      <c r="G484" t="s">
        <v>74</v>
      </c>
      <c r="H484" t="s">
        <v>74</v>
      </c>
      <c r="I484" t="s">
        <v>9708</v>
      </c>
      <c r="J484" t="s">
        <v>9709</v>
      </c>
      <c r="K484" t="s">
        <v>74</v>
      </c>
      <c r="L484" t="s">
        <v>74</v>
      </c>
      <c r="M484" t="s">
        <v>78</v>
      </c>
      <c r="N484" t="s">
        <v>79</v>
      </c>
      <c r="O484" t="s">
        <v>74</v>
      </c>
      <c r="P484" t="s">
        <v>74</v>
      </c>
      <c r="Q484" t="s">
        <v>74</v>
      </c>
      <c r="R484" t="s">
        <v>74</v>
      </c>
      <c r="S484" t="s">
        <v>74</v>
      </c>
      <c r="T484" t="s">
        <v>9710</v>
      </c>
      <c r="U484" t="s">
        <v>9711</v>
      </c>
      <c r="V484" t="s">
        <v>9712</v>
      </c>
      <c r="W484" t="s">
        <v>9713</v>
      </c>
      <c r="X484" t="s">
        <v>9714</v>
      </c>
      <c r="Y484" t="s">
        <v>9715</v>
      </c>
      <c r="Z484" t="s">
        <v>9716</v>
      </c>
      <c r="AA484" t="s">
        <v>9717</v>
      </c>
      <c r="AB484" t="s">
        <v>9718</v>
      </c>
      <c r="AC484" t="s">
        <v>9719</v>
      </c>
      <c r="AD484" t="s">
        <v>9720</v>
      </c>
      <c r="AE484" t="s">
        <v>9721</v>
      </c>
      <c r="AF484" t="s">
        <v>74</v>
      </c>
      <c r="AG484">
        <v>43</v>
      </c>
      <c r="AH484">
        <v>28</v>
      </c>
      <c r="AI484">
        <v>31</v>
      </c>
      <c r="AJ484">
        <v>1</v>
      </c>
      <c r="AK484">
        <v>44</v>
      </c>
      <c r="AL484" t="s">
        <v>9722</v>
      </c>
      <c r="AM484" t="s">
        <v>9723</v>
      </c>
      <c r="AN484" t="s">
        <v>9724</v>
      </c>
      <c r="AO484" t="s">
        <v>9725</v>
      </c>
      <c r="AP484" t="s">
        <v>9726</v>
      </c>
      <c r="AQ484" t="s">
        <v>74</v>
      </c>
      <c r="AR484" t="s">
        <v>9727</v>
      </c>
      <c r="AS484" t="s">
        <v>9728</v>
      </c>
      <c r="AT484" t="s">
        <v>9679</v>
      </c>
      <c r="AU484">
        <v>2017</v>
      </c>
      <c r="AV484">
        <v>136</v>
      </c>
      <c r="AW484" t="s">
        <v>74</v>
      </c>
      <c r="AX484" t="s">
        <v>74</v>
      </c>
      <c r="AY484" t="s">
        <v>74</v>
      </c>
      <c r="AZ484" t="s">
        <v>74</v>
      </c>
      <c r="BA484" t="s">
        <v>74</v>
      </c>
      <c r="BB484">
        <v>294</v>
      </c>
      <c r="BC484">
        <v>304</v>
      </c>
      <c r="BD484" t="s">
        <v>74</v>
      </c>
      <c r="BE484" t="s">
        <v>9729</v>
      </c>
      <c r="BF484" t="str">
        <f>HYPERLINK("http://dx.doi.org/10.1016/j.ejmech.2017.05.019","http://dx.doi.org/10.1016/j.ejmech.2017.05.019")</f>
        <v>http://dx.doi.org/10.1016/j.ejmech.2017.05.019</v>
      </c>
      <c r="BG484" t="s">
        <v>74</v>
      </c>
      <c r="BH484" t="s">
        <v>74</v>
      </c>
      <c r="BI484">
        <v>11</v>
      </c>
      <c r="BJ484" t="s">
        <v>9730</v>
      </c>
      <c r="BK484" t="s">
        <v>101</v>
      </c>
      <c r="BL484" t="s">
        <v>3493</v>
      </c>
      <c r="BM484" t="s">
        <v>9731</v>
      </c>
      <c r="BN484">
        <v>28505534</v>
      </c>
      <c r="BO484" t="s">
        <v>2091</v>
      </c>
      <c r="BP484" t="s">
        <v>74</v>
      </c>
      <c r="BQ484" t="s">
        <v>74</v>
      </c>
      <c r="BR484" t="s">
        <v>105</v>
      </c>
      <c r="BS484" t="s">
        <v>9732</v>
      </c>
      <c r="BT484" t="str">
        <f>HYPERLINK("https%3A%2F%2Fwww.webofscience.com%2Fwos%2Fwoscc%2Ffull-record%2FWOS:000403993500024","View Full Record in Web of Science")</f>
        <v>View Full Record in Web of Science</v>
      </c>
    </row>
    <row r="485" spans="1:72" x14ac:dyDescent="0.15">
      <c r="A485" t="s">
        <v>72</v>
      </c>
      <c r="B485" t="s">
        <v>9733</v>
      </c>
      <c r="C485" t="s">
        <v>74</v>
      </c>
      <c r="D485" t="s">
        <v>74</v>
      </c>
      <c r="E485" t="s">
        <v>74</v>
      </c>
      <c r="F485" t="s">
        <v>9734</v>
      </c>
      <c r="G485" t="s">
        <v>74</v>
      </c>
      <c r="H485" t="s">
        <v>74</v>
      </c>
      <c r="I485" t="s">
        <v>9735</v>
      </c>
      <c r="J485" t="s">
        <v>638</v>
      </c>
      <c r="K485" t="s">
        <v>74</v>
      </c>
      <c r="L485" t="s">
        <v>74</v>
      </c>
      <c r="M485" t="s">
        <v>78</v>
      </c>
      <c r="N485" t="s">
        <v>79</v>
      </c>
      <c r="O485" t="s">
        <v>74</v>
      </c>
      <c r="P485" t="s">
        <v>74</v>
      </c>
      <c r="Q485" t="s">
        <v>74</v>
      </c>
      <c r="R485" t="s">
        <v>74</v>
      </c>
      <c r="S485" t="s">
        <v>74</v>
      </c>
      <c r="T485" t="s">
        <v>74</v>
      </c>
      <c r="U485" t="s">
        <v>9736</v>
      </c>
      <c r="V485" t="s">
        <v>9737</v>
      </c>
      <c r="W485" t="s">
        <v>9738</v>
      </c>
      <c r="X485" t="s">
        <v>9739</v>
      </c>
      <c r="Y485" t="s">
        <v>9740</v>
      </c>
      <c r="Z485" t="s">
        <v>9741</v>
      </c>
      <c r="AA485" t="s">
        <v>74</v>
      </c>
      <c r="AB485" t="s">
        <v>74</v>
      </c>
      <c r="AC485" t="s">
        <v>9742</v>
      </c>
      <c r="AD485" t="s">
        <v>9743</v>
      </c>
      <c r="AE485" t="s">
        <v>9744</v>
      </c>
      <c r="AF485" t="s">
        <v>74</v>
      </c>
      <c r="AG485">
        <v>53</v>
      </c>
      <c r="AH485">
        <v>13</v>
      </c>
      <c r="AI485">
        <v>14</v>
      </c>
      <c r="AJ485">
        <v>3</v>
      </c>
      <c r="AK485">
        <v>39</v>
      </c>
      <c r="AL485" t="s">
        <v>650</v>
      </c>
      <c r="AM485" t="s">
        <v>651</v>
      </c>
      <c r="AN485" t="s">
        <v>652</v>
      </c>
      <c r="AO485" t="s">
        <v>653</v>
      </c>
      <c r="AP485" t="s">
        <v>74</v>
      </c>
      <c r="AQ485" t="s">
        <v>74</v>
      </c>
      <c r="AR485" t="s">
        <v>654</v>
      </c>
      <c r="AS485" t="s">
        <v>655</v>
      </c>
      <c r="AT485" t="s">
        <v>9745</v>
      </c>
      <c r="AU485">
        <v>2017</v>
      </c>
      <c r="AV485">
        <v>7</v>
      </c>
      <c r="AW485" t="s">
        <v>74</v>
      </c>
      <c r="AX485" t="s">
        <v>74</v>
      </c>
      <c r="AY485" t="s">
        <v>74</v>
      </c>
      <c r="AZ485" t="s">
        <v>74</v>
      </c>
      <c r="BA485" t="s">
        <v>74</v>
      </c>
      <c r="BB485" t="s">
        <v>74</v>
      </c>
      <c r="BC485" t="s">
        <v>74</v>
      </c>
      <c r="BD485">
        <v>7570</v>
      </c>
      <c r="BE485" t="s">
        <v>9746</v>
      </c>
      <c r="BF485" t="str">
        <f>HYPERLINK("http://dx.doi.org/10.1038/s41598-017-07900-7","http://dx.doi.org/10.1038/s41598-017-07900-7")</f>
        <v>http://dx.doi.org/10.1038/s41598-017-07900-7</v>
      </c>
      <c r="BG485" t="s">
        <v>74</v>
      </c>
      <c r="BH485" t="s">
        <v>74</v>
      </c>
      <c r="BI485">
        <v>9</v>
      </c>
      <c r="BJ485" t="s">
        <v>190</v>
      </c>
      <c r="BK485" t="s">
        <v>101</v>
      </c>
      <c r="BL485" t="s">
        <v>191</v>
      </c>
      <c r="BM485" t="s">
        <v>9747</v>
      </c>
      <c r="BN485">
        <v>28819102</v>
      </c>
      <c r="BO485" t="s">
        <v>267</v>
      </c>
      <c r="BP485" t="s">
        <v>74</v>
      </c>
      <c r="BQ485" t="s">
        <v>74</v>
      </c>
      <c r="BR485" t="s">
        <v>105</v>
      </c>
      <c r="BS485" t="s">
        <v>9748</v>
      </c>
      <c r="BT485" t="str">
        <f>HYPERLINK("https%3A%2F%2Fwww.webofscience.com%2Fwos%2Fwoscc%2Ffull-record%2FWOS:000407863200001","View Full Record in Web of Science")</f>
        <v>View Full Record in Web of Science</v>
      </c>
    </row>
    <row r="486" spans="1:72" x14ac:dyDescent="0.15">
      <c r="A486" t="s">
        <v>72</v>
      </c>
      <c r="B486" t="s">
        <v>9749</v>
      </c>
      <c r="C486" t="s">
        <v>74</v>
      </c>
      <c r="D486" t="s">
        <v>74</v>
      </c>
      <c r="E486" t="s">
        <v>74</v>
      </c>
      <c r="F486" t="s">
        <v>9750</v>
      </c>
      <c r="G486" t="s">
        <v>74</v>
      </c>
      <c r="H486" t="s">
        <v>74</v>
      </c>
      <c r="I486" t="s">
        <v>9751</v>
      </c>
      <c r="J486" t="s">
        <v>9752</v>
      </c>
      <c r="K486" t="s">
        <v>74</v>
      </c>
      <c r="L486" t="s">
        <v>74</v>
      </c>
      <c r="M486" t="s">
        <v>78</v>
      </c>
      <c r="N486" t="s">
        <v>273</v>
      </c>
      <c r="O486" t="s">
        <v>74</v>
      </c>
      <c r="P486" t="s">
        <v>74</v>
      </c>
      <c r="Q486" t="s">
        <v>74</v>
      </c>
      <c r="R486" t="s">
        <v>74</v>
      </c>
      <c r="S486" t="s">
        <v>74</v>
      </c>
      <c r="T486" t="s">
        <v>9753</v>
      </c>
      <c r="U486" t="s">
        <v>9754</v>
      </c>
      <c r="V486" t="s">
        <v>9755</v>
      </c>
      <c r="W486" t="s">
        <v>9756</v>
      </c>
      <c r="X486" t="s">
        <v>9757</v>
      </c>
      <c r="Y486" t="s">
        <v>9758</v>
      </c>
      <c r="Z486" t="s">
        <v>9759</v>
      </c>
      <c r="AA486" t="s">
        <v>9760</v>
      </c>
      <c r="AB486" t="s">
        <v>9761</v>
      </c>
      <c r="AC486" t="s">
        <v>9762</v>
      </c>
      <c r="AD486" t="s">
        <v>9763</v>
      </c>
      <c r="AE486" t="s">
        <v>9764</v>
      </c>
      <c r="AF486" t="s">
        <v>74</v>
      </c>
      <c r="AG486">
        <v>85</v>
      </c>
      <c r="AH486">
        <v>52</v>
      </c>
      <c r="AI486">
        <v>57</v>
      </c>
      <c r="AJ486">
        <v>7</v>
      </c>
      <c r="AK486">
        <v>47</v>
      </c>
      <c r="AL486" t="s">
        <v>450</v>
      </c>
      <c r="AM486" t="s">
        <v>451</v>
      </c>
      <c r="AN486" t="s">
        <v>452</v>
      </c>
      <c r="AO486" t="s">
        <v>74</v>
      </c>
      <c r="AP486" t="s">
        <v>9765</v>
      </c>
      <c r="AQ486" t="s">
        <v>74</v>
      </c>
      <c r="AR486" t="s">
        <v>9766</v>
      </c>
      <c r="AS486" t="s">
        <v>9767</v>
      </c>
      <c r="AT486" t="s">
        <v>9745</v>
      </c>
      <c r="AU486">
        <v>2017</v>
      </c>
      <c r="AV486">
        <v>8</v>
      </c>
      <c r="AW486" t="s">
        <v>74</v>
      </c>
      <c r="AX486" t="s">
        <v>74</v>
      </c>
      <c r="AY486" t="s">
        <v>74</v>
      </c>
      <c r="AZ486" t="s">
        <v>74</v>
      </c>
      <c r="BA486" t="s">
        <v>74</v>
      </c>
      <c r="BB486" t="s">
        <v>74</v>
      </c>
      <c r="BC486" t="s">
        <v>74</v>
      </c>
      <c r="BD486">
        <v>106</v>
      </c>
      <c r="BE486" t="s">
        <v>9768</v>
      </c>
      <c r="BF486" t="str">
        <f>HYPERLINK("http://dx.doi.org/10.3389/fgene.2017.00106","http://dx.doi.org/10.3389/fgene.2017.00106")</f>
        <v>http://dx.doi.org/10.3389/fgene.2017.00106</v>
      </c>
      <c r="BG486" t="s">
        <v>74</v>
      </c>
      <c r="BH486" t="s">
        <v>74</v>
      </c>
      <c r="BI486">
        <v>8</v>
      </c>
      <c r="BJ486" t="s">
        <v>9769</v>
      </c>
      <c r="BK486" t="s">
        <v>101</v>
      </c>
      <c r="BL486" t="s">
        <v>9769</v>
      </c>
      <c r="BM486" t="s">
        <v>9770</v>
      </c>
      <c r="BN486">
        <v>28878806</v>
      </c>
      <c r="BO486" t="s">
        <v>3771</v>
      </c>
      <c r="BP486" t="s">
        <v>74</v>
      </c>
      <c r="BQ486" t="s">
        <v>74</v>
      </c>
      <c r="BR486" t="s">
        <v>105</v>
      </c>
      <c r="BS486" t="s">
        <v>9771</v>
      </c>
      <c r="BT486" t="str">
        <f>HYPERLINK("https%3A%2F%2Fwww.webofscience.com%2Fwos%2Fwoscc%2Ffull-record%2FWOS:000408249000001","View Full Record in Web of Science")</f>
        <v>View Full Record in Web of Science</v>
      </c>
    </row>
    <row r="487" spans="1:72" x14ac:dyDescent="0.15">
      <c r="A487" t="s">
        <v>72</v>
      </c>
      <c r="B487" t="s">
        <v>9772</v>
      </c>
      <c r="C487" t="s">
        <v>74</v>
      </c>
      <c r="D487" t="s">
        <v>74</v>
      </c>
      <c r="E487" t="s">
        <v>74</v>
      </c>
      <c r="F487" t="s">
        <v>9773</v>
      </c>
      <c r="G487" t="s">
        <v>74</v>
      </c>
      <c r="H487" t="s">
        <v>74</v>
      </c>
      <c r="I487" t="s">
        <v>9774</v>
      </c>
      <c r="J487" t="s">
        <v>77</v>
      </c>
      <c r="K487" t="s">
        <v>74</v>
      </c>
      <c r="L487" t="s">
        <v>74</v>
      </c>
      <c r="M487" t="s">
        <v>78</v>
      </c>
      <c r="N487" t="s">
        <v>79</v>
      </c>
      <c r="O487" t="s">
        <v>74</v>
      </c>
      <c r="P487" t="s">
        <v>74</v>
      </c>
      <c r="Q487" t="s">
        <v>74</v>
      </c>
      <c r="R487" t="s">
        <v>74</v>
      </c>
      <c r="S487" t="s">
        <v>74</v>
      </c>
      <c r="T487" t="s">
        <v>74</v>
      </c>
      <c r="U487" t="s">
        <v>9775</v>
      </c>
      <c r="V487" t="s">
        <v>9776</v>
      </c>
      <c r="W487" t="s">
        <v>9777</v>
      </c>
      <c r="X487" t="s">
        <v>9778</v>
      </c>
      <c r="Y487" t="s">
        <v>9779</v>
      </c>
      <c r="Z487" t="s">
        <v>9780</v>
      </c>
      <c r="AA487" t="s">
        <v>9781</v>
      </c>
      <c r="AB487" t="s">
        <v>9782</v>
      </c>
      <c r="AC487" t="s">
        <v>9783</v>
      </c>
      <c r="AD487" t="s">
        <v>9784</v>
      </c>
      <c r="AE487" t="s">
        <v>9785</v>
      </c>
      <c r="AF487" t="s">
        <v>74</v>
      </c>
      <c r="AG487">
        <v>38</v>
      </c>
      <c r="AH487">
        <v>26</v>
      </c>
      <c r="AI487">
        <v>28</v>
      </c>
      <c r="AJ487">
        <v>1</v>
      </c>
      <c r="AK487">
        <v>26</v>
      </c>
      <c r="AL487" t="s">
        <v>91</v>
      </c>
      <c r="AM487" t="s">
        <v>92</v>
      </c>
      <c r="AN487" t="s">
        <v>93</v>
      </c>
      <c r="AO487" t="s">
        <v>94</v>
      </c>
      <c r="AP487" t="s">
        <v>95</v>
      </c>
      <c r="AQ487" t="s">
        <v>74</v>
      </c>
      <c r="AR487" t="s">
        <v>96</v>
      </c>
      <c r="AS487" t="s">
        <v>97</v>
      </c>
      <c r="AT487" t="s">
        <v>9786</v>
      </c>
      <c r="AU487">
        <v>2017</v>
      </c>
      <c r="AV487">
        <v>44</v>
      </c>
      <c r="AW487">
        <v>15</v>
      </c>
      <c r="AX487" t="s">
        <v>74</v>
      </c>
      <c r="AY487" t="s">
        <v>74</v>
      </c>
      <c r="AZ487" t="s">
        <v>74</v>
      </c>
      <c r="BA487" t="s">
        <v>74</v>
      </c>
      <c r="BB487">
        <v>7808</v>
      </c>
      <c r="BC487">
        <v>7816</v>
      </c>
      <c r="BD487" t="s">
        <v>74</v>
      </c>
      <c r="BE487" t="s">
        <v>9787</v>
      </c>
      <c r="BF487" t="str">
        <f>HYPERLINK("http://dx.doi.org/10.1002/2017GL074039","http://dx.doi.org/10.1002/2017GL074039")</f>
        <v>http://dx.doi.org/10.1002/2017GL074039</v>
      </c>
      <c r="BG487" t="s">
        <v>74</v>
      </c>
      <c r="BH487" t="s">
        <v>74</v>
      </c>
      <c r="BI487">
        <v>9</v>
      </c>
      <c r="BJ487" t="s">
        <v>100</v>
      </c>
      <c r="BK487" t="s">
        <v>101</v>
      </c>
      <c r="BL487" t="s">
        <v>102</v>
      </c>
      <c r="BM487" t="s">
        <v>9788</v>
      </c>
      <c r="BN487">
        <v>32848286</v>
      </c>
      <c r="BO487" t="s">
        <v>598</v>
      </c>
      <c r="BP487" t="s">
        <v>74</v>
      </c>
      <c r="BQ487" t="s">
        <v>74</v>
      </c>
      <c r="BR487" t="s">
        <v>105</v>
      </c>
      <c r="BS487" t="s">
        <v>9789</v>
      </c>
      <c r="BT487" t="str">
        <f>HYPERLINK("https%3A%2F%2Fwww.webofscience.com%2Fwos%2Fwoscc%2Ffull-record%2FWOS:000408379000029","View Full Record in Web of Science")</f>
        <v>View Full Record in Web of Science</v>
      </c>
    </row>
    <row r="488" spans="1:72" x14ac:dyDescent="0.15">
      <c r="A488" t="s">
        <v>72</v>
      </c>
      <c r="B488" t="s">
        <v>9790</v>
      </c>
      <c r="C488" t="s">
        <v>74</v>
      </c>
      <c r="D488" t="s">
        <v>74</v>
      </c>
      <c r="E488" t="s">
        <v>74</v>
      </c>
      <c r="F488" t="s">
        <v>9791</v>
      </c>
      <c r="G488" t="s">
        <v>74</v>
      </c>
      <c r="H488" t="s">
        <v>74</v>
      </c>
      <c r="I488" t="s">
        <v>9792</v>
      </c>
      <c r="J488" t="s">
        <v>77</v>
      </c>
      <c r="K488" t="s">
        <v>74</v>
      </c>
      <c r="L488" t="s">
        <v>74</v>
      </c>
      <c r="M488" t="s">
        <v>78</v>
      </c>
      <c r="N488" t="s">
        <v>79</v>
      </c>
      <c r="O488" t="s">
        <v>74</v>
      </c>
      <c r="P488" t="s">
        <v>74</v>
      </c>
      <c r="Q488" t="s">
        <v>74</v>
      </c>
      <c r="R488" t="s">
        <v>74</v>
      </c>
      <c r="S488" t="s">
        <v>74</v>
      </c>
      <c r="T488" t="s">
        <v>74</v>
      </c>
      <c r="U488" t="s">
        <v>9793</v>
      </c>
      <c r="V488" t="s">
        <v>9794</v>
      </c>
      <c r="W488" t="s">
        <v>9795</v>
      </c>
      <c r="X488" t="s">
        <v>9796</v>
      </c>
      <c r="Y488" t="s">
        <v>9797</v>
      </c>
      <c r="Z488" t="s">
        <v>9798</v>
      </c>
      <c r="AA488" t="s">
        <v>74</v>
      </c>
      <c r="AB488" t="s">
        <v>9799</v>
      </c>
      <c r="AC488" t="s">
        <v>9800</v>
      </c>
      <c r="AD488" t="s">
        <v>9801</v>
      </c>
      <c r="AE488" t="s">
        <v>9802</v>
      </c>
      <c r="AF488" t="s">
        <v>74</v>
      </c>
      <c r="AG488">
        <v>58</v>
      </c>
      <c r="AH488">
        <v>55</v>
      </c>
      <c r="AI488">
        <v>69</v>
      </c>
      <c r="AJ488">
        <v>2</v>
      </c>
      <c r="AK488">
        <v>34</v>
      </c>
      <c r="AL488" t="s">
        <v>91</v>
      </c>
      <c r="AM488" t="s">
        <v>92</v>
      </c>
      <c r="AN488" t="s">
        <v>93</v>
      </c>
      <c r="AO488" t="s">
        <v>94</v>
      </c>
      <c r="AP488" t="s">
        <v>95</v>
      </c>
      <c r="AQ488" t="s">
        <v>74</v>
      </c>
      <c r="AR488" t="s">
        <v>96</v>
      </c>
      <c r="AS488" t="s">
        <v>97</v>
      </c>
      <c r="AT488" t="s">
        <v>9786</v>
      </c>
      <c r="AU488">
        <v>2017</v>
      </c>
      <c r="AV488">
        <v>44</v>
      </c>
      <c r="AW488">
        <v>15</v>
      </c>
      <c r="AX488" t="s">
        <v>74</v>
      </c>
      <c r="AY488" t="s">
        <v>74</v>
      </c>
      <c r="AZ488" t="s">
        <v>74</v>
      </c>
      <c r="BA488" t="s">
        <v>74</v>
      </c>
      <c r="BB488">
        <v>7817</v>
      </c>
      <c r="BC488">
        <v>7825</v>
      </c>
      <c r="BD488" t="s">
        <v>74</v>
      </c>
      <c r="BE488" t="s">
        <v>9803</v>
      </c>
      <c r="BF488" t="str">
        <f>HYPERLINK("http://dx.doi.org/10.1002/2017GL074216","http://dx.doi.org/10.1002/2017GL074216")</f>
        <v>http://dx.doi.org/10.1002/2017GL074216</v>
      </c>
      <c r="BG488" t="s">
        <v>74</v>
      </c>
      <c r="BH488" t="s">
        <v>74</v>
      </c>
      <c r="BI488">
        <v>9</v>
      </c>
      <c r="BJ488" t="s">
        <v>100</v>
      </c>
      <c r="BK488" t="s">
        <v>101</v>
      </c>
      <c r="BL488" t="s">
        <v>102</v>
      </c>
      <c r="BM488" t="s">
        <v>9788</v>
      </c>
      <c r="BN488" t="s">
        <v>74</v>
      </c>
      <c r="BO488" t="s">
        <v>74</v>
      </c>
      <c r="BP488" t="s">
        <v>74</v>
      </c>
      <c r="BQ488" t="s">
        <v>74</v>
      </c>
      <c r="BR488" t="s">
        <v>105</v>
      </c>
      <c r="BS488" t="s">
        <v>9804</v>
      </c>
      <c r="BT488" t="str">
        <f>HYPERLINK("https%3A%2F%2Fwww.webofscience.com%2Fwos%2Fwoscc%2Ffull-record%2FWOS:000408379000030","View Full Record in Web of Science")</f>
        <v>View Full Record in Web of Science</v>
      </c>
    </row>
    <row r="489" spans="1:72" x14ac:dyDescent="0.15">
      <c r="A489" t="s">
        <v>72</v>
      </c>
      <c r="B489" t="s">
        <v>9805</v>
      </c>
      <c r="C489" t="s">
        <v>74</v>
      </c>
      <c r="D489" t="s">
        <v>74</v>
      </c>
      <c r="E489" t="s">
        <v>74</v>
      </c>
      <c r="F489" t="s">
        <v>9806</v>
      </c>
      <c r="G489" t="s">
        <v>74</v>
      </c>
      <c r="H489" t="s">
        <v>74</v>
      </c>
      <c r="I489" t="s">
        <v>9807</v>
      </c>
      <c r="J489" t="s">
        <v>77</v>
      </c>
      <c r="K489" t="s">
        <v>74</v>
      </c>
      <c r="L489" t="s">
        <v>74</v>
      </c>
      <c r="M489" t="s">
        <v>78</v>
      </c>
      <c r="N489" t="s">
        <v>79</v>
      </c>
      <c r="O489" t="s">
        <v>74</v>
      </c>
      <c r="P489" t="s">
        <v>74</v>
      </c>
      <c r="Q489" t="s">
        <v>74</v>
      </c>
      <c r="R489" t="s">
        <v>74</v>
      </c>
      <c r="S489" t="s">
        <v>74</v>
      </c>
      <c r="T489" t="s">
        <v>74</v>
      </c>
      <c r="U489" t="s">
        <v>9808</v>
      </c>
      <c r="V489" t="s">
        <v>9809</v>
      </c>
      <c r="W489" t="s">
        <v>9810</v>
      </c>
      <c r="X489" t="s">
        <v>9811</v>
      </c>
      <c r="Y489" t="s">
        <v>9812</v>
      </c>
      <c r="Z489" t="s">
        <v>9813</v>
      </c>
      <c r="AA489" t="s">
        <v>9814</v>
      </c>
      <c r="AB489" t="s">
        <v>9815</v>
      </c>
      <c r="AC489" t="s">
        <v>9816</v>
      </c>
      <c r="AD489" t="s">
        <v>9817</v>
      </c>
      <c r="AE489" t="s">
        <v>9818</v>
      </c>
      <c r="AF489" t="s">
        <v>74</v>
      </c>
      <c r="AG489">
        <v>27</v>
      </c>
      <c r="AH489">
        <v>7</v>
      </c>
      <c r="AI489">
        <v>8</v>
      </c>
      <c r="AJ489">
        <v>2</v>
      </c>
      <c r="AK489">
        <v>12</v>
      </c>
      <c r="AL489" t="s">
        <v>91</v>
      </c>
      <c r="AM489" t="s">
        <v>92</v>
      </c>
      <c r="AN489" t="s">
        <v>93</v>
      </c>
      <c r="AO489" t="s">
        <v>94</v>
      </c>
      <c r="AP489" t="s">
        <v>95</v>
      </c>
      <c r="AQ489" t="s">
        <v>74</v>
      </c>
      <c r="AR489" t="s">
        <v>96</v>
      </c>
      <c r="AS489" t="s">
        <v>97</v>
      </c>
      <c r="AT489" t="s">
        <v>9786</v>
      </c>
      <c r="AU489">
        <v>2017</v>
      </c>
      <c r="AV489">
        <v>44</v>
      </c>
      <c r="AW489">
        <v>15</v>
      </c>
      <c r="AX489" t="s">
        <v>74</v>
      </c>
      <c r="AY489" t="s">
        <v>74</v>
      </c>
      <c r="AZ489" t="s">
        <v>74</v>
      </c>
      <c r="BA489" t="s">
        <v>74</v>
      </c>
      <c r="BB489">
        <v>7836</v>
      </c>
      <c r="BC489">
        <v>7844</v>
      </c>
      <c r="BD489" t="s">
        <v>74</v>
      </c>
      <c r="BE489" t="s">
        <v>9819</v>
      </c>
      <c r="BF489" t="str">
        <f>HYPERLINK("http://dx.doi.org/10.1002/2017GL074202","http://dx.doi.org/10.1002/2017GL074202")</f>
        <v>http://dx.doi.org/10.1002/2017GL074202</v>
      </c>
      <c r="BG489" t="s">
        <v>74</v>
      </c>
      <c r="BH489" t="s">
        <v>74</v>
      </c>
      <c r="BI489">
        <v>9</v>
      </c>
      <c r="BJ489" t="s">
        <v>100</v>
      </c>
      <c r="BK489" t="s">
        <v>101</v>
      </c>
      <c r="BL489" t="s">
        <v>102</v>
      </c>
      <c r="BM489" t="s">
        <v>9788</v>
      </c>
      <c r="BN489" t="s">
        <v>74</v>
      </c>
      <c r="BO489" t="s">
        <v>7331</v>
      </c>
      <c r="BP489" t="s">
        <v>74</v>
      </c>
      <c r="BQ489" t="s">
        <v>74</v>
      </c>
      <c r="BR489" t="s">
        <v>105</v>
      </c>
      <c r="BS489" t="s">
        <v>9820</v>
      </c>
      <c r="BT489" t="str">
        <f>HYPERLINK("https%3A%2F%2Fwww.webofscience.com%2Fwos%2Fwoscc%2Ffull-record%2FWOS:000408379000032","View Full Record in Web of Science")</f>
        <v>View Full Record in Web of Science</v>
      </c>
    </row>
    <row r="490" spans="1:72" x14ac:dyDescent="0.15">
      <c r="A490" t="s">
        <v>72</v>
      </c>
      <c r="B490" t="s">
        <v>9821</v>
      </c>
      <c r="C490" t="s">
        <v>74</v>
      </c>
      <c r="D490" t="s">
        <v>74</v>
      </c>
      <c r="E490" t="s">
        <v>74</v>
      </c>
      <c r="F490" t="s">
        <v>9822</v>
      </c>
      <c r="G490" t="s">
        <v>74</v>
      </c>
      <c r="H490" t="s">
        <v>74</v>
      </c>
      <c r="I490" t="s">
        <v>9823</v>
      </c>
      <c r="J490" t="s">
        <v>144</v>
      </c>
      <c r="K490" t="s">
        <v>74</v>
      </c>
      <c r="L490" t="s">
        <v>74</v>
      </c>
      <c r="M490" t="s">
        <v>78</v>
      </c>
      <c r="N490" t="s">
        <v>79</v>
      </c>
      <c r="O490" t="s">
        <v>74</v>
      </c>
      <c r="P490" t="s">
        <v>74</v>
      </c>
      <c r="Q490" t="s">
        <v>74</v>
      </c>
      <c r="R490" t="s">
        <v>74</v>
      </c>
      <c r="S490" t="s">
        <v>74</v>
      </c>
      <c r="T490" t="s">
        <v>9824</v>
      </c>
      <c r="U490" t="s">
        <v>9825</v>
      </c>
      <c r="V490" t="s">
        <v>9826</v>
      </c>
      <c r="W490" t="s">
        <v>9827</v>
      </c>
      <c r="X490" t="s">
        <v>9828</v>
      </c>
      <c r="Y490" t="s">
        <v>9829</v>
      </c>
      <c r="Z490" t="s">
        <v>9830</v>
      </c>
      <c r="AA490" t="s">
        <v>74</v>
      </c>
      <c r="AB490" t="s">
        <v>9831</v>
      </c>
      <c r="AC490" t="s">
        <v>9832</v>
      </c>
      <c r="AD490" t="s">
        <v>9833</v>
      </c>
      <c r="AE490" t="s">
        <v>9834</v>
      </c>
      <c r="AF490" t="s">
        <v>74</v>
      </c>
      <c r="AG490">
        <v>25</v>
      </c>
      <c r="AH490">
        <v>17</v>
      </c>
      <c r="AI490">
        <v>20</v>
      </c>
      <c r="AJ490">
        <v>1</v>
      </c>
      <c r="AK490">
        <v>25</v>
      </c>
      <c r="AL490" t="s">
        <v>91</v>
      </c>
      <c r="AM490" t="s">
        <v>92</v>
      </c>
      <c r="AN490" t="s">
        <v>93</v>
      </c>
      <c r="AO490" t="s">
        <v>156</v>
      </c>
      <c r="AP490" t="s">
        <v>157</v>
      </c>
      <c r="AQ490" t="s">
        <v>74</v>
      </c>
      <c r="AR490" t="s">
        <v>158</v>
      </c>
      <c r="AS490" t="s">
        <v>159</v>
      </c>
      <c r="AT490" t="s">
        <v>9786</v>
      </c>
      <c r="AU490">
        <v>2017</v>
      </c>
      <c r="AV490">
        <v>122</v>
      </c>
      <c r="AW490">
        <v>15</v>
      </c>
      <c r="AX490" t="s">
        <v>74</v>
      </c>
      <c r="AY490" t="s">
        <v>74</v>
      </c>
      <c r="AZ490" t="s">
        <v>74</v>
      </c>
      <c r="BA490" t="s">
        <v>74</v>
      </c>
      <c r="BB490">
        <v>8071</v>
      </c>
      <c r="BC490">
        <v>8078</v>
      </c>
      <c r="BD490" t="s">
        <v>74</v>
      </c>
      <c r="BE490" t="s">
        <v>9835</v>
      </c>
      <c r="BF490" t="str">
        <f>HYPERLINK("http://dx.doi.org/10.1002/2017JD027038","http://dx.doi.org/10.1002/2017JD027038")</f>
        <v>http://dx.doi.org/10.1002/2017JD027038</v>
      </c>
      <c r="BG490" t="s">
        <v>74</v>
      </c>
      <c r="BH490" t="s">
        <v>74</v>
      </c>
      <c r="BI490">
        <v>8</v>
      </c>
      <c r="BJ490" t="s">
        <v>162</v>
      </c>
      <c r="BK490" t="s">
        <v>101</v>
      </c>
      <c r="BL490" t="s">
        <v>162</v>
      </c>
      <c r="BM490" t="s">
        <v>9836</v>
      </c>
      <c r="BN490" t="s">
        <v>74</v>
      </c>
      <c r="BO490" t="s">
        <v>511</v>
      </c>
      <c r="BP490" t="s">
        <v>74</v>
      </c>
      <c r="BQ490" t="s">
        <v>74</v>
      </c>
      <c r="BR490" t="s">
        <v>105</v>
      </c>
      <c r="BS490" t="s">
        <v>9837</v>
      </c>
      <c r="BT490" t="str">
        <f>HYPERLINK("https%3A%2F%2Fwww.webofscience.com%2Fwos%2Fwoscc%2Ffull-record%2FWOS:000408349500023","View Full Record in Web of Science")</f>
        <v>View Full Record in Web of Science</v>
      </c>
    </row>
    <row r="491" spans="1:72" x14ac:dyDescent="0.15">
      <c r="A491" t="s">
        <v>72</v>
      </c>
      <c r="B491" t="s">
        <v>9838</v>
      </c>
      <c r="C491" t="s">
        <v>74</v>
      </c>
      <c r="D491" t="s">
        <v>74</v>
      </c>
      <c r="E491" t="s">
        <v>74</v>
      </c>
      <c r="F491" t="s">
        <v>9839</v>
      </c>
      <c r="G491" t="s">
        <v>74</v>
      </c>
      <c r="H491" t="s">
        <v>74</v>
      </c>
      <c r="I491" t="s">
        <v>9840</v>
      </c>
      <c r="J491" t="s">
        <v>144</v>
      </c>
      <c r="K491" t="s">
        <v>74</v>
      </c>
      <c r="L491" t="s">
        <v>74</v>
      </c>
      <c r="M491" t="s">
        <v>78</v>
      </c>
      <c r="N491" t="s">
        <v>79</v>
      </c>
      <c r="O491" t="s">
        <v>74</v>
      </c>
      <c r="P491" t="s">
        <v>74</v>
      </c>
      <c r="Q491" t="s">
        <v>74</v>
      </c>
      <c r="R491" t="s">
        <v>74</v>
      </c>
      <c r="S491" t="s">
        <v>74</v>
      </c>
      <c r="T491" t="s">
        <v>9841</v>
      </c>
      <c r="U491" t="s">
        <v>9842</v>
      </c>
      <c r="V491" t="s">
        <v>9843</v>
      </c>
      <c r="W491" t="s">
        <v>9844</v>
      </c>
      <c r="X491" t="s">
        <v>9845</v>
      </c>
      <c r="Y491" t="s">
        <v>9846</v>
      </c>
      <c r="Z491" t="s">
        <v>9847</v>
      </c>
      <c r="AA491" t="s">
        <v>9848</v>
      </c>
      <c r="AB491" t="s">
        <v>9849</v>
      </c>
      <c r="AC491" t="s">
        <v>9850</v>
      </c>
      <c r="AD491" t="s">
        <v>7459</v>
      </c>
      <c r="AE491" t="s">
        <v>9851</v>
      </c>
      <c r="AF491" t="s">
        <v>74</v>
      </c>
      <c r="AG491">
        <v>40</v>
      </c>
      <c r="AH491">
        <v>10</v>
      </c>
      <c r="AI491">
        <v>11</v>
      </c>
      <c r="AJ491">
        <v>2</v>
      </c>
      <c r="AK491">
        <v>6</v>
      </c>
      <c r="AL491" t="s">
        <v>91</v>
      </c>
      <c r="AM491" t="s">
        <v>92</v>
      </c>
      <c r="AN491" t="s">
        <v>93</v>
      </c>
      <c r="AO491" t="s">
        <v>156</v>
      </c>
      <c r="AP491" t="s">
        <v>157</v>
      </c>
      <c r="AQ491" t="s">
        <v>74</v>
      </c>
      <c r="AR491" t="s">
        <v>158</v>
      </c>
      <c r="AS491" t="s">
        <v>159</v>
      </c>
      <c r="AT491" t="s">
        <v>9786</v>
      </c>
      <c r="AU491">
        <v>2017</v>
      </c>
      <c r="AV491">
        <v>122</v>
      </c>
      <c r="AW491">
        <v>15</v>
      </c>
      <c r="AX491" t="s">
        <v>74</v>
      </c>
      <c r="AY491" t="s">
        <v>74</v>
      </c>
      <c r="AZ491" t="s">
        <v>74</v>
      </c>
      <c r="BA491" t="s">
        <v>74</v>
      </c>
      <c r="BB491">
        <v>7869</v>
      </c>
      <c r="BC491">
        <v>7880</v>
      </c>
      <c r="BD491" t="s">
        <v>74</v>
      </c>
      <c r="BE491" t="s">
        <v>9852</v>
      </c>
      <c r="BF491" t="str">
        <f>HYPERLINK("http://dx.doi.org/10.1002/2016JD026360","http://dx.doi.org/10.1002/2016JD026360")</f>
        <v>http://dx.doi.org/10.1002/2016JD026360</v>
      </c>
      <c r="BG491" t="s">
        <v>74</v>
      </c>
      <c r="BH491" t="s">
        <v>74</v>
      </c>
      <c r="BI491">
        <v>12</v>
      </c>
      <c r="BJ491" t="s">
        <v>162</v>
      </c>
      <c r="BK491" t="s">
        <v>101</v>
      </c>
      <c r="BL491" t="s">
        <v>162</v>
      </c>
      <c r="BM491" t="s">
        <v>9836</v>
      </c>
      <c r="BN491" t="s">
        <v>74</v>
      </c>
      <c r="BO491" t="s">
        <v>164</v>
      </c>
      <c r="BP491" t="s">
        <v>74</v>
      </c>
      <c r="BQ491" t="s">
        <v>74</v>
      </c>
      <c r="BR491" t="s">
        <v>105</v>
      </c>
      <c r="BS491" t="s">
        <v>9853</v>
      </c>
      <c r="BT491" t="str">
        <f>HYPERLINK("https%3A%2F%2Fwww.webofscience.com%2Fwos%2Fwoscc%2Ffull-record%2FWOS:000408349500011","View Full Record in Web of Science")</f>
        <v>View Full Record in Web of Science</v>
      </c>
    </row>
    <row r="492" spans="1:72" x14ac:dyDescent="0.15">
      <c r="A492" t="s">
        <v>72</v>
      </c>
      <c r="B492" t="s">
        <v>9854</v>
      </c>
      <c r="C492" t="s">
        <v>74</v>
      </c>
      <c r="D492" t="s">
        <v>74</v>
      </c>
      <c r="E492" t="s">
        <v>74</v>
      </c>
      <c r="F492" t="s">
        <v>9855</v>
      </c>
      <c r="G492" t="s">
        <v>74</v>
      </c>
      <c r="H492" t="s">
        <v>74</v>
      </c>
      <c r="I492" t="s">
        <v>9856</v>
      </c>
      <c r="J492" t="s">
        <v>860</v>
      </c>
      <c r="K492" t="s">
        <v>74</v>
      </c>
      <c r="L492" t="s">
        <v>74</v>
      </c>
      <c r="M492" t="s">
        <v>78</v>
      </c>
      <c r="N492" t="s">
        <v>79</v>
      </c>
      <c r="O492" t="s">
        <v>74</v>
      </c>
      <c r="P492" t="s">
        <v>74</v>
      </c>
      <c r="Q492" t="s">
        <v>74</v>
      </c>
      <c r="R492" t="s">
        <v>74</v>
      </c>
      <c r="S492" t="s">
        <v>74</v>
      </c>
      <c r="T492" t="s">
        <v>74</v>
      </c>
      <c r="U492" t="s">
        <v>9857</v>
      </c>
      <c r="V492" t="s">
        <v>9858</v>
      </c>
      <c r="W492" t="s">
        <v>9859</v>
      </c>
      <c r="X492" t="s">
        <v>9860</v>
      </c>
      <c r="Y492" t="s">
        <v>9861</v>
      </c>
      <c r="Z492" t="s">
        <v>9862</v>
      </c>
      <c r="AA492" t="s">
        <v>9863</v>
      </c>
      <c r="AB492" t="s">
        <v>9864</v>
      </c>
      <c r="AC492" t="s">
        <v>9865</v>
      </c>
      <c r="AD492" t="s">
        <v>9866</v>
      </c>
      <c r="AE492" t="s">
        <v>9867</v>
      </c>
      <c r="AF492" t="s">
        <v>74</v>
      </c>
      <c r="AG492">
        <v>67</v>
      </c>
      <c r="AH492">
        <v>32</v>
      </c>
      <c r="AI492">
        <v>33</v>
      </c>
      <c r="AJ492">
        <v>2</v>
      </c>
      <c r="AK492">
        <v>33</v>
      </c>
      <c r="AL492" t="s">
        <v>872</v>
      </c>
      <c r="AM492" t="s">
        <v>873</v>
      </c>
      <c r="AN492" t="s">
        <v>874</v>
      </c>
      <c r="AO492" t="s">
        <v>875</v>
      </c>
      <c r="AP492" t="s">
        <v>74</v>
      </c>
      <c r="AQ492" t="s">
        <v>74</v>
      </c>
      <c r="AR492" t="s">
        <v>860</v>
      </c>
      <c r="AS492" t="s">
        <v>876</v>
      </c>
      <c r="AT492" t="s">
        <v>9786</v>
      </c>
      <c r="AU492">
        <v>2017</v>
      </c>
      <c r="AV492">
        <v>12</v>
      </c>
      <c r="AW492">
        <v>8</v>
      </c>
      <c r="AX492" t="s">
        <v>74</v>
      </c>
      <c r="AY492" t="s">
        <v>74</v>
      </c>
      <c r="AZ492" t="s">
        <v>74</v>
      </c>
      <c r="BA492" t="s">
        <v>74</v>
      </c>
      <c r="BB492" t="s">
        <v>74</v>
      </c>
      <c r="BC492" t="s">
        <v>74</v>
      </c>
      <c r="BD492" t="s">
        <v>9868</v>
      </c>
      <c r="BE492" t="s">
        <v>9869</v>
      </c>
      <c r="BF492" t="str">
        <f>HYPERLINK("http://dx.doi.org/10.1371/journal.pone.0181901","http://dx.doi.org/10.1371/journal.pone.0181901")</f>
        <v>http://dx.doi.org/10.1371/journal.pone.0181901</v>
      </c>
      <c r="BG492" t="s">
        <v>74</v>
      </c>
      <c r="BH492" t="s">
        <v>74</v>
      </c>
      <c r="BI492">
        <v>26</v>
      </c>
      <c r="BJ492" t="s">
        <v>190</v>
      </c>
      <c r="BK492" t="s">
        <v>101</v>
      </c>
      <c r="BL492" t="s">
        <v>191</v>
      </c>
      <c r="BM492" t="s">
        <v>9870</v>
      </c>
      <c r="BN492">
        <v>28813428</v>
      </c>
      <c r="BO492" t="s">
        <v>923</v>
      </c>
      <c r="BP492" t="s">
        <v>74</v>
      </c>
      <c r="BQ492" t="s">
        <v>74</v>
      </c>
      <c r="BR492" t="s">
        <v>105</v>
      </c>
      <c r="BS492" t="s">
        <v>9871</v>
      </c>
      <c r="BT492" t="str">
        <f>HYPERLINK("https%3A%2F%2Fwww.webofscience.com%2Fwos%2Fwoscc%2Ffull-record%2FWOS:000407672200019","View Full Record in Web of Science")</f>
        <v>View Full Record in Web of Science</v>
      </c>
    </row>
    <row r="493" spans="1:72" x14ac:dyDescent="0.15">
      <c r="A493" t="s">
        <v>72</v>
      </c>
      <c r="B493" t="s">
        <v>9872</v>
      </c>
      <c r="C493" t="s">
        <v>74</v>
      </c>
      <c r="D493" t="s">
        <v>74</v>
      </c>
      <c r="E493" t="s">
        <v>74</v>
      </c>
      <c r="F493" t="s">
        <v>9873</v>
      </c>
      <c r="G493" t="s">
        <v>74</v>
      </c>
      <c r="H493" t="s">
        <v>74</v>
      </c>
      <c r="I493" t="s">
        <v>9874</v>
      </c>
      <c r="J493" t="s">
        <v>9875</v>
      </c>
      <c r="K493" t="s">
        <v>74</v>
      </c>
      <c r="L493" t="s">
        <v>74</v>
      </c>
      <c r="M493" t="s">
        <v>78</v>
      </c>
      <c r="N493" t="s">
        <v>79</v>
      </c>
      <c r="O493" t="s">
        <v>74</v>
      </c>
      <c r="P493" t="s">
        <v>74</v>
      </c>
      <c r="Q493" t="s">
        <v>74</v>
      </c>
      <c r="R493" t="s">
        <v>74</v>
      </c>
      <c r="S493" t="s">
        <v>74</v>
      </c>
      <c r="T493" t="s">
        <v>9876</v>
      </c>
      <c r="U493" t="s">
        <v>9877</v>
      </c>
      <c r="V493" t="s">
        <v>9878</v>
      </c>
      <c r="W493" t="s">
        <v>9879</v>
      </c>
      <c r="X493" t="s">
        <v>9880</v>
      </c>
      <c r="Y493" t="s">
        <v>9881</v>
      </c>
      <c r="Z493" t="s">
        <v>9882</v>
      </c>
      <c r="AA493" t="s">
        <v>9883</v>
      </c>
      <c r="AB493" t="s">
        <v>9884</v>
      </c>
      <c r="AC493" t="s">
        <v>9885</v>
      </c>
      <c r="AD493" t="s">
        <v>9886</v>
      </c>
      <c r="AE493" t="s">
        <v>9887</v>
      </c>
      <c r="AF493" t="s">
        <v>74</v>
      </c>
      <c r="AG493">
        <v>33</v>
      </c>
      <c r="AH493">
        <v>54</v>
      </c>
      <c r="AI493">
        <v>54</v>
      </c>
      <c r="AJ493">
        <v>4</v>
      </c>
      <c r="AK493">
        <v>563</v>
      </c>
      <c r="AL493" t="s">
        <v>1809</v>
      </c>
      <c r="AM493" t="s">
        <v>182</v>
      </c>
      <c r="AN493" t="s">
        <v>1810</v>
      </c>
      <c r="AO493" t="s">
        <v>9888</v>
      </c>
      <c r="AP493" t="s">
        <v>9889</v>
      </c>
      <c r="AQ493" t="s">
        <v>74</v>
      </c>
      <c r="AR493" t="s">
        <v>9890</v>
      </c>
      <c r="AS493" t="s">
        <v>9891</v>
      </c>
      <c r="AT493" t="s">
        <v>9786</v>
      </c>
      <c r="AU493">
        <v>2017</v>
      </c>
      <c r="AV493">
        <v>284</v>
      </c>
      <c r="AW493">
        <v>1860</v>
      </c>
      <c r="AX493" t="s">
        <v>74</v>
      </c>
      <c r="AY493" t="s">
        <v>74</v>
      </c>
      <c r="AZ493" t="s">
        <v>74</v>
      </c>
      <c r="BA493" t="s">
        <v>74</v>
      </c>
      <c r="BB493" t="s">
        <v>74</v>
      </c>
      <c r="BC493" t="s">
        <v>74</v>
      </c>
      <c r="BD493">
        <v>20170664</v>
      </c>
      <c r="BE493" t="s">
        <v>9892</v>
      </c>
      <c r="BF493" t="str">
        <f>HYPERLINK("http://dx.doi.org/10.1098/rspb.2017.0664","http://dx.doi.org/10.1098/rspb.2017.0664")</f>
        <v>http://dx.doi.org/10.1098/rspb.2017.0664</v>
      </c>
      <c r="BG493" t="s">
        <v>74</v>
      </c>
      <c r="BH493" t="s">
        <v>74</v>
      </c>
      <c r="BI493">
        <v>6</v>
      </c>
      <c r="BJ493" t="s">
        <v>1817</v>
      </c>
      <c r="BK493" t="s">
        <v>101</v>
      </c>
      <c r="BL493" t="s">
        <v>1818</v>
      </c>
      <c r="BM493" t="s">
        <v>9893</v>
      </c>
      <c r="BN493">
        <v>28768886</v>
      </c>
      <c r="BO493" t="s">
        <v>9894</v>
      </c>
      <c r="BP493" t="s">
        <v>74</v>
      </c>
      <c r="BQ493" t="s">
        <v>74</v>
      </c>
      <c r="BR493" t="s">
        <v>105</v>
      </c>
      <c r="BS493" t="s">
        <v>9895</v>
      </c>
      <c r="BT493" t="str">
        <f>HYPERLINK("https%3A%2F%2Fwww.webofscience.com%2Fwos%2Fwoscc%2Ffull-record%2FWOS:000407805000010","View Full Record in Web of Science")</f>
        <v>View Full Record in Web of Science</v>
      </c>
    </row>
    <row r="494" spans="1:72" x14ac:dyDescent="0.15">
      <c r="A494" t="s">
        <v>72</v>
      </c>
      <c r="B494" t="s">
        <v>9896</v>
      </c>
      <c r="C494" t="s">
        <v>74</v>
      </c>
      <c r="D494" t="s">
        <v>74</v>
      </c>
      <c r="E494" t="s">
        <v>74</v>
      </c>
      <c r="F494" t="s">
        <v>9897</v>
      </c>
      <c r="G494" t="s">
        <v>74</v>
      </c>
      <c r="H494" t="s">
        <v>74</v>
      </c>
      <c r="I494" t="s">
        <v>9898</v>
      </c>
      <c r="J494" t="s">
        <v>9899</v>
      </c>
      <c r="K494" t="s">
        <v>74</v>
      </c>
      <c r="L494" t="s">
        <v>74</v>
      </c>
      <c r="M494" t="s">
        <v>78</v>
      </c>
      <c r="N494" t="s">
        <v>79</v>
      </c>
      <c r="O494" t="s">
        <v>74</v>
      </c>
      <c r="P494" t="s">
        <v>74</v>
      </c>
      <c r="Q494" t="s">
        <v>74</v>
      </c>
      <c r="R494" t="s">
        <v>74</v>
      </c>
      <c r="S494" t="s">
        <v>74</v>
      </c>
      <c r="T494" t="s">
        <v>74</v>
      </c>
      <c r="U494" t="s">
        <v>9900</v>
      </c>
      <c r="V494" t="s">
        <v>9901</v>
      </c>
      <c r="W494" t="s">
        <v>9902</v>
      </c>
      <c r="X494" t="s">
        <v>9903</v>
      </c>
      <c r="Y494" t="s">
        <v>9904</v>
      </c>
      <c r="Z494" t="s">
        <v>9905</v>
      </c>
      <c r="AA494" t="s">
        <v>9906</v>
      </c>
      <c r="AB494" t="s">
        <v>9907</v>
      </c>
      <c r="AC494" t="s">
        <v>9908</v>
      </c>
      <c r="AD494" t="s">
        <v>9909</v>
      </c>
      <c r="AE494" t="s">
        <v>9910</v>
      </c>
      <c r="AF494" t="s">
        <v>74</v>
      </c>
      <c r="AG494">
        <v>44</v>
      </c>
      <c r="AH494">
        <v>35</v>
      </c>
      <c r="AI494">
        <v>42</v>
      </c>
      <c r="AJ494">
        <v>5</v>
      </c>
      <c r="AK494">
        <v>117</v>
      </c>
      <c r="AL494" t="s">
        <v>9467</v>
      </c>
      <c r="AM494" t="s">
        <v>92</v>
      </c>
      <c r="AN494" t="s">
        <v>9468</v>
      </c>
      <c r="AO494" t="s">
        <v>9911</v>
      </c>
      <c r="AP494" t="s">
        <v>9912</v>
      </c>
      <c r="AQ494" t="s">
        <v>74</v>
      </c>
      <c r="AR494" t="s">
        <v>9913</v>
      </c>
      <c r="AS494" t="s">
        <v>9914</v>
      </c>
      <c r="AT494" t="s">
        <v>9915</v>
      </c>
      <c r="AU494">
        <v>2017</v>
      </c>
      <c r="AV494">
        <v>51</v>
      </c>
      <c r="AW494">
        <v>16</v>
      </c>
      <c r="AX494" t="s">
        <v>74</v>
      </c>
      <c r="AY494" t="s">
        <v>74</v>
      </c>
      <c r="AZ494" t="s">
        <v>74</v>
      </c>
      <c r="BA494" t="s">
        <v>74</v>
      </c>
      <c r="BB494">
        <v>8944</v>
      </c>
      <c r="BC494">
        <v>8952</v>
      </c>
      <c r="BD494" t="s">
        <v>74</v>
      </c>
      <c r="BE494" t="s">
        <v>9916</v>
      </c>
      <c r="BF494" t="str">
        <f>HYPERLINK("http://dx.doi.org/10.1021/acs.est.7b02481","http://dx.doi.org/10.1021/acs.est.7b02481")</f>
        <v>http://dx.doi.org/10.1021/acs.est.7b02481</v>
      </c>
      <c r="BG494" t="s">
        <v>74</v>
      </c>
      <c r="BH494" t="s">
        <v>74</v>
      </c>
      <c r="BI494">
        <v>9</v>
      </c>
      <c r="BJ494" t="s">
        <v>3855</v>
      </c>
      <c r="BK494" t="s">
        <v>101</v>
      </c>
      <c r="BL494" t="s">
        <v>3856</v>
      </c>
      <c r="BM494" t="s">
        <v>9917</v>
      </c>
      <c r="BN494">
        <v>28715890</v>
      </c>
      <c r="BO494" t="s">
        <v>74</v>
      </c>
      <c r="BP494" t="s">
        <v>74</v>
      </c>
      <c r="BQ494" t="s">
        <v>74</v>
      </c>
      <c r="BR494" t="s">
        <v>105</v>
      </c>
      <c r="BS494" t="s">
        <v>9918</v>
      </c>
      <c r="BT494" t="str">
        <f>HYPERLINK("https%3A%2F%2Fwww.webofscience.com%2Fwos%2Fwoscc%2Ffull-record%2FWOS:000407987400008","View Full Record in Web of Science")</f>
        <v>View Full Record in Web of Science</v>
      </c>
    </row>
    <row r="495" spans="1:72" x14ac:dyDescent="0.15">
      <c r="A495" t="s">
        <v>72</v>
      </c>
      <c r="B495" t="s">
        <v>9919</v>
      </c>
      <c r="C495" t="s">
        <v>74</v>
      </c>
      <c r="D495" t="s">
        <v>74</v>
      </c>
      <c r="E495" t="s">
        <v>74</v>
      </c>
      <c r="F495" t="s">
        <v>9920</v>
      </c>
      <c r="G495" t="s">
        <v>74</v>
      </c>
      <c r="H495" t="s">
        <v>74</v>
      </c>
      <c r="I495" t="s">
        <v>9921</v>
      </c>
      <c r="J495" t="s">
        <v>2256</v>
      </c>
      <c r="K495" t="s">
        <v>74</v>
      </c>
      <c r="L495" t="s">
        <v>74</v>
      </c>
      <c r="M495" t="s">
        <v>78</v>
      </c>
      <c r="N495" t="s">
        <v>79</v>
      </c>
      <c r="O495" t="s">
        <v>74</v>
      </c>
      <c r="P495" t="s">
        <v>74</v>
      </c>
      <c r="Q495" t="s">
        <v>74</v>
      </c>
      <c r="R495" t="s">
        <v>74</v>
      </c>
      <c r="S495" t="s">
        <v>74</v>
      </c>
      <c r="T495" t="s">
        <v>9922</v>
      </c>
      <c r="U495" t="s">
        <v>9923</v>
      </c>
      <c r="V495" t="s">
        <v>9924</v>
      </c>
      <c r="W495" t="s">
        <v>9925</v>
      </c>
      <c r="X495" t="s">
        <v>9926</v>
      </c>
      <c r="Y495" t="s">
        <v>9927</v>
      </c>
      <c r="Z495" t="s">
        <v>9928</v>
      </c>
      <c r="AA495" t="s">
        <v>9929</v>
      </c>
      <c r="AB495" t="s">
        <v>9930</v>
      </c>
      <c r="AC495" t="s">
        <v>9931</v>
      </c>
      <c r="AD495" t="s">
        <v>9932</v>
      </c>
      <c r="AE495" t="s">
        <v>9933</v>
      </c>
      <c r="AF495" t="s">
        <v>74</v>
      </c>
      <c r="AG495">
        <v>58</v>
      </c>
      <c r="AH495">
        <v>18</v>
      </c>
      <c r="AI495">
        <v>20</v>
      </c>
      <c r="AJ495">
        <v>0</v>
      </c>
      <c r="AK495">
        <v>37</v>
      </c>
      <c r="AL495" t="s">
        <v>1981</v>
      </c>
      <c r="AM495" t="s">
        <v>729</v>
      </c>
      <c r="AN495" t="s">
        <v>1982</v>
      </c>
      <c r="AO495" t="s">
        <v>2269</v>
      </c>
      <c r="AP495" t="s">
        <v>74</v>
      </c>
      <c r="AQ495" t="s">
        <v>74</v>
      </c>
      <c r="AR495" t="s">
        <v>2270</v>
      </c>
      <c r="AS495" t="s">
        <v>2271</v>
      </c>
      <c r="AT495" t="s">
        <v>9915</v>
      </c>
      <c r="AU495">
        <v>2017</v>
      </c>
      <c r="AV495">
        <v>170</v>
      </c>
      <c r="AW495" t="s">
        <v>74</v>
      </c>
      <c r="AX495" t="s">
        <v>74</v>
      </c>
      <c r="AY495" t="s">
        <v>74</v>
      </c>
      <c r="AZ495" t="s">
        <v>74</v>
      </c>
      <c r="BA495" t="s">
        <v>74</v>
      </c>
      <c r="BB495">
        <v>14</v>
      </c>
      <c r="BC495">
        <v>25</v>
      </c>
      <c r="BD495" t="s">
        <v>74</v>
      </c>
      <c r="BE495" t="s">
        <v>9934</v>
      </c>
      <c r="BF495" t="str">
        <f>HYPERLINK("http://dx.doi.org/10.1016/j.quascirev.2017.06.012","http://dx.doi.org/10.1016/j.quascirev.2017.06.012")</f>
        <v>http://dx.doi.org/10.1016/j.quascirev.2017.06.012</v>
      </c>
      <c r="BG495" t="s">
        <v>74</v>
      </c>
      <c r="BH495" t="s">
        <v>74</v>
      </c>
      <c r="BI495">
        <v>12</v>
      </c>
      <c r="BJ495" t="s">
        <v>319</v>
      </c>
      <c r="BK495" t="s">
        <v>101</v>
      </c>
      <c r="BL495" t="s">
        <v>320</v>
      </c>
      <c r="BM495" t="s">
        <v>9935</v>
      </c>
      <c r="BN495" t="s">
        <v>74</v>
      </c>
      <c r="BO495" t="s">
        <v>9936</v>
      </c>
      <c r="BP495" t="s">
        <v>74</v>
      </c>
      <c r="BQ495" t="s">
        <v>74</v>
      </c>
      <c r="BR495" t="s">
        <v>105</v>
      </c>
      <c r="BS495" t="s">
        <v>9937</v>
      </c>
      <c r="BT495" t="str">
        <f>HYPERLINK("https%3A%2F%2Fwww.webofscience.com%2Fwos%2Fwoscc%2Ffull-record%2FWOS:000407524000002","View Full Record in Web of Science")</f>
        <v>View Full Record in Web of Science</v>
      </c>
    </row>
    <row r="496" spans="1:72" x14ac:dyDescent="0.15">
      <c r="A496" t="s">
        <v>72</v>
      </c>
      <c r="B496" t="s">
        <v>9938</v>
      </c>
      <c r="C496" t="s">
        <v>74</v>
      </c>
      <c r="D496" t="s">
        <v>74</v>
      </c>
      <c r="E496" t="s">
        <v>74</v>
      </c>
      <c r="F496" t="s">
        <v>9939</v>
      </c>
      <c r="G496" t="s">
        <v>74</v>
      </c>
      <c r="H496" t="s">
        <v>74</v>
      </c>
      <c r="I496" t="s">
        <v>9940</v>
      </c>
      <c r="J496" t="s">
        <v>663</v>
      </c>
      <c r="K496" t="s">
        <v>74</v>
      </c>
      <c r="L496" t="s">
        <v>74</v>
      </c>
      <c r="M496" t="s">
        <v>78</v>
      </c>
      <c r="N496" t="s">
        <v>79</v>
      </c>
      <c r="O496" t="s">
        <v>74</v>
      </c>
      <c r="P496" t="s">
        <v>74</v>
      </c>
      <c r="Q496" t="s">
        <v>74</v>
      </c>
      <c r="R496" t="s">
        <v>74</v>
      </c>
      <c r="S496" t="s">
        <v>74</v>
      </c>
      <c r="T496" t="s">
        <v>9941</v>
      </c>
      <c r="U496" t="s">
        <v>9942</v>
      </c>
      <c r="V496" t="s">
        <v>9943</v>
      </c>
      <c r="W496" t="s">
        <v>9944</v>
      </c>
      <c r="X496" t="s">
        <v>9945</v>
      </c>
      <c r="Y496" t="s">
        <v>9946</v>
      </c>
      <c r="Z496" t="s">
        <v>9947</v>
      </c>
      <c r="AA496" t="s">
        <v>9948</v>
      </c>
      <c r="AB496" t="s">
        <v>9949</v>
      </c>
      <c r="AC496" t="s">
        <v>9950</v>
      </c>
      <c r="AD496" t="s">
        <v>9951</v>
      </c>
      <c r="AE496" t="s">
        <v>9952</v>
      </c>
      <c r="AF496" t="s">
        <v>74</v>
      </c>
      <c r="AG496">
        <v>58</v>
      </c>
      <c r="AH496">
        <v>11</v>
      </c>
      <c r="AI496">
        <v>12</v>
      </c>
      <c r="AJ496">
        <v>2</v>
      </c>
      <c r="AK496">
        <v>40</v>
      </c>
      <c r="AL496" t="s">
        <v>502</v>
      </c>
      <c r="AM496" t="s">
        <v>372</v>
      </c>
      <c r="AN496" t="s">
        <v>503</v>
      </c>
      <c r="AO496" t="s">
        <v>676</v>
      </c>
      <c r="AP496" t="s">
        <v>677</v>
      </c>
      <c r="AQ496" t="s">
        <v>74</v>
      </c>
      <c r="AR496" t="s">
        <v>678</v>
      </c>
      <c r="AS496" t="s">
        <v>679</v>
      </c>
      <c r="AT496" t="s">
        <v>9915</v>
      </c>
      <c r="AU496">
        <v>2017</v>
      </c>
      <c r="AV496">
        <v>472</v>
      </c>
      <c r="AW496" t="s">
        <v>74</v>
      </c>
      <c r="AX496" t="s">
        <v>74</v>
      </c>
      <c r="AY496" t="s">
        <v>74</v>
      </c>
      <c r="AZ496" t="s">
        <v>74</v>
      </c>
      <c r="BA496" t="s">
        <v>74</v>
      </c>
      <c r="BB496">
        <v>229</v>
      </c>
      <c r="BC496">
        <v>240</v>
      </c>
      <c r="BD496" t="s">
        <v>74</v>
      </c>
      <c r="BE496" t="s">
        <v>9953</v>
      </c>
      <c r="BF496" t="str">
        <f>HYPERLINK("http://dx.doi.org/10.1016/j.epsl.2017.04.015","http://dx.doi.org/10.1016/j.epsl.2017.04.015")</f>
        <v>http://dx.doi.org/10.1016/j.epsl.2017.04.015</v>
      </c>
      <c r="BG496" t="s">
        <v>74</v>
      </c>
      <c r="BH496" t="s">
        <v>74</v>
      </c>
      <c r="BI496">
        <v>12</v>
      </c>
      <c r="BJ496" t="s">
        <v>509</v>
      </c>
      <c r="BK496" t="s">
        <v>101</v>
      </c>
      <c r="BL496" t="s">
        <v>509</v>
      </c>
      <c r="BM496" t="s">
        <v>9954</v>
      </c>
      <c r="BN496" t="s">
        <v>74</v>
      </c>
      <c r="BO496" t="s">
        <v>164</v>
      </c>
      <c r="BP496" t="s">
        <v>74</v>
      </c>
      <c r="BQ496" t="s">
        <v>74</v>
      </c>
      <c r="BR496" t="s">
        <v>105</v>
      </c>
      <c r="BS496" t="s">
        <v>9955</v>
      </c>
      <c r="BT496" t="str">
        <f>HYPERLINK("https%3A%2F%2Fwww.webofscience.com%2Fwos%2Fwoscc%2Ffull-record%2FWOS:000405153600021","View Full Record in Web of Science")</f>
        <v>View Full Record in Web of Science</v>
      </c>
    </row>
    <row r="497" spans="1:72" x14ac:dyDescent="0.15">
      <c r="A497" t="s">
        <v>72</v>
      </c>
      <c r="B497" t="s">
        <v>9956</v>
      </c>
      <c r="C497" t="s">
        <v>74</v>
      </c>
      <c r="D497" t="s">
        <v>74</v>
      </c>
      <c r="E497" t="s">
        <v>74</v>
      </c>
      <c r="F497" t="s">
        <v>9957</v>
      </c>
      <c r="G497" t="s">
        <v>74</v>
      </c>
      <c r="H497" t="s">
        <v>74</v>
      </c>
      <c r="I497" t="s">
        <v>9958</v>
      </c>
      <c r="J497" t="s">
        <v>4960</v>
      </c>
      <c r="K497" t="s">
        <v>74</v>
      </c>
      <c r="L497" t="s">
        <v>74</v>
      </c>
      <c r="M497" t="s">
        <v>78</v>
      </c>
      <c r="N497" t="s">
        <v>79</v>
      </c>
      <c r="O497" t="s">
        <v>74</v>
      </c>
      <c r="P497" t="s">
        <v>74</v>
      </c>
      <c r="Q497" t="s">
        <v>74</v>
      </c>
      <c r="R497" t="s">
        <v>74</v>
      </c>
      <c r="S497" t="s">
        <v>74</v>
      </c>
      <c r="T497" t="s">
        <v>9959</v>
      </c>
      <c r="U497" t="s">
        <v>9960</v>
      </c>
      <c r="V497" t="s">
        <v>9961</v>
      </c>
      <c r="W497" t="s">
        <v>9962</v>
      </c>
      <c r="X497" t="s">
        <v>9963</v>
      </c>
      <c r="Y497" t="s">
        <v>9964</v>
      </c>
      <c r="Z497" t="s">
        <v>9965</v>
      </c>
      <c r="AA497" t="s">
        <v>9966</v>
      </c>
      <c r="AB497" t="s">
        <v>9967</v>
      </c>
      <c r="AC497" t="s">
        <v>9968</v>
      </c>
      <c r="AD497" t="s">
        <v>9968</v>
      </c>
      <c r="AE497" t="s">
        <v>9969</v>
      </c>
      <c r="AF497" t="s">
        <v>74</v>
      </c>
      <c r="AG497">
        <v>44</v>
      </c>
      <c r="AH497">
        <v>46</v>
      </c>
      <c r="AI497">
        <v>47</v>
      </c>
      <c r="AJ497">
        <v>1</v>
      </c>
      <c r="AK497">
        <v>26</v>
      </c>
      <c r="AL497" t="s">
        <v>1981</v>
      </c>
      <c r="AM497" t="s">
        <v>729</v>
      </c>
      <c r="AN497" t="s">
        <v>1982</v>
      </c>
      <c r="AO497" t="s">
        <v>4972</v>
      </c>
      <c r="AP497" t="s">
        <v>4973</v>
      </c>
      <c r="AQ497" t="s">
        <v>74</v>
      </c>
      <c r="AR497" t="s">
        <v>4974</v>
      </c>
      <c r="AS497" t="s">
        <v>4975</v>
      </c>
      <c r="AT497" t="s">
        <v>9915</v>
      </c>
      <c r="AU497">
        <v>2017</v>
      </c>
      <c r="AV497">
        <v>121</v>
      </c>
      <c r="AW497" t="s">
        <v>4976</v>
      </c>
      <c r="AX497" t="s">
        <v>74</v>
      </c>
      <c r="AY497" t="s">
        <v>74</v>
      </c>
      <c r="AZ497" t="s">
        <v>74</v>
      </c>
      <c r="BA497" t="s">
        <v>74</v>
      </c>
      <c r="BB497">
        <v>45</v>
      </c>
      <c r="BC497">
        <v>51</v>
      </c>
      <c r="BD497" t="s">
        <v>74</v>
      </c>
      <c r="BE497" t="s">
        <v>9970</v>
      </c>
      <c r="BF497" t="str">
        <f>HYPERLINK("http://dx.doi.org/10.1016/j.marpolbul.2017.05.043","http://dx.doi.org/10.1016/j.marpolbul.2017.05.043")</f>
        <v>http://dx.doi.org/10.1016/j.marpolbul.2017.05.043</v>
      </c>
      <c r="BG497" t="s">
        <v>74</v>
      </c>
      <c r="BH497" t="s">
        <v>74</v>
      </c>
      <c r="BI497">
        <v>7</v>
      </c>
      <c r="BJ497" t="s">
        <v>4978</v>
      </c>
      <c r="BK497" t="s">
        <v>101</v>
      </c>
      <c r="BL497" t="s">
        <v>4979</v>
      </c>
      <c r="BM497" t="s">
        <v>9971</v>
      </c>
      <c r="BN497">
        <v>28550951</v>
      </c>
      <c r="BO497" t="s">
        <v>74</v>
      </c>
      <c r="BP497" t="s">
        <v>74</v>
      </c>
      <c r="BQ497" t="s">
        <v>74</v>
      </c>
      <c r="BR497" t="s">
        <v>105</v>
      </c>
      <c r="BS497" t="s">
        <v>9972</v>
      </c>
      <c r="BT497" t="str">
        <f>HYPERLINK("https%3A%2F%2Fwww.webofscience.com%2Fwos%2Fwoscc%2Ffull-record%2FWOS:000407529200016","View Full Record in Web of Science")</f>
        <v>View Full Record in Web of Science</v>
      </c>
    </row>
    <row r="498" spans="1:72" x14ac:dyDescent="0.15">
      <c r="A498" t="s">
        <v>72</v>
      </c>
      <c r="B498" t="s">
        <v>9973</v>
      </c>
      <c r="C498" t="s">
        <v>74</v>
      </c>
      <c r="D498" t="s">
        <v>74</v>
      </c>
      <c r="E498" t="s">
        <v>74</v>
      </c>
      <c r="F498" t="s">
        <v>9974</v>
      </c>
      <c r="G498" t="s">
        <v>74</v>
      </c>
      <c r="H498" t="s">
        <v>74</v>
      </c>
      <c r="I498" t="s">
        <v>9975</v>
      </c>
      <c r="J498" t="s">
        <v>4960</v>
      </c>
      <c r="K498" t="s">
        <v>74</v>
      </c>
      <c r="L498" t="s">
        <v>74</v>
      </c>
      <c r="M498" t="s">
        <v>78</v>
      </c>
      <c r="N498" t="s">
        <v>79</v>
      </c>
      <c r="O498" t="s">
        <v>74</v>
      </c>
      <c r="P498" t="s">
        <v>74</v>
      </c>
      <c r="Q498" t="s">
        <v>74</v>
      </c>
      <c r="R498" t="s">
        <v>74</v>
      </c>
      <c r="S498" t="s">
        <v>74</v>
      </c>
      <c r="T498" t="s">
        <v>9976</v>
      </c>
      <c r="U498" t="s">
        <v>9977</v>
      </c>
      <c r="V498" t="s">
        <v>9978</v>
      </c>
      <c r="W498" t="s">
        <v>9979</v>
      </c>
      <c r="X498" t="s">
        <v>1308</v>
      </c>
      <c r="Y498" t="s">
        <v>9980</v>
      </c>
      <c r="Z498" t="s">
        <v>9981</v>
      </c>
      <c r="AA498" t="s">
        <v>9982</v>
      </c>
      <c r="AB498" t="s">
        <v>9983</v>
      </c>
      <c r="AC498" t="s">
        <v>9984</v>
      </c>
      <c r="AD498" t="s">
        <v>9985</v>
      </c>
      <c r="AE498" t="s">
        <v>9986</v>
      </c>
      <c r="AF498" t="s">
        <v>74</v>
      </c>
      <c r="AG498">
        <v>37</v>
      </c>
      <c r="AH498">
        <v>121</v>
      </c>
      <c r="AI498">
        <v>134</v>
      </c>
      <c r="AJ498">
        <v>15</v>
      </c>
      <c r="AK498">
        <v>199</v>
      </c>
      <c r="AL498" t="s">
        <v>1981</v>
      </c>
      <c r="AM498" t="s">
        <v>729</v>
      </c>
      <c r="AN498" t="s">
        <v>1982</v>
      </c>
      <c r="AO498" t="s">
        <v>4972</v>
      </c>
      <c r="AP498" t="s">
        <v>4973</v>
      </c>
      <c r="AQ498" t="s">
        <v>74</v>
      </c>
      <c r="AR498" t="s">
        <v>4974</v>
      </c>
      <c r="AS498" t="s">
        <v>4975</v>
      </c>
      <c r="AT498" t="s">
        <v>9915</v>
      </c>
      <c r="AU498">
        <v>2017</v>
      </c>
      <c r="AV498">
        <v>121</v>
      </c>
      <c r="AW498" t="s">
        <v>4976</v>
      </c>
      <c r="AX498" t="s">
        <v>74</v>
      </c>
      <c r="AY498" t="s">
        <v>74</v>
      </c>
      <c r="AZ498" t="s">
        <v>74</v>
      </c>
      <c r="BA498" t="s">
        <v>74</v>
      </c>
      <c r="BB498">
        <v>104</v>
      </c>
      <c r="BC498">
        <v>110</v>
      </c>
      <c r="BD498" t="s">
        <v>74</v>
      </c>
      <c r="BE498" t="s">
        <v>9987</v>
      </c>
      <c r="BF498" t="str">
        <f>HYPERLINK("http://dx.doi.org/10.1016/j.marpolbul.2017.05.038","http://dx.doi.org/10.1016/j.marpolbul.2017.05.038")</f>
        <v>http://dx.doi.org/10.1016/j.marpolbul.2017.05.038</v>
      </c>
      <c r="BG498" t="s">
        <v>74</v>
      </c>
      <c r="BH498" t="s">
        <v>74</v>
      </c>
      <c r="BI498">
        <v>7</v>
      </c>
      <c r="BJ498" t="s">
        <v>4978</v>
      </c>
      <c r="BK498" t="s">
        <v>101</v>
      </c>
      <c r="BL498" t="s">
        <v>4979</v>
      </c>
      <c r="BM498" t="s">
        <v>9971</v>
      </c>
      <c r="BN498">
        <v>28571629</v>
      </c>
      <c r="BO498" t="s">
        <v>74</v>
      </c>
      <c r="BP498" t="s">
        <v>74</v>
      </c>
      <c r="BQ498" t="s">
        <v>74</v>
      </c>
      <c r="BR498" t="s">
        <v>105</v>
      </c>
      <c r="BS498" t="s">
        <v>9988</v>
      </c>
      <c r="BT498" t="str">
        <f>HYPERLINK("https%3A%2F%2Fwww.webofscience.com%2Fwos%2Fwoscc%2Ffull-record%2FWOS:000407529200023","View Full Record in Web of Science")</f>
        <v>View Full Record in Web of Science</v>
      </c>
    </row>
    <row r="499" spans="1:72" x14ac:dyDescent="0.15">
      <c r="A499" t="s">
        <v>72</v>
      </c>
      <c r="B499" t="s">
        <v>9989</v>
      </c>
      <c r="C499" t="s">
        <v>74</v>
      </c>
      <c r="D499" t="s">
        <v>74</v>
      </c>
      <c r="E499" t="s">
        <v>74</v>
      </c>
      <c r="F499" t="s">
        <v>9990</v>
      </c>
      <c r="G499" t="s">
        <v>74</v>
      </c>
      <c r="H499" t="s">
        <v>74</v>
      </c>
      <c r="I499" t="s">
        <v>9991</v>
      </c>
      <c r="J499" t="s">
        <v>4960</v>
      </c>
      <c r="K499" t="s">
        <v>74</v>
      </c>
      <c r="L499" t="s">
        <v>74</v>
      </c>
      <c r="M499" t="s">
        <v>78</v>
      </c>
      <c r="N499" t="s">
        <v>79</v>
      </c>
      <c r="O499" t="s">
        <v>74</v>
      </c>
      <c r="P499" t="s">
        <v>74</v>
      </c>
      <c r="Q499" t="s">
        <v>74</v>
      </c>
      <c r="R499" t="s">
        <v>74</v>
      </c>
      <c r="S499" t="s">
        <v>74</v>
      </c>
      <c r="T499" t="s">
        <v>9992</v>
      </c>
      <c r="U499" t="s">
        <v>9993</v>
      </c>
      <c r="V499" t="s">
        <v>9994</v>
      </c>
      <c r="W499" t="s">
        <v>9995</v>
      </c>
      <c r="X499" t="s">
        <v>9996</v>
      </c>
      <c r="Y499" t="s">
        <v>9997</v>
      </c>
      <c r="Z499" t="s">
        <v>9998</v>
      </c>
      <c r="AA499" t="s">
        <v>9999</v>
      </c>
      <c r="AB499" t="s">
        <v>10000</v>
      </c>
      <c r="AC499" t="s">
        <v>10001</v>
      </c>
      <c r="AD499" t="s">
        <v>10002</v>
      </c>
      <c r="AE499" t="s">
        <v>10003</v>
      </c>
      <c r="AF499" t="s">
        <v>74</v>
      </c>
      <c r="AG499">
        <v>69</v>
      </c>
      <c r="AH499">
        <v>28</v>
      </c>
      <c r="AI499">
        <v>28</v>
      </c>
      <c r="AJ499">
        <v>0</v>
      </c>
      <c r="AK499">
        <v>41</v>
      </c>
      <c r="AL499" t="s">
        <v>1981</v>
      </c>
      <c r="AM499" t="s">
        <v>729</v>
      </c>
      <c r="AN499" t="s">
        <v>1982</v>
      </c>
      <c r="AO499" t="s">
        <v>4972</v>
      </c>
      <c r="AP499" t="s">
        <v>4973</v>
      </c>
      <c r="AQ499" t="s">
        <v>74</v>
      </c>
      <c r="AR499" t="s">
        <v>4974</v>
      </c>
      <c r="AS499" t="s">
        <v>4975</v>
      </c>
      <c r="AT499" t="s">
        <v>9915</v>
      </c>
      <c r="AU499">
        <v>2017</v>
      </c>
      <c r="AV499">
        <v>121</v>
      </c>
      <c r="AW499" t="s">
        <v>4976</v>
      </c>
      <c r="AX499" t="s">
        <v>74</v>
      </c>
      <c r="AY499" t="s">
        <v>74</v>
      </c>
      <c r="AZ499" t="s">
        <v>74</v>
      </c>
      <c r="BA499" t="s">
        <v>74</v>
      </c>
      <c r="BB499">
        <v>192</v>
      </c>
      <c r="BC499">
        <v>200</v>
      </c>
      <c r="BD499" t="s">
        <v>74</v>
      </c>
      <c r="BE499" t="s">
        <v>10004</v>
      </c>
      <c r="BF499" t="str">
        <f>HYPERLINK("http://dx.doi.org/10.1016/j.marpolbul.2017.05.059","http://dx.doi.org/10.1016/j.marpolbul.2017.05.059")</f>
        <v>http://dx.doi.org/10.1016/j.marpolbul.2017.05.059</v>
      </c>
      <c r="BG499" t="s">
        <v>74</v>
      </c>
      <c r="BH499" t="s">
        <v>74</v>
      </c>
      <c r="BI499">
        <v>9</v>
      </c>
      <c r="BJ499" t="s">
        <v>4978</v>
      </c>
      <c r="BK499" t="s">
        <v>101</v>
      </c>
      <c r="BL499" t="s">
        <v>4979</v>
      </c>
      <c r="BM499" t="s">
        <v>9971</v>
      </c>
      <c r="BN499">
        <v>28601436</v>
      </c>
      <c r="BO499" t="s">
        <v>164</v>
      </c>
      <c r="BP499" t="s">
        <v>74</v>
      </c>
      <c r="BQ499" t="s">
        <v>74</v>
      </c>
      <c r="BR499" t="s">
        <v>105</v>
      </c>
      <c r="BS499" t="s">
        <v>10005</v>
      </c>
      <c r="BT499" t="str">
        <f>HYPERLINK("https%3A%2F%2Fwww.webofscience.com%2Fwos%2Fwoscc%2Ffull-record%2FWOS:000407529200033","View Full Record in Web of Science")</f>
        <v>View Full Record in Web of Science</v>
      </c>
    </row>
    <row r="500" spans="1:72" x14ac:dyDescent="0.15">
      <c r="A500" t="s">
        <v>72</v>
      </c>
      <c r="B500" t="s">
        <v>10006</v>
      </c>
      <c r="C500" t="s">
        <v>74</v>
      </c>
      <c r="D500" t="s">
        <v>74</v>
      </c>
      <c r="E500" t="s">
        <v>74</v>
      </c>
      <c r="F500" t="s">
        <v>10007</v>
      </c>
      <c r="G500" t="s">
        <v>74</v>
      </c>
      <c r="H500" t="s">
        <v>74</v>
      </c>
      <c r="I500" t="s">
        <v>10008</v>
      </c>
      <c r="J500" t="s">
        <v>953</v>
      </c>
      <c r="K500" t="s">
        <v>74</v>
      </c>
      <c r="L500" t="s">
        <v>74</v>
      </c>
      <c r="M500" t="s">
        <v>78</v>
      </c>
      <c r="N500" t="s">
        <v>79</v>
      </c>
      <c r="O500" t="s">
        <v>74</v>
      </c>
      <c r="P500" t="s">
        <v>74</v>
      </c>
      <c r="Q500" t="s">
        <v>74</v>
      </c>
      <c r="R500" t="s">
        <v>74</v>
      </c>
      <c r="S500" t="s">
        <v>74</v>
      </c>
      <c r="T500" t="s">
        <v>74</v>
      </c>
      <c r="U500" t="s">
        <v>10009</v>
      </c>
      <c r="V500" t="s">
        <v>10010</v>
      </c>
      <c r="W500" t="s">
        <v>10011</v>
      </c>
      <c r="X500" t="s">
        <v>10012</v>
      </c>
      <c r="Y500" t="s">
        <v>10013</v>
      </c>
      <c r="Z500" t="s">
        <v>10014</v>
      </c>
      <c r="AA500" t="s">
        <v>74</v>
      </c>
      <c r="AB500" t="s">
        <v>10015</v>
      </c>
      <c r="AC500" t="s">
        <v>10016</v>
      </c>
      <c r="AD500" t="s">
        <v>10017</v>
      </c>
      <c r="AE500" t="s">
        <v>10018</v>
      </c>
      <c r="AF500" t="s">
        <v>74</v>
      </c>
      <c r="AG500">
        <v>37</v>
      </c>
      <c r="AH500">
        <v>41</v>
      </c>
      <c r="AI500">
        <v>44</v>
      </c>
      <c r="AJ500">
        <v>2</v>
      </c>
      <c r="AK500">
        <v>20</v>
      </c>
      <c r="AL500" t="s">
        <v>650</v>
      </c>
      <c r="AM500" t="s">
        <v>651</v>
      </c>
      <c r="AN500" t="s">
        <v>652</v>
      </c>
      <c r="AO500" t="s">
        <v>74</v>
      </c>
      <c r="AP500" t="s">
        <v>965</v>
      </c>
      <c r="AQ500" t="s">
        <v>74</v>
      </c>
      <c r="AR500" t="s">
        <v>966</v>
      </c>
      <c r="AS500" t="s">
        <v>967</v>
      </c>
      <c r="AT500" t="s">
        <v>9915</v>
      </c>
      <c r="AU500">
        <v>2017</v>
      </c>
      <c r="AV500">
        <v>8</v>
      </c>
      <c r="AW500" t="s">
        <v>74</v>
      </c>
      <c r="AX500" t="s">
        <v>74</v>
      </c>
      <c r="AY500" t="s">
        <v>74</v>
      </c>
      <c r="AZ500" t="s">
        <v>74</v>
      </c>
      <c r="BA500" t="s">
        <v>74</v>
      </c>
      <c r="BB500" t="s">
        <v>74</v>
      </c>
      <c r="BC500" t="s">
        <v>74</v>
      </c>
      <c r="BD500">
        <v>258</v>
      </c>
      <c r="BE500" t="s">
        <v>10019</v>
      </c>
      <c r="BF500" t="str">
        <f>HYPERLINK("http://dx.doi.org/10.1038/s41467-017-00347-4","http://dx.doi.org/10.1038/s41467-017-00347-4")</f>
        <v>http://dx.doi.org/10.1038/s41467-017-00347-4</v>
      </c>
      <c r="BG500" t="s">
        <v>74</v>
      </c>
      <c r="BH500" t="s">
        <v>74</v>
      </c>
      <c r="BI500">
        <v>8</v>
      </c>
      <c r="BJ500" t="s">
        <v>190</v>
      </c>
      <c r="BK500" t="s">
        <v>101</v>
      </c>
      <c r="BL500" t="s">
        <v>191</v>
      </c>
      <c r="BM500" t="s">
        <v>10020</v>
      </c>
      <c r="BN500">
        <v>28811497</v>
      </c>
      <c r="BO500" t="s">
        <v>3495</v>
      </c>
      <c r="BP500" t="s">
        <v>74</v>
      </c>
      <c r="BQ500" t="s">
        <v>74</v>
      </c>
      <c r="BR500" t="s">
        <v>105</v>
      </c>
      <c r="BS500" t="s">
        <v>10021</v>
      </c>
      <c r="BT500" t="str">
        <f>HYPERLINK("https%3A%2F%2Fwww.webofscience.com%2Fwos%2Fwoscc%2Ffull-record%2FWOS:000407553800016","View Full Record in Web of Science")</f>
        <v>View Full Record in Web of Science</v>
      </c>
    </row>
    <row r="501" spans="1:72" x14ac:dyDescent="0.15">
      <c r="A501" t="s">
        <v>72</v>
      </c>
      <c r="B501" t="s">
        <v>10022</v>
      </c>
      <c r="C501" t="s">
        <v>74</v>
      </c>
      <c r="D501" t="s">
        <v>74</v>
      </c>
      <c r="E501" t="s">
        <v>74</v>
      </c>
      <c r="F501" t="s">
        <v>10023</v>
      </c>
      <c r="G501" t="s">
        <v>74</v>
      </c>
      <c r="H501" t="s">
        <v>74</v>
      </c>
      <c r="I501" t="s">
        <v>10024</v>
      </c>
      <c r="J501" t="s">
        <v>464</v>
      </c>
      <c r="K501" t="s">
        <v>74</v>
      </c>
      <c r="L501" t="s">
        <v>74</v>
      </c>
      <c r="M501" t="s">
        <v>78</v>
      </c>
      <c r="N501" t="s">
        <v>79</v>
      </c>
      <c r="O501" t="s">
        <v>74</v>
      </c>
      <c r="P501" t="s">
        <v>74</v>
      </c>
      <c r="Q501" t="s">
        <v>74</v>
      </c>
      <c r="R501" t="s">
        <v>74</v>
      </c>
      <c r="S501" t="s">
        <v>74</v>
      </c>
      <c r="T501" t="s">
        <v>10025</v>
      </c>
      <c r="U501" t="s">
        <v>10026</v>
      </c>
      <c r="V501" t="s">
        <v>10027</v>
      </c>
      <c r="W501" t="s">
        <v>10028</v>
      </c>
      <c r="X501" t="s">
        <v>10029</v>
      </c>
      <c r="Y501" t="s">
        <v>10030</v>
      </c>
      <c r="Z501" t="s">
        <v>10031</v>
      </c>
      <c r="AA501" t="s">
        <v>10032</v>
      </c>
      <c r="AB501" t="s">
        <v>10033</v>
      </c>
      <c r="AC501" t="s">
        <v>10034</v>
      </c>
      <c r="AD501" t="s">
        <v>10035</v>
      </c>
      <c r="AE501" t="s">
        <v>10036</v>
      </c>
      <c r="AF501" t="s">
        <v>74</v>
      </c>
      <c r="AG501">
        <v>67</v>
      </c>
      <c r="AH501">
        <v>122</v>
      </c>
      <c r="AI501">
        <v>136</v>
      </c>
      <c r="AJ501">
        <v>4</v>
      </c>
      <c r="AK501">
        <v>90</v>
      </c>
      <c r="AL501" t="s">
        <v>477</v>
      </c>
      <c r="AM501" t="s">
        <v>92</v>
      </c>
      <c r="AN501" t="s">
        <v>478</v>
      </c>
      <c r="AO501" t="s">
        <v>479</v>
      </c>
      <c r="AP501" t="s">
        <v>74</v>
      </c>
      <c r="AQ501" t="s">
        <v>74</v>
      </c>
      <c r="AR501" t="s">
        <v>480</v>
      </c>
      <c r="AS501" t="s">
        <v>481</v>
      </c>
      <c r="AT501" t="s">
        <v>9915</v>
      </c>
      <c r="AU501">
        <v>2017</v>
      </c>
      <c r="AV501">
        <v>114</v>
      </c>
      <c r="AW501">
        <v>33</v>
      </c>
      <c r="AX501" t="s">
        <v>74</v>
      </c>
      <c r="AY501" t="s">
        <v>74</v>
      </c>
      <c r="AZ501" t="s">
        <v>74</v>
      </c>
      <c r="BA501" t="s">
        <v>74</v>
      </c>
      <c r="BB501">
        <v>8716</v>
      </c>
      <c r="BC501">
        <v>8721</v>
      </c>
      <c r="BD501" t="s">
        <v>74</v>
      </c>
      <c r="BE501" t="s">
        <v>10037</v>
      </c>
      <c r="BF501" t="str">
        <f>HYPERLINK("http://dx.doi.org/10.1073/pnas.1702953114","http://dx.doi.org/10.1073/pnas.1702953114")</f>
        <v>http://dx.doi.org/10.1073/pnas.1702953114</v>
      </c>
      <c r="BG501" t="s">
        <v>74</v>
      </c>
      <c r="BH501" t="s">
        <v>74</v>
      </c>
      <c r="BI501">
        <v>6</v>
      </c>
      <c r="BJ501" t="s">
        <v>190</v>
      </c>
      <c r="BK501" t="s">
        <v>101</v>
      </c>
      <c r="BL501" t="s">
        <v>191</v>
      </c>
      <c r="BM501" t="s">
        <v>10038</v>
      </c>
      <c r="BN501">
        <v>28760954</v>
      </c>
      <c r="BO501" t="s">
        <v>10039</v>
      </c>
      <c r="BP501" t="s">
        <v>74</v>
      </c>
      <c r="BQ501" t="s">
        <v>74</v>
      </c>
      <c r="BR501" t="s">
        <v>105</v>
      </c>
      <c r="BS501" t="s">
        <v>10040</v>
      </c>
      <c r="BT501" t="str">
        <f>HYPERLINK("https%3A%2F%2Fwww.webofscience.com%2Fwos%2Fwoscc%2Ffull-record%2FWOS:000407610400051","View Full Record in Web of Science")</f>
        <v>View Full Record in Web of Science</v>
      </c>
    </row>
    <row r="502" spans="1:72" x14ac:dyDescent="0.15">
      <c r="A502" t="s">
        <v>72</v>
      </c>
      <c r="B502" t="s">
        <v>10041</v>
      </c>
      <c r="C502" t="s">
        <v>74</v>
      </c>
      <c r="D502" t="s">
        <v>74</v>
      </c>
      <c r="E502" t="s">
        <v>74</v>
      </c>
      <c r="F502" t="s">
        <v>10042</v>
      </c>
      <c r="G502" t="s">
        <v>74</v>
      </c>
      <c r="H502" t="s">
        <v>74</v>
      </c>
      <c r="I502" t="s">
        <v>10043</v>
      </c>
      <c r="J502" t="s">
        <v>10044</v>
      </c>
      <c r="K502" t="s">
        <v>74</v>
      </c>
      <c r="L502" t="s">
        <v>74</v>
      </c>
      <c r="M502" t="s">
        <v>78</v>
      </c>
      <c r="N502" t="s">
        <v>79</v>
      </c>
      <c r="O502" t="s">
        <v>74</v>
      </c>
      <c r="P502" t="s">
        <v>74</v>
      </c>
      <c r="Q502" t="s">
        <v>74</v>
      </c>
      <c r="R502" t="s">
        <v>74</v>
      </c>
      <c r="S502" t="s">
        <v>74</v>
      </c>
      <c r="T502" t="s">
        <v>10045</v>
      </c>
      <c r="U502" t="s">
        <v>10046</v>
      </c>
      <c r="V502" t="s">
        <v>10047</v>
      </c>
      <c r="W502" t="s">
        <v>10048</v>
      </c>
      <c r="X502" t="s">
        <v>10049</v>
      </c>
      <c r="Y502" t="s">
        <v>10050</v>
      </c>
      <c r="Z502" t="s">
        <v>10051</v>
      </c>
      <c r="AA502" t="s">
        <v>10052</v>
      </c>
      <c r="AB502" t="s">
        <v>10053</v>
      </c>
      <c r="AC502" t="s">
        <v>10054</v>
      </c>
      <c r="AD502" t="s">
        <v>10055</v>
      </c>
      <c r="AE502" t="s">
        <v>10056</v>
      </c>
      <c r="AF502" t="s">
        <v>74</v>
      </c>
      <c r="AG502">
        <v>47</v>
      </c>
      <c r="AH502">
        <v>13</v>
      </c>
      <c r="AI502">
        <v>15</v>
      </c>
      <c r="AJ502">
        <v>1</v>
      </c>
      <c r="AK502">
        <v>6</v>
      </c>
      <c r="AL502" t="s">
        <v>728</v>
      </c>
      <c r="AM502" t="s">
        <v>729</v>
      </c>
      <c r="AN502" t="s">
        <v>730</v>
      </c>
      <c r="AO502" t="s">
        <v>10057</v>
      </c>
      <c r="AP502" t="s">
        <v>10058</v>
      </c>
      <c r="AQ502" t="s">
        <v>74</v>
      </c>
      <c r="AR502" t="s">
        <v>10059</v>
      </c>
      <c r="AS502" t="s">
        <v>10060</v>
      </c>
      <c r="AT502" t="s">
        <v>9915</v>
      </c>
      <c r="AU502">
        <v>2017</v>
      </c>
      <c r="AV502">
        <v>60</v>
      </c>
      <c r="AW502">
        <v>4</v>
      </c>
      <c r="AX502" t="s">
        <v>74</v>
      </c>
      <c r="AY502" t="s">
        <v>74</v>
      </c>
      <c r="AZ502" t="s">
        <v>74</v>
      </c>
      <c r="BA502" t="s">
        <v>74</v>
      </c>
      <c r="BB502">
        <v>806</v>
      </c>
      <c r="BC502">
        <v>814</v>
      </c>
      <c r="BD502" t="s">
        <v>74</v>
      </c>
      <c r="BE502" t="s">
        <v>10061</v>
      </c>
      <c r="BF502" t="str">
        <f>HYPERLINK("http://dx.doi.org/10.1016/j.asr.2016.11.004","http://dx.doi.org/10.1016/j.asr.2016.11.004")</f>
        <v>http://dx.doi.org/10.1016/j.asr.2016.11.004</v>
      </c>
      <c r="BG502" t="s">
        <v>74</v>
      </c>
      <c r="BH502" t="s">
        <v>74</v>
      </c>
      <c r="BI502">
        <v>9</v>
      </c>
      <c r="BJ502" t="s">
        <v>10062</v>
      </c>
      <c r="BK502" t="s">
        <v>101</v>
      </c>
      <c r="BL502" t="s">
        <v>10063</v>
      </c>
      <c r="BM502" t="s">
        <v>10064</v>
      </c>
      <c r="BN502" t="s">
        <v>74</v>
      </c>
      <c r="BO502" t="s">
        <v>74</v>
      </c>
      <c r="BP502" t="s">
        <v>74</v>
      </c>
      <c r="BQ502" t="s">
        <v>74</v>
      </c>
      <c r="BR502" t="s">
        <v>105</v>
      </c>
      <c r="BS502" t="s">
        <v>10065</v>
      </c>
      <c r="BT502" t="str">
        <f>HYPERLINK("https%3A%2F%2Fwww.webofscience.com%2Fwos%2Fwoscc%2Ffull-record%2FWOS:000405975700007","View Full Record in Web of Science")</f>
        <v>View Full Record in Web of Science</v>
      </c>
    </row>
    <row r="503" spans="1:72" x14ac:dyDescent="0.15">
      <c r="A503" t="s">
        <v>72</v>
      </c>
      <c r="B503" t="s">
        <v>10066</v>
      </c>
      <c r="C503" t="s">
        <v>74</v>
      </c>
      <c r="D503" t="s">
        <v>74</v>
      </c>
      <c r="E503" t="s">
        <v>74</v>
      </c>
      <c r="F503" t="s">
        <v>10067</v>
      </c>
      <c r="G503" t="s">
        <v>74</v>
      </c>
      <c r="H503" t="s">
        <v>74</v>
      </c>
      <c r="I503" t="s">
        <v>10068</v>
      </c>
      <c r="J503" t="s">
        <v>663</v>
      </c>
      <c r="K503" t="s">
        <v>74</v>
      </c>
      <c r="L503" t="s">
        <v>74</v>
      </c>
      <c r="M503" t="s">
        <v>78</v>
      </c>
      <c r="N503" t="s">
        <v>79</v>
      </c>
      <c r="O503" t="s">
        <v>74</v>
      </c>
      <c r="P503" t="s">
        <v>74</v>
      </c>
      <c r="Q503" t="s">
        <v>74</v>
      </c>
      <c r="R503" t="s">
        <v>74</v>
      </c>
      <c r="S503" t="s">
        <v>74</v>
      </c>
      <c r="T503" t="s">
        <v>10069</v>
      </c>
      <c r="U503" t="s">
        <v>10070</v>
      </c>
      <c r="V503" t="s">
        <v>10071</v>
      </c>
      <c r="W503" t="s">
        <v>10072</v>
      </c>
      <c r="X503" t="s">
        <v>10073</v>
      </c>
      <c r="Y503" t="s">
        <v>10074</v>
      </c>
      <c r="Z503" t="s">
        <v>10075</v>
      </c>
      <c r="AA503" t="s">
        <v>10076</v>
      </c>
      <c r="AB503" t="s">
        <v>10077</v>
      </c>
      <c r="AC503" t="s">
        <v>10078</v>
      </c>
      <c r="AD503" t="s">
        <v>10079</v>
      </c>
      <c r="AE503" t="s">
        <v>10080</v>
      </c>
      <c r="AF503" t="s">
        <v>74</v>
      </c>
      <c r="AG503">
        <v>53</v>
      </c>
      <c r="AH503">
        <v>21</v>
      </c>
      <c r="AI503">
        <v>22</v>
      </c>
      <c r="AJ503">
        <v>0</v>
      </c>
      <c r="AK503">
        <v>24</v>
      </c>
      <c r="AL503" t="s">
        <v>502</v>
      </c>
      <c r="AM503" t="s">
        <v>372</v>
      </c>
      <c r="AN503" t="s">
        <v>503</v>
      </c>
      <c r="AO503" t="s">
        <v>676</v>
      </c>
      <c r="AP503" t="s">
        <v>677</v>
      </c>
      <c r="AQ503" t="s">
        <v>74</v>
      </c>
      <c r="AR503" t="s">
        <v>678</v>
      </c>
      <c r="AS503" t="s">
        <v>679</v>
      </c>
      <c r="AT503" t="s">
        <v>9915</v>
      </c>
      <c r="AU503">
        <v>2017</v>
      </c>
      <c r="AV503">
        <v>472</v>
      </c>
      <c r="AW503" t="s">
        <v>74</v>
      </c>
      <c r="AX503" t="s">
        <v>74</v>
      </c>
      <c r="AY503" t="s">
        <v>74</v>
      </c>
      <c r="AZ503" t="s">
        <v>74</v>
      </c>
      <c r="BA503" t="s">
        <v>74</v>
      </c>
      <c r="BB503">
        <v>38</v>
      </c>
      <c r="BC503">
        <v>49</v>
      </c>
      <c r="BD503" t="s">
        <v>74</v>
      </c>
      <c r="BE503" t="s">
        <v>10081</v>
      </c>
      <c r="BF503" t="str">
        <f>HYPERLINK("http://dx.doi.org/10.1016/j.epsl.2017.05.016","http://dx.doi.org/10.1016/j.epsl.2017.05.016")</f>
        <v>http://dx.doi.org/10.1016/j.epsl.2017.05.016</v>
      </c>
      <c r="BG503" t="s">
        <v>74</v>
      </c>
      <c r="BH503" t="s">
        <v>74</v>
      </c>
      <c r="BI503">
        <v>12</v>
      </c>
      <c r="BJ503" t="s">
        <v>509</v>
      </c>
      <c r="BK503" t="s">
        <v>101</v>
      </c>
      <c r="BL503" t="s">
        <v>509</v>
      </c>
      <c r="BM503" t="s">
        <v>9954</v>
      </c>
      <c r="BN503" t="s">
        <v>74</v>
      </c>
      <c r="BO503" t="s">
        <v>10082</v>
      </c>
      <c r="BP503" t="s">
        <v>74</v>
      </c>
      <c r="BQ503" t="s">
        <v>74</v>
      </c>
      <c r="BR503" t="s">
        <v>105</v>
      </c>
      <c r="BS503" t="s">
        <v>10083</v>
      </c>
      <c r="BT503" t="str">
        <f>HYPERLINK("https%3A%2F%2Fwww.webofscience.com%2Fwos%2Fwoscc%2Ffull-record%2FWOS:000405153600004","View Full Record in Web of Science")</f>
        <v>View Full Record in Web of Science</v>
      </c>
    </row>
    <row r="504" spans="1:72" x14ac:dyDescent="0.15">
      <c r="A504" t="s">
        <v>72</v>
      </c>
      <c r="B504" t="s">
        <v>10084</v>
      </c>
      <c r="C504" t="s">
        <v>74</v>
      </c>
      <c r="D504" t="s">
        <v>74</v>
      </c>
      <c r="E504" t="s">
        <v>74</v>
      </c>
      <c r="F504" t="s">
        <v>10085</v>
      </c>
      <c r="G504" t="s">
        <v>74</v>
      </c>
      <c r="H504" t="s">
        <v>74</v>
      </c>
      <c r="I504" t="s">
        <v>10086</v>
      </c>
      <c r="J504" t="s">
        <v>663</v>
      </c>
      <c r="K504" t="s">
        <v>74</v>
      </c>
      <c r="L504" t="s">
        <v>74</v>
      </c>
      <c r="M504" t="s">
        <v>78</v>
      </c>
      <c r="N504" t="s">
        <v>79</v>
      </c>
      <c r="O504" t="s">
        <v>74</v>
      </c>
      <c r="P504" t="s">
        <v>74</v>
      </c>
      <c r="Q504" t="s">
        <v>74</v>
      </c>
      <c r="R504" t="s">
        <v>74</v>
      </c>
      <c r="S504" t="s">
        <v>74</v>
      </c>
      <c r="T504" t="s">
        <v>10087</v>
      </c>
      <c r="U504" t="s">
        <v>10088</v>
      </c>
      <c r="V504" t="s">
        <v>10089</v>
      </c>
      <c r="W504" t="s">
        <v>10090</v>
      </c>
      <c r="X504" t="s">
        <v>10091</v>
      </c>
      <c r="Y504" t="s">
        <v>10092</v>
      </c>
      <c r="Z504" t="s">
        <v>10093</v>
      </c>
      <c r="AA504" t="s">
        <v>10094</v>
      </c>
      <c r="AB504" t="s">
        <v>10095</v>
      </c>
      <c r="AC504" t="s">
        <v>10096</v>
      </c>
      <c r="AD504" t="s">
        <v>10097</v>
      </c>
      <c r="AE504" t="s">
        <v>10098</v>
      </c>
      <c r="AF504" t="s">
        <v>74</v>
      </c>
      <c r="AG504">
        <v>63</v>
      </c>
      <c r="AH504">
        <v>43</v>
      </c>
      <c r="AI504">
        <v>47</v>
      </c>
      <c r="AJ504">
        <v>0</v>
      </c>
      <c r="AK504">
        <v>32</v>
      </c>
      <c r="AL504" t="s">
        <v>371</v>
      </c>
      <c r="AM504" t="s">
        <v>372</v>
      </c>
      <c r="AN504" t="s">
        <v>373</v>
      </c>
      <c r="AO504" t="s">
        <v>676</v>
      </c>
      <c r="AP504" t="s">
        <v>677</v>
      </c>
      <c r="AQ504" t="s">
        <v>74</v>
      </c>
      <c r="AR504" t="s">
        <v>678</v>
      </c>
      <c r="AS504" t="s">
        <v>679</v>
      </c>
      <c r="AT504" t="s">
        <v>9915</v>
      </c>
      <c r="AU504">
        <v>2017</v>
      </c>
      <c r="AV504">
        <v>472</v>
      </c>
      <c r="AW504" t="s">
        <v>74</v>
      </c>
      <c r="AX504" t="s">
        <v>74</v>
      </c>
      <c r="AY504" t="s">
        <v>74</v>
      </c>
      <c r="AZ504" t="s">
        <v>74</v>
      </c>
      <c r="BA504" t="s">
        <v>74</v>
      </c>
      <c r="BB504">
        <v>206</v>
      </c>
      <c r="BC504">
        <v>215</v>
      </c>
      <c r="BD504" t="s">
        <v>74</v>
      </c>
      <c r="BE504" t="s">
        <v>10099</v>
      </c>
      <c r="BF504" t="str">
        <f>HYPERLINK("http://dx.doi.org/10.1016/j.epsl.2017.05.015","http://dx.doi.org/10.1016/j.epsl.2017.05.015")</f>
        <v>http://dx.doi.org/10.1016/j.epsl.2017.05.015</v>
      </c>
      <c r="BG504" t="s">
        <v>74</v>
      </c>
      <c r="BH504" t="s">
        <v>74</v>
      </c>
      <c r="BI504">
        <v>10</v>
      </c>
      <c r="BJ504" t="s">
        <v>509</v>
      </c>
      <c r="BK504" t="s">
        <v>101</v>
      </c>
      <c r="BL504" t="s">
        <v>509</v>
      </c>
      <c r="BM504" t="s">
        <v>9954</v>
      </c>
      <c r="BN504" t="s">
        <v>74</v>
      </c>
      <c r="BO504" t="s">
        <v>511</v>
      </c>
      <c r="BP504" t="s">
        <v>74</v>
      </c>
      <c r="BQ504" t="s">
        <v>74</v>
      </c>
      <c r="BR504" t="s">
        <v>105</v>
      </c>
      <c r="BS504" t="s">
        <v>10100</v>
      </c>
      <c r="BT504" t="str">
        <f>HYPERLINK("https%3A%2F%2Fwww.webofscience.com%2Fwos%2Fwoscc%2Ffull-record%2FWOS:000405153600019","View Full Record in Web of Science")</f>
        <v>View Full Record in Web of Science</v>
      </c>
    </row>
    <row r="505" spans="1:72" x14ac:dyDescent="0.15">
      <c r="A505" t="s">
        <v>72</v>
      </c>
      <c r="B505" t="s">
        <v>10101</v>
      </c>
      <c r="C505" t="s">
        <v>74</v>
      </c>
      <c r="D505" t="s">
        <v>74</v>
      </c>
      <c r="E505" t="s">
        <v>74</v>
      </c>
      <c r="F505" t="s">
        <v>10102</v>
      </c>
      <c r="G505" t="s">
        <v>74</v>
      </c>
      <c r="H505" t="s">
        <v>74</v>
      </c>
      <c r="I505" t="s">
        <v>10103</v>
      </c>
      <c r="J505" t="s">
        <v>10104</v>
      </c>
      <c r="K505" t="s">
        <v>74</v>
      </c>
      <c r="L505" t="s">
        <v>74</v>
      </c>
      <c r="M505" t="s">
        <v>78</v>
      </c>
      <c r="N505" t="s">
        <v>79</v>
      </c>
      <c r="O505" t="s">
        <v>74</v>
      </c>
      <c r="P505" t="s">
        <v>74</v>
      </c>
      <c r="Q505" t="s">
        <v>74</v>
      </c>
      <c r="R505" t="s">
        <v>74</v>
      </c>
      <c r="S505" t="s">
        <v>74</v>
      </c>
      <c r="T505" t="s">
        <v>10105</v>
      </c>
      <c r="U505" t="s">
        <v>10106</v>
      </c>
      <c r="V505" t="s">
        <v>10107</v>
      </c>
      <c r="W505" t="s">
        <v>10108</v>
      </c>
      <c r="X505" t="s">
        <v>10109</v>
      </c>
      <c r="Y505" t="s">
        <v>10110</v>
      </c>
      <c r="Z505" t="s">
        <v>10111</v>
      </c>
      <c r="AA505" t="s">
        <v>10112</v>
      </c>
      <c r="AB505" t="s">
        <v>10113</v>
      </c>
      <c r="AC505" t="s">
        <v>10114</v>
      </c>
      <c r="AD505" t="s">
        <v>10114</v>
      </c>
      <c r="AE505" t="s">
        <v>10115</v>
      </c>
      <c r="AF505" t="s">
        <v>74</v>
      </c>
      <c r="AG505">
        <v>93</v>
      </c>
      <c r="AH505">
        <v>14</v>
      </c>
      <c r="AI505">
        <v>14</v>
      </c>
      <c r="AJ505">
        <v>1</v>
      </c>
      <c r="AK505">
        <v>53</v>
      </c>
      <c r="AL505" t="s">
        <v>371</v>
      </c>
      <c r="AM505" t="s">
        <v>372</v>
      </c>
      <c r="AN505" t="s">
        <v>373</v>
      </c>
      <c r="AO505" t="s">
        <v>10116</v>
      </c>
      <c r="AP505" t="s">
        <v>10117</v>
      </c>
      <c r="AQ505" t="s">
        <v>74</v>
      </c>
      <c r="AR505" t="s">
        <v>10104</v>
      </c>
      <c r="AS505" t="s">
        <v>10118</v>
      </c>
      <c r="AT505" t="s">
        <v>9915</v>
      </c>
      <c r="AU505">
        <v>2017</v>
      </c>
      <c r="AV505">
        <v>300</v>
      </c>
      <c r="AW505" t="s">
        <v>74</v>
      </c>
      <c r="AX505" t="s">
        <v>74</v>
      </c>
      <c r="AY505" t="s">
        <v>74</v>
      </c>
      <c r="AZ505" t="s">
        <v>74</v>
      </c>
      <c r="BA505" t="s">
        <v>74</v>
      </c>
      <c r="BB505">
        <v>32</v>
      </c>
      <c r="BC505">
        <v>43</v>
      </c>
      <c r="BD505" t="s">
        <v>74</v>
      </c>
      <c r="BE505" t="s">
        <v>10119</v>
      </c>
      <c r="BF505" t="str">
        <f>HYPERLINK("http://dx.doi.org/10.1016/j.geoderma.2017.04.001","http://dx.doi.org/10.1016/j.geoderma.2017.04.001")</f>
        <v>http://dx.doi.org/10.1016/j.geoderma.2017.04.001</v>
      </c>
      <c r="BG505" t="s">
        <v>74</v>
      </c>
      <c r="BH505" t="s">
        <v>74</v>
      </c>
      <c r="BI505">
        <v>12</v>
      </c>
      <c r="BJ505" t="s">
        <v>6681</v>
      </c>
      <c r="BK505" t="s">
        <v>101</v>
      </c>
      <c r="BL505" t="s">
        <v>6682</v>
      </c>
      <c r="BM505" t="s">
        <v>10120</v>
      </c>
      <c r="BN505" t="s">
        <v>74</v>
      </c>
      <c r="BO505" t="s">
        <v>164</v>
      </c>
      <c r="BP505" t="s">
        <v>74</v>
      </c>
      <c r="BQ505" t="s">
        <v>74</v>
      </c>
      <c r="BR505" t="s">
        <v>105</v>
      </c>
      <c r="BS505" t="s">
        <v>10121</v>
      </c>
      <c r="BT505" t="str">
        <f>HYPERLINK("https%3A%2F%2Fwww.webofscience.com%2Fwos%2Fwoscc%2Ffull-record%2FWOS:000402349200003","View Full Record in Web of Science")</f>
        <v>View Full Record in Web of Science</v>
      </c>
    </row>
    <row r="506" spans="1:72" x14ac:dyDescent="0.15">
      <c r="A506" t="s">
        <v>72</v>
      </c>
      <c r="B506" t="s">
        <v>10122</v>
      </c>
      <c r="C506" t="s">
        <v>74</v>
      </c>
      <c r="D506" t="s">
        <v>74</v>
      </c>
      <c r="E506" t="s">
        <v>74</v>
      </c>
      <c r="F506" t="s">
        <v>10123</v>
      </c>
      <c r="G506" t="s">
        <v>74</v>
      </c>
      <c r="H506" t="s">
        <v>74</v>
      </c>
      <c r="I506" t="s">
        <v>10124</v>
      </c>
      <c r="J506" t="s">
        <v>299</v>
      </c>
      <c r="K506" t="s">
        <v>74</v>
      </c>
      <c r="L506" t="s">
        <v>74</v>
      </c>
      <c r="M506" t="s">
        <v>78</v>
      </c>
      <c r="N506" t="s">
        <v>79</v>
      </c>
      <c r="O506" t="s">
        <v>74</v>
      </c>
      <c r="P506" t="s">
        <v>74</v>
      </c>
      <c r="Q506" t="s">
        <v>74</v>
      </c>
      <c r="R506" t="s">
        <v>74</v>
      </c>
      <c r="S506" t="s">
        <v>74</v>
      </c>
      <c r="T506" t="s">
        <v>74</v>
      </c>
      <c r="U506" t="s">
        <v>10125</v>
      </c>
      <c r="V506" t="s">
        <v>10126</v>
      </c>
      <c r="W506" t="s">
        <v>10127</v>
      </c>
      <c r="X506" t="s">
        <v>10128</v>
      </c>
      <c r="Y506" t="s">
        <v>10129</v>
      </c>
      <c r="Z506" t="s">
        <v>10130</v>
      </c>
      <c r="AA506" t="s">
        <v>10131</v>
      </c>
      <c r="AB506" t="s">
        <v>10132</v>
      </c>
      <c r="AC506" t="s">
        <v>10133</v>
      </c>
      <c r="AD506" t="s">
        <v>10134</v>
      </c>
      <c r="AE506" t="s">
        <v>10135</v>
      </c>
      <c r="AF506" t="s">
        <v>74</v>
      </c>
      <c r="AG506">
        <v>47</v>
      </c>
      <c r="AH506">
        <v>27</v>
      </c>
      <c r="AI506">
        <v>29</v>
      </c>
      <c r="AJ506">
        <v>0</v>
      </c>
      <c r="AK506">
        <v>11</v>
      </c>
      <c r="AL506" t="s">
        <v>311</v>
      </c>
      <c r="AM506" t="s">
        <v>312</v>
      </c>
      <c r="AN506" t="s">
        <v>313</v>
      </c>
      <c r="AO506" t="s">
        <v>314</v>
      </c>
      <c r="AP506" t="s">
        <v>315</v>
      </c>
      <c r="AQ506" t="s">
        <v>74</v>
      </c>
      <c r="AR506" t="s">
        <v>299</v>
      </c>
      <c r="AS506" t="s">
        <v>316</v>
      </c>
      <c r="AT506" t="s">
        <v>10136</v>
      </c>
      <c r="AU506">
        <v>2017</v>
      </c>
      <c r="AV506">
        <v>11</v>
      </c>
      <c r="AW506">
        <v>4</v>
      </c>
      <c r="AX506" t="s">
        <v>74</v>
      </c>
      <c r="AY506" t="s">
        <v>74</v>
      </c>
      <c r="AZ506" t="s">
        <v>74</v>
      </c>
      <c r="BA506" t="s">
        <v>74</v>
      </c>
      <c r="BB506">
        <v>1897</v>
      </c>
      <c r="BC506">
        <v>1911</v>
      </c>
      <c r="BD506" t="s">
        <v>74</v>
      </c>
      <c r="BE506" t="s">
        <v>10137</v>
      </c>
      <c r="BF506" t="str">
        <f>HYPERLINK("http://dx.doi.org/10.5194/tc-11-1897-2017","http://dx.doi.org/10.5194/tc-11-1897-2017")</f>
        <v>http://dx.doi.org/10.5194/tc-11-1897-2017</v>
      </c>
      <c r="BG506" t="s">
        <v>74</v>
      </c>
      <c r="BH506" t="s">
        <v>74</v>
      </c>
      <c r="BI506">
        <v>15</v>
      </c>
      <c r="BJ506" t="s">
        <v>319</v>
      </c>
      <c r="BK506" t="s">
        <v>101</v>
      </c>
      <c r="BL506" t="s">
        <v>320</v>
      </c>
      <c r="BM506" t="s">
        <v>10138</v>
      </c>
      <c r="BN506" t="s">
        <v>74</v>
      </c>
      <c r="BO506" t="s">
        <v>10139</v>
      </c>
      <c r="BP506" t="s">
        <v>74</v>
      </c>
      <c r="BQ506" t="s">
        <v>74</v>
      </c>
      <c r="BR506" t="s">
        <v>105</v>
      </c>
      <c r="BS506" t="s">
        <v>10140</v>
      </c>
      <c r="BT506" t="str">
        <f>HYPERLINK("https%3A%2F%2Fwww.webofscience.com%2Fwos%2Fwoscc%2Ffull-record%2FWOS:000407640200001","View Full Record in Web of Science")</f>
        <v>View Full Record in Web of Science</v>
      </c>
    </row>
    <row r="507" spans="1:72" x14ac:dyDescent="0.15">
      <c r="A507" t="s">
        <v>72</v>
      </c>
      <c r="B507" t="s">
        <v>10141</v>
      </c>
      <c r="C507" t="s">
        <v>74</v>
      </c>
      <c r="D507" t="s">
        <v>74</v>
      </c>
      <c r="E507" t="s">
        <v>74</v>
      </c>
      <c r="F507" t="s">
        <v>10142</v>
      </c>
      <c r="G507" t="s">
        <v>74</v>
      </c>
      <c r="H507" t="s">
        <v>74</v>
      </c>
      <c r="I507" t="s">
        <v>10143</v>
      </c>
      <c r="J507" t="s">
        <v>9433</v>
      </c>
      <c r="K507" t="s">
        <v>74</v>
      </c>
      <c r="L507" t="s">
        <v>74</v>
      </c>
      <c r="M507" t="s">
        <v>78</v>
      </c>
      <c r="N507" t="s">
        <v>79</v>
      </c>
      <c r="O507" t="s">
        <v>74</v>
      </c>
      <c r="P507" t="s">
        <v>74</v>
      </c>
      <c r="Q507" t="s">
        <v>74</v>
      </c>
      <c r="R507" t="s">
        <v>74</v>
      </c>
      <c r="S507" t="s">
        <v>74</v>
      </c>
      <c r="T507" t="s">
        <v>10144</v>
      </c>
      <c r="U507" t="s">
        <v>10145</v>
      </c>
      <c r="V507" t="s">
        <v>10146</v>
      </c>
      <c r="W507" t="s">
        <v>10147</v>
      </c>
      <c r="X507" t="s">
        <v>10148</v>
      </c>
      <c r="Y507" t="s">
        <v>10149</v>
      </c>
      <c r="Z507" t="s">
        <v>10150</v>
      </c>
      <c r="AA507" t="s">
        <v>10151</v>
      </c>
      <c r="AB507" t="s">
        <v>10152</v>
      </c>
      <c r="AC507" t="s">
        <v>10153</v>
      </c>
      <c r="AD507" t="s">
        <v>10153</v>
      </c>
      <c r="AE507" t="s">
        <v>10154</v>
      </c>
      <c r="AF507" t="s">
        <v>74</v>
      </c>
      <c r="AG507">
        <v>33</v>
      </c>
      <c r="AH507">
        <v>13</v>
      </c>
      <c r="AI507">
        <v>13</v>
      </c>
      <c r="AJ507">
        <v>2</v>
      </c>
      <c r="AK507">
        <v>27</v>
      </c>
      <c r="AL507" t="s">
        <v>9442</v>
      </c>
      <c r="AM507" t="s">
        <v>9443</v>
      </c>
      <c r="AN507" t="s">
        <v>9444</v>
      </c>
      <c r="AO507" t="s">
        <v>9445</v>
      </c>
      <c r="AP507" t="s">
        <v>74</v>
      </c>
      <c r="AQ507" t="s">
        <v>74</v>
      </c>
      <c r="AR507" t="s">
        <v>9446</v>
      </c>
      <c r="AS507" t="s">
        <v>9447</v>
      </c>
      <c r="AT507" t="s">
        <v>10155</v>
      </c>
      <c r="AU507">
        <v>2017</v>
      </c>
      <c r="AV507">
        <v>113</v>
      </c>
      <c r="AW507">
        <v>3</v>
      </c>
      <c r="AX507" t="s">
        <v>74</v>
      </c>
      <c r="AY507" t="s">
        <v>74</v>
      </c>
      <c r="AZ507" t="s">
        <v>74</v>
      </c>
      <c r="BA507" t="s">
        <v>74</v>
      </c>
      <c r="BB507">
        <v>486</v>
      </c>
      <c r="BC507">
        <v>492</v>
      </c>
      <c r="BD507" t="s">
        <v>74</v>
      </c>
      <c r="BE507" t="s">
        <v>10156</v>
      </c>
      <c r="BF507" t="str">
        <f>HYPERLINK("http://dx.doi.org/10.18520/cs/v113/i03/486-492","http://dx.doi.org/10.18520/cs/v113/i03/486-492")</f>
        <v>http://dx.doi.org/10.18520/cs/v113/i03/486-492</v>
      </c>
      <c r="BG507" t="s">
        <v>74</v>
      </c>
      <c r="BH507" t="s">
        <v>74</v>
      </c>
      <c r="BI507">
        <v>7</v>
      </c>
      <c r="BJ507" t="s">
        <v>190</v>
      </c>
      <c r="BK507" t="s">
        <v>101</v>
      </c>
      <c r="BL507" t="s">
        <v>191</v>
      </c>
      <c r="BM507" t="s">
        <v>10157</v>
      </c>
      <c r="BN507" t="s">
        <v>74</v>
      </c>
      <c r="BO507" t="s">
        <v>10158</v>
      </c>
      <c r="BP507" t="s">
        <v>74</v>
      </c>
      <c r="BQ507" t="s">
        <v>74</v>
      </c>
      <c r="BR507" t="s">
        <v>105</v>
      </c>
      <c r="BS507" t="s">
        <v>10159</v>
      </c>
      <c r="BT507" t="str">
        <f>HYPERLINK("https%3A%2F%2Fwww.webofscience.com%2Fwos%2Fwoscc%2Ffull-record%2FWOS:000407704800033","View Full Record in Web of Science")</f>
        <v>View Full Record in Web of Science</v>
      </c>
    </row>
    <row r="508" spans="1:72" x14ac:dyDescent="0.15">
      <c r="A508" t="s">
        <v>72</v>
      </c>
      <c r="B508" t="s">
        <v>10160</v>
      </c>
      <c r="C508" t="s">
        <v>74</v>
      </c>
      <c r="D508" t="s">
        <v>74</v>
      </c>
      <c r="E508" t="s">
        <v>74</v>
      </c>
      <c r="F508" t="s">
        <v>10161</v>
      </c>
      <c r="G508" t="s">
        <v>74</v>
      </c>
      <c r="H508" t="s">
        <v>74</v>
      </c>
      <c r="I508" t="s">
        <v>10162</v>
      </c>
      <c r="J508" t="s">
        <v>5304</v>
      </c>
      <c r="K508" t="s">
        <v>74</v>
      </c>
      <c r="L508" t="s">
        <v>74</v>
      </c>
      <c r="M508" t="s">
        <v>78</v>
      </c>
      <c r="N508" t="s">
        <v>79</v>
      </c>
      <c r="O508" t="s">
        <v>74</v>
      </c>
      <c r="P508" t="s">
        <v>74</v>
      </c>
      <c r="Q508" t="s">
        <v>74</v>
      </c>
      <c r="R508" t="s">
        <v>74</v>
      </c>
      <c r="S508" t="s">
        <v>74</v>
      </c>
      <c r="T508" t="s">
        <v>74</v>
      </c>
      <c r="U508" t="s">
        <v>10163</v>
      </c>
      <c r="V508" t="s">
        <v>10164</v>
      </c>
      <c r="W508" t="s">
        <v>10165</v>
      </c>
      <c r="X508" t="s">
        <v>10166</v>
      </c>
      <c r="Y508" t="s">
        <v>10167</v>
      </c>
      <c r="Z508" t="s">
        <v>10168</v>
      </c>
      <c r="AA508" t="s">
        <v>10169</v>
      </c>
      <c r="AB508" t="s">
        <v>10170</v>
      </c>
      <c r="AC508" t="s">
        <v>10171</v>
      </c>
      <c r="AD508" t="s">
        <v>10172</v>
      </c>
      <c r="AE508" t="s">
        <v>10173</v>
      </c>
      <c r="AF508" t="s">
        <v>74</v>
      </c>
      <c r="AG508">
        <v>26</v>
      </c>
      <c r="AH508">
        <v>15</v>
      </c>
      <c r="AI508">
        <v>15</v>
      </c>
      <c r="AJ508">
        <v>0</v>
      </c>
      <c r="AK508">
        <v>22</v>
      </c>
      <c r="AL508" t="s">
        <v>311</v>
      </c>
      <c r="AM508" t="s">
        <v>312</v>
      </c>
      <c r="AN508" t="s">
        <v>313</v>
      </c>
      <c r="AO508" t="s">
        <v>5313</v>
      </c>
      <c r="AP508" t="s">
        <v>5314</v>
      </c>
      <c r="AQ508" t="s">
        <v>74</v>
      </c>
      <c r="AR508" t="s">
        <v>5304</v>
      </c>
      <c r="AS508" t="s">
        <v>5315</v>
      </c>
      <c r="AT508" t="s">
        <v>10155</v>
      </c>
      <c r="AU508">
        <v>2017</v>
      </c>
      <c r="AV508">
        <v>14</v>
      </c>
      <c r="AW508">
        <v>15</v>
      </c>
      <c r="AX508" t="s">
        <v>74</v>
      </c>
      <c r="AY508" t="s">
        <v>74</v>
      </c>
      <c r="AZ508" t="s">
        <v>74</v>
      </c>
      <c r="BA508" t="s">
        <v>74</v>
      </c>
      <c r="BB508">
        <v>3705</v>
      </c>
      <c r="BC508">
        <v>3713</v>
      </c>
      <c r="BD508" t="s">
        <v>74</v>
      </c>
      <c r="BE508" t="s">
        <v>10174</v>
      </c>
      <c r="BF508" t="str">
        <f>HYPERLINK("http://dx.doi.org/10.5194/bg-14-3705-2017","http://dx.doi.org/10.5194/bg-14-3705-2017")</f>
        <v>http://dx.doi.org/10.5194/bg-14-3705-2017</v>
      </c>
      <c r="BG508" t="s">
        <v>74</v>
      </c>
      <c r="BH508" t="s">
        <v>74</v>
      </c>
      <c r="BI508">
        <v>9</v>
      </c>
      <c r="BJ508" t="s">
        <v>5317</v>
      </c>
      <c r="BK508" t="s">
        <v>101</v>
      </c>
      <c r="BL508" t="s">
        <v>5318</v>
      </c>
      <c r="BM508" t="s">
        <v>10175</v>
      </c>
      <c r="BN508" t="s">
        <v>74</v>
      </c>
      <c r="BO508" t="s">
        <v>322</v>
      </c>
      <c r="BP508" t="s">
        <v>74</v>
      </c>
      <c r="BQ508" t="s">
        <v>74</v>
      </c>
      <c r="BR508" t="s">
        <v>105</v>
      </c>
      <c r="BS508" t="s">
        <v>10176</v>
      </c>
      <c r="BT508" t="str">
        <f>HYPERLINK("https%3A%2F%2Fwww.webofscience.com%2Fwos%2Fwoscc%2Ffull-record%2FWOS:000407472600001","View Full Record in Web of Science")</f>
        <v>View Full Record in Web of Science</v>
      </c>
    </row>
    <row r="509" spans="1:72" x14ac:dyDescent="0.15">
      <c r="A509" t="s">
        <v>72</v>
      </c>
      <c r="B509" t="s">
        <v>10177</v>
      </c>
      <c r="C509" t="s">
        <v>74</v>
      </c>
      <c r="D509" t="s">
        <v>74</v>
      </c>
      <c r="E509" t="s">
        <v>74</v>
      </c>
      <c r="F509" t="s">
        <v>10178</v>
      </c>
      <c r="G509" t="s">
        <v>74</v>
      </c>
      <c r="H509" t="s">
        <v>74</v>
      </c>
      <c r="I509" t="s">
        <v>10179</v>
      </c>
      <c r="J509" t="s">
        <v>638</v>
      </c>
      <c r="K509" t="s">
        <v>74</v>
      </c>
      <c r="L509" t="s">
        <v>74</v>
      </c>
      <c r="M509" t="s">
        <v>78</v>
      </c>
      <c r="N509" t="s">
        <v>79</v>
      </c>
      <c r="O509" t="s">
        <v>74</v>
      </c>
      <c r="P509" t="s">
        <v>74</v>
      </c>
      <c r="Q509" t="s">
        <v>74</v>
      </c>
      <c r="R509" t="s">
        <v>74</v>
      </c>
      <c r="S509" t="s">
        <v>74</v>
      </c>
      <c r="T509" t="s">
        <v>74</v>
      </c>
      <c r="U509" t="s">
        <v>10180</v>
      </c>
      <c r="V509" t="s">
        <v>10181</v>
      </c>
      <c r="W509" t="s">
        <v>10182</v>
      </c>
      <c r="X509" t="s">
        <v>10183</v>
      </c>
      <c r="Y509" t="s">
        <v>10184</v>
      </c>
      <c r="Z509" t="s">
        <v>10185</v>
      </c>
      <c r="AA509" t="s">
        <v>10186</v>
      </c>
      <c r="AB509" t="s">
        <v>10187</v>
      </c>
      <c r="AC509" t="s">
        <v>10188</v>
      </c>
      <c r="AD509" t="s">
        <v>10189</v>
      </c>
      <c r="AE509" t="s">
        <v>10190</v>
      </c>
      <c r="AF509" t="s">
        <v>74</v>
      </c>
      <c r="AG509">
        <v>50</v>
      </c>
      <c r="AH509">
        <v>11</v>
      </c>
      <c r="AI509">
        <v>11</v>
      </c>
      <c r="AJ509">
        <v>2</v>
      </c>
      <c r="AK509">
        <v>32</v>
      </c>
      <c r="AL509" t="s">
        <v>650</v>
      </c>
      <c r="AM509" t="s">
        <v>651</v>
      </c>
      <c r="AN509" t="s">
        <v>652</v>
      </c>
      <c r="AO509" t="s">
        <v>653</v>
      </c>
      <c r="AP509" t="s">
        <v>74</v>
      </c>
      <c r="AQ509" t="s">
        <v>74</v>
      </c>
      <c r="AR509" t="s">
        <v>654</v>
      </c>
      <c r="AS509" t="s">
        <v>655</v>
      </c>
      <c r="AT509" t="s">
        <v>10155</v>
      </c>
      <c r="AU509">
        <v>2017</v>
      </c>
      <c r="AV509">
        <v>7</v>
      </c>
      <c r="AW509" t="s">
        <v>74</v>
      </c>
      <c r="AX509" t="s">
        <v>74</v>
      </c>
      <c r="AY509" t="s">
        <v>74</v>
      </c>
      <c r="AZ509" t="s">
        <v>74</v>
      </c>
      <c r="BA509" t="s">
        <v>74</v>
      </c>
      <c r="BB509" t="s">
        <v>74</v>
      </c>
      <c r="BC509" t="s">
        <v>74</v>
      </c>
      <c r="BD509">
        <v>7726</v>
      </c>
      <c r="BE509" t="s">
        <v>10191</v>
      </c>
      <c r="BF509" t="str">
        <f>HYPERLINK("http://dx.doi.org/10.1038/s41598-017-07765-w","http://dx.doi.org/10.1038/s41598-017-07765-w")</f>
        <v>http://dx.doi.org/10.1038/s41598-017-07765-w</v>
      </c>
      <c r="BG509" t="s">
        <v>74</v>
      </c>
      <c r="BH509" t="s">
        <v>74</v>
      </c>
      <c r="BI509">
        <v>9</v>
      </c>
      <c r="BJ509" t="s">
        <v>190</v>
      </c>
      <c r="BK509" t="s">
        <v>101</v>
      </c>
      <c r="BL509" t="s">
        <v>191</v>
      </c>
      <c r="BM509" t="s">
        <v>10192</v>
      </c>
      <c r="BN509">
        <v>28798296</v>
      </c>
      <c r="BO509" t="s">
        <v>658</v>
      </c>
      <c r="BP509" t="s">
        <v>74</v>
      </c>
      <c r="BQ509" t="s">
        <v>74</v>
      </c>
      <c r="BR509" t="s">
        <v>105</v>
      </c>
      <c r="BS509" t="s">
        <v>10193</v>
      </c>
      <c r="BT509" t="str">
        <f>HYPERLINK("https%3A%2F%2Fwww.webofscience.com%2Fwos%2Fwoscc%2Ffull-record%2FWOS:000407400100013","View Full Record in Web of Science")</f>
        <v>View Full Record in Web of Science</v>
      </c>
    </row>
    <row r="510" spans="1:72" x14ac:dyDescent="0.15">
      <c r="A510" t="s">
        <v>72</v>
      </c>
      <c r="B510" t="s">
        <v>10194</v>
      </c>
      <c r="C510" t="s">
        <v>74</v>
      </c>
      <c r="D510" t="s">
        <v>74</v>
      </c>
      <c r="E510" t="s">
        <v>74</v>
      </c>
      <c r="F510" t="s">
        <v>10195</v>
      </c>
      <c r="G510" t="s">
        <v>74</v>
      </c>
      <c r="H510" t="s">
        <v>74</v>
      </c>
      <c r="I510" t="s">
        <v>10196</v>
      </c>
      <c r="J510" t="s">
        <v>638</v>
      </c>
      <c r="K510" t="s">
        <v>74</v>
      </c>
      <c r="L510" t="s">
        <v>74</v>
      </c>
      <c r="M510" t="s">
        <v>78</v>
      </c>
      <c r="N510" t="s">
        <v>79</v>
      </c>
      <c r="O510" t="s">
        <v>74</v>
      </c>
      <c r="P510" t="s">
        <v>74</v>
      </c>
      <c r="Q510" t="s">
        <v>74</v>
      </c>
      <c r="R510" t="s">
        <v>74</v>
      </c>
      <c r="S510" t="s">
        <v>74</v>
      </c>
      <c r="T510" t="s">
        <v>74</v>
      </c>
      <c r="U510" t="s">
        <v>10197</v>
      </c>
      <c r="V510" t="s">
        <v>10198</v>
      </c>
      <c r="W510" t="s">
        <v>10199</v>
      </c>
      <c r="X510" t="s">
        <v>10200</v>
      </c>
      <c r="Y510" t="s">
        <v>10201</v>
      </c>
      <c r="Z510" t="s">
        <v>10202</v>
      </c>
      <c r="AA510" t="s">
        <v>10203</v>
      </c>
      <c r="AB510" t="s">
        <v>10204</v>
      </c>
      <c r="AC510" t="s">
        <v>10205</v>
      </c>
      <c r="AD510" t="s">
        <v>10206</v>
      </c>
      <c r="AE510" t="s">
        <v>10207</v>
      </c>
      <c r="AF510" t="s">
        <v>74</v>
      </c>
      <c r="AG510">
        <v>90</v>
      </c>
      <c r="AH510">
        <v>41</v>
      </c>
      <c r="AI510">
        <v>43</v>
      </c>
      <c r="AJ510">
        <v>6</v>
      </c>
      <c r="AK510">
        <v>74</v>
      </c>
      <c r="AL510" t="s">
        <v>650</v>
      </c>
      <c r="AM510" t="s">
        <v>651</v>
      </c>
      <c r="AN510" t="s">
        <v>652</v>
      </c>
      <c r="AO510" t="s">
        <v>653</v>
      </c>
      <c r="AP510" t="s">
        <v>74</v>
      </c>
      <c r="AQ510" t="s">
        <v>74</v>
      </c>
      <c r="AR510" t="s">
        <v>654</v>
      </c>
      <c r="AS510" t="s">
        <v>655</v>
      </c>
      <c r="AT510" t="s">
        <v>10208</v>
      </c>
      <c r="AU510">
        <v>2017</v>
      </c>
      <c r="AV510">
        <v>7</v>
      </c>
      <c r="AW510" t="s">
        <v>74</v>
      </c>
      <c r="AX510" t="s">
        <v>74</v>
      </c>
      <c r="AY510" t="s">
        <v>74</v>
      </c>
      <c r="AZ510" t="s">
        <v>74</v>
      </c>
      <c r="BA510" t="s">
        <v>74</v>
      </c>
      <c r="BB510" t="s">
        <v>74</v>
      </c>
      <c r="BC510" t="s">
        <v>74</v>
      </c>
      <c r="BD510">
        <v>7641</v>
      </c>
      <c r="BE510" t="s">
        <v>10209</v>
      </c>
      <c r="BF510" t="str">
        <f>HYPERLINK("http://dx.doi.org/10.1038/s41598-017-07751-2","http://dx.doi.org/10.1038/s41598-017-07751-2")</f>
        <v>http://dx.doi.org/10.1038/s41598-017-07751-2</v>
      </c>
      <c r="BG510" t="s">
        <v>74</v>
      </c>
      <c r="BH510" t="s">
        <v>74</v>
      </c>
      <c r="BI510">
        <v>14</v>
      </c>
      <c r="BJ510" t="s">
        <v>190</v>
      </c>
      <c r="BK510" t="s">
        <v>101</v>
      </c>
      <c r="BL510" t="s">
        <v>191</v>
      </c>
      <c r="BM510" t="s">
        <v>10210</v>
      </c>
      <c r="BN510">
        <v>28794497</v>
      </c>
      <c r="BO510" t="s">
        <v>459</v>
      </c>
      <c r="BP510" t="s">
        <v>74</v>
      </c>
      <c r="BQ510" t="s">
        <v>74</v>
      </c>
      <c r="BR510" t="s">
        <v>105</v>
      </c>
      <c r="BS510" t="s">
        <v>10211</v>
      </c>
      <c r="BT510" t="str">
        <f>HYPERLINK("https%3A%2F%2Fwww.webofscience.com%2Fwos%2Fwoscc%2Ffull-record%2FWOS:000407293400014","View Full Record in Web of Science")</f>
        <v>View Full Record in Web of Science</v>
      </c>
    </row>
    <row r="511" spans="1:72" x14ac:dyDescent="0.15">
      <c r="A511" t="s">
        <v>72</v>
      </c>
      <c r="B511" t="s">
        <v>10212</v>
      </c>
      <c r="C511" t="s">
        <v>74</v>
      </c>
      <c r="D511" t="s">
        <v>74</v>
      </c>
      <c r="E511" t="s">
        <v>74</v>
      </c>
      <c r="F511" t="s">
        <v>10213</v>
      </c>
      <c r="G511" t="s">
        <v>74</v>
      </c>
      <c r="H511" t="s">
        <v>74</v>
      </c>
      <c r="I511" t="s">
        <v>10214</v>
      </c>
      <c r="J511" t="s">
        <v>299</v>
      </c>
      <c r="K511" t="s">
        <v>74</v>
      </c>
      <c r="L511" t="s">
        <v>74</v>
      </c>
      <c r="M511" t="s">
        <v>78</v>
      </c>
      <c r="N511" t="s">
        <v>79</v>
      </c>
      <c r="O511" t="s">
        <v>74</v>
      </c>
      <c r="P511" t="s">
        <v>74</v>
      </c>
      <c r="Q511" t="s">
        <v>74</v>
      </c>
      <c r="R511" t="s">
        <v>74</v>
      </c>
      <c r="S511" t="s">
        <v>74</v>
      </c>
      <c r="T511" t="s">
        <v>74</v>
      </c>
      <c r="U511" t="s">
        <v>10215</v>
      </c>
      <c r="V511" t="s">
        <v>10216</v>
      </c>
      <c r="W511" t="s">
        <v>10217</v>
      </c>
      <c r="X511" t="s">
        <v>10218</v>
      </c>
      <c r="Y511" t="s">
        <v>10219</v>
      </c>
      <c r="Z511" t="s">
        <v>10220</v>
      </c>
      <c r="AA511" t="s">
        <v>7737</v>
      </c>
      <c r="AB511" t="s">
        <v>10221</v>
      </c>
      <c r="AC511" t="s">
        <v>74</v>
      </c>
      <c r="AD511" t="s">
        <v>74</v>
      </c>
      <c r="AE511" t="s">
        <v>74</v>
      </c>
      <c r="AF511" t="s">
        <v>74</v>
      </c>
      <c r="AG511">
        <v>98</v>
      </c>
      <c r="AH511">
        <v>56</v>
      </c>
      <c r="AI511">
        <v>57</v>
      </c>
      <c r="AJ511">
        <v>0</v>
      </c>
      <c r="AK511">
        <v>22</v>
      </c>
      <c r="AL511" t="s">
        <v>311</v>
      </c>
      <c r="AM511" t="s">
        <v>312</v>
      </c>
      <c r="AN511" t="s">
        <v>313</v>
      </c>
      <c r="AO511" t="s">
        <v>314</v>
      </c>
      <c r="AP511" t="s">
        <v>315</v>
      </c>
      <c r="AQ511" t="s">
        <v>74</v>
      </c>
      <c r="AR511" t="s">
        <v>299</v>
      </c>
      <c r="AS511" t="s">
        <v>316</v>
      </c>
      <c r="AT511" t="s">
        <v>10222</v>
      </c>
      <c r="AU511">
        <v>2017</v>
      </c>
      <c r="AV511">
        <v>11</v>
      </c>
      <c r="AW511">
        <v>4</v>
      </c>
      <c r="AX511" t="s">
        <v>74</v>
      </c>
      <c r="AY511" t="s">
        <v>74</v>
      </c>
      <c r="AZ511" t="s">
        <v>74</v>
      </c>
      <c r="BA511" t="s">
        <v>74</v>
      </c>
      <c r="BB511">
        <v>1851</v>
      </c>
      <c r="BC511">
        <v>1878</v>
      </c>
      <c r="BD511" t="s">
        <v>74</v>
      </c>
      <c r="BE511" t="s">
        <v>10223</v>
      </c>
      <c r="BF511" t="str">
        <f>HYPERLINK("http://dx.doi.org/10.5194/tc-11-1851-2017","http://dx.doi.org/10.5194/tc-11-1851-2017")</f>
        <v>http://dx.doi.org/10.5194/tc-11-1851-2017</v>
      </c>
      <c r="BG511" t="s">
        <v>74</v>
      </c>
      <c r="BH511" t="s">
        <v>74</v>
      </c>
      <c r="BI511">
        <v>28</v>
      </c>
      <c r="BJ511" t="s">
        <v>319</v>
      </c>
      <c r="BK511" t="s">
        <v>101</v>
      </c>
      <c r="BL511" t="s">
        <v>320</v>
      </c>
      <c r="BM511" t="s">
        <v>10224</v>
      </c>
      <c r="BN511" t="s">
        <v>74</v>
      </c>
      <c r="BO511" t="s">
        <v>9587</v>
      </c>
      <c r="BP511" t="s">
        <v>74</v>
      </c>
      <c r="BQ511" t="s">
        <v>74</v>
      </c>
      <c r="BR511" t="s">
        <v>105</v>
      </c>
      <c r="BS511" t="s">
        <v>10225</v>
      </c>
      <c r="BT511" t="str">
        <f>HYPERLINK("https%3A%2F%2Fwww.webofscience.com%2Fwos%2Fwoscc%2Ffull-record%2FWOS:000407338300001","View Full Record in Web of Science")</f>
        <v>View Full Record in Web of Science</v>
      </c>
    </row>
    <row r="512" spans="1:72" x14ac:dyDescent="0.15">
      <c r="A512" t="s">
        <v>72</v>
      </c>
      <c r="B512" t="s">
        <v>10226</v>
      </c>
      <c r="C512" t="s">
        <v>74</v>
      </c>
      <c r="D512" t="s">
        <v>74</v>
      </c>
      <c r="E512" t="s">
        <v>74</v>
      </c>
      <c r="F512" t="s">
        <v>10227</v>
      </c>
      <c r="G512" t="s">
        <v>74</v>
      </c>
      <c r="H512" t="s">
        <v>74</v>
      </c>
      <c r="I512" t="s">
        <v>10228</v>
      </c>
      <c r="J512" t="s">
        <v>437</v>
      </c>
      <c r="K512" t="s">
        <v>74</v>
      </c>
      <c r="L512" t="s">
        <v>74</v>
      </c>
      <c r="M512" t="s">
        <v>78</v>
      </c>
      <c r="N512" t="s">
        <v>79</v>
      </c>
      <c r="O512" t="s">
        <v>74</v>
      </c>
      <c r="P512" t="s">
        <v>74</v>
      </c>
      <c r="Q512" t="s">
        <v>74</v>
      </c>
      <c r="R512" t="s">
        <v>74</v>
      </c>
      <c r="S512" t="s">
        <v>74</v>
      </c>
      <c r="T512" t="s">
        <v>10229</v>
      </c>
      <c r="U512" t="s">
        <v>10230</v>
      </c>
      <c r="V512" t="s">
        <v>10231</v>
      </c>
      <c r="W512" t="s">
        <v>10232</v>
      </c>
      <c r="X512" t="s">
        <v>10233</v>
      </c>
      <c r="Y512" t="s">
        <v>10234</v>
      </c>
      <c r="Z512" t="s">
        <v>10235</v>
      </c>
      <c r="AA512" t="s">
        <v>10236</v>
      </c>
      <c r="AB512" t="s">
        <v>10237</v>
      </c>
      <c r="AC512" t="s">
        <v>10238</v>
      </c>
      <c r="AD512" t="s">
        <v>10239</v>
      </c>
      <c r="AE512" t="s">
        <v>10240</v>
      </c>
      <c r="AF512" t="s">
        <v>74</v>
      </c>
      <c r="AG512">
        <v>82</v>
      </c>
      <c r="AH512">
        <v>28</v>
      </c>
      <c r="AI512">
        <v>34</v>
      </c>
      <c r="AJ512">
        <v>0</v>
      </c>
      <c r="AK512">
        <v>34</v>
      </c>
      <c r="AL512" t="s">
        <v>450</v>
      </c>
      <c r="AM512" t="s">
        <v>451</v>
      </c>
      <c r="AN512" t="s">
        <v>452</v>
      </c>
      <c r="AO512" t="s">
        <v>74</v>
      </c>
      <c r="AP512" t="s">
        <v>453</v>
      </c>
      <c r="AQ512" t="s">
        <v>74</v>
      </c>
      <c r="AR512" t="s">
        <v>454</v>
      </c>
      <c r="AS512" t="s">
        <v>455</v>
      </c>
      <c r="AT512" t="s">
        <v>10222</v>
      </c>
      <c r="AU512">
        <v>2017</v>
      </c>
      <c r="AV512">
        <v>8</v>
      </c>
      <c r="AW512" t="s">
        <v>74</v>
      </c>
      <c r="AX512" t="s">
        <v>74</v>
      </c>
      <c r="AY512" t="s">
        <v>74</v>
      </c>
      <c r="AZ512" t="s">
        <v>74</v>
      </c>
      <c r="BA512" t="s">
        <v>74</v>
      </c>
      <c r="BB512" t="s">
        <v>74</v>
      </c>
      <c r="BC512" t="s">
        <v>74</v>
      </c>
      <c r="BD512">
        <v>1485</v>
      </c>
      <c r="BE512" t="s">
        <v>10241</v>
      </c>
      <c r="BF512" t="str">
        <f>HYPERLINK("http://dx.doi.org/10.3389/fmicb.2017.01485","http://dx.doi.org/10.3389/fmicb.2017.01485")</f>
        <v>http://dx.doi.org/10.3389/fmicb.2017.01485</v>
      </c>
      <c r="BG512" t="s">
        <v>74</v>
      </c>
      <c r="BH512" t="s">
        <v>74</v>
      </c>
      <c r="BI512">
        <v>12</v>
      </c>
      <c r="BJ512" t="s">
        <v>457</v>
      </c>
      <c r="BK512" t="s">
        <v>101</v>
      </c>
      <c r="BL512" t="s">
        <v>457</v>
      </c>
      <c r="BM512" t="s">
        <v>10242</v>
      </c>
      <c r="BN512">
        <v>28848507</v>
      </c>
      <c r="BO512" t="s">
        <v>267</v>
      </c>
      <c r="BP512" t="s">
        <v>74</v>
      </c>
      <c r="BQ512" t="s">
        <v>74</v>
      </c>
      <c r="BR512" t="s">
        <v>105</v>
      </c>
      <c r="BS512" t="s">
        <v>10243</v>
      </c>
      <c r="BT512" t="str">
        <f>HYPERLINK("https%3A%2F%2Fwww.webofscience.com%2Fwos%2Fwoscc%2Ffull-record%2FWOS:000407261500002","View Full Record in Web of Science")</f>
        <v>View Full Record in Web of Science</v>
      </c>
    </row>
    <row r="513" spans="1:72" x14ac:dyDescent="0.15">
      <c r="A513" t="s">
        <v>72</v>
      </c>
      <c r="B513" t="s">
        <v>10244</v>
      </c>
      <c r="C513" t="s">
        <v>74</v>
      </c>
      <c r="D513" t="s">
        <v>74</v>
      </c>
      <c r="E513" t="s">
        <v>74</v>
      </c>
      <c r="F513" t="s">
        <v>10245</v>
      </c>
      <c r="G513" t="s">
        <v>74</v>
      </c>
      <c r="H513" t="s">
        <v>74</v>
      </c>
      <c r="I513" t="s">
        <v>10246</v>
      </c>
      <c r="J513" t="s">
        <v>817</v>
      </c>
      <c r="K513" t="s">
        <v>74</v>
      </c>
      <c r="L513" t="s">
        <v>74</v>
      </c>
      <c r="M513" t="s">
        <v>78</v>
      </c>
      <c r="N513" t="s">
        <v>79</v>
      </c>
      <c r="O513" t="s">
        <v>74</v>
      </c>
      <c r="P513" t="s">
        <v>74</v>
      </c>
      <c r="Q513" t="s">
        <v>74</v>
      </c>
      <c r="R513" t="s">
        <v>74</v>
      </c>
      <c r="S513" t="s">
        <v>74</v>
      </c>
      <c r="T513" t="s">
        <v>74</v>
      </c>
      <c r="U513" t="s">
        <v>10247</v>
      </c>
      <c r="V513" t="s">
        <v>10248</v>
      </c>
      <c r="W513" t="s">
        <v>10249</v>
      </c>
      <c r="X513" t="s">
        <v>10250</v>
      </c>
      <c r="Y513" t="s">
        <v>10251</v>
      </c>
      <c r="Z513" t="s">
        <v>10252</v>
      </c>
      <c r="AA513" t="s">
        <v>10253</v>
      </c>
      <c r="AB513" t="s">
        <v>10254</v>
      </c>
      <c r="AC513" t="s">
        <v>10255</v>
      </c>
      <c r="AD513" t="s">
        <v>10256</v>
      </c>
      <c r="AE513" t="s">
        <v>10257</v>
      </c>
      <c r="AF513" t="s">
        <v>74</v>
      </c>
      <c r="AG513">
        <v>61</v>
      </c>
      <c r="AH513">
        <v>35</v>
      </c>
      <c r="AI513">
        <v>37</v>
      </c>
      <c r="AJ513">
        <v>2</v>
      </c>
      <c r="AK513">
        <v>23</v>
      </c>
      <c r="AL513" t="s">
        <v>311</v>
      </c>
      <c r="AM513" t="s">
        <v>312</v>
      </c>
      <c r="AN513" t="s">
        <v>313</v>
      </c>
      <c r="AO513" t="s">
        <v>829</v>
      </c>
      <c r="AP513" t="s">
        <v>830</v>
      </c>
      <c r="AQ513" t="s">
        <v>74</v>
      </c>
      <c r="AR513" t="s">
        <v>831</v>
      </c>
      <c r="AS513" t="s">
        <v>832</v>
      </c>
      <c r="AT513" t="s">
        <v>10258</v>
      </c>
      <c r="AU513">
        <v>2017</v>
      </c>
      <c r="AV513">
        <v>17</v>
      </c>
      <c r="AW513">
        <v>15</v>
      </c>
      <c r="AX513" t="s">
        <v>74</v>
      </c>
      <c r="AY513" t="s">
        <v>74</v>
      </c>
      <c r="AZ513" t="s">
        <v>74</v>
      </c>
      <c r="BA513" t="s">
        <v>74</v>
      </c>
      <c r="BB513">
        <v>9417</v>
      </c>
      <c r="BC513">
        <v>9433</v>
      </c>
      <c r="BD513" t="s">
        <v>74</v>
      </c>
      <c r="BE513" t="s">
        <v>10259</v>
      </c>
      <c r="BF513" t="str">
        <f>HYPERLINK("http://dx.doi.org/10.5194/acp-17-9417-2017","http://dx.doi.org/10.5194/acp-17-9417-2017")</f>
        <v>http://dx.doi.org/10.5194/acp-17-9417-2017</v>
      </c>
      <c r="BG513" t="s">
        <v>74</v>
      </c>
      <c r="BH513" t="s">
        <v>74</v>
      </c>
      <c r="BI513">
        <v>17</v>
      </c>
      <c r="BJ513" t="s">
        <v>834</v>
      </c>
      <c r="BK513" t="s">
        <v>101</v>
      </c>
      <c r="BL513" t="s">
        <v>835</v>
      </c>
      <c r="BM513" t="s">
        <v>10260</v>
      </c>
      <c r="BN513" t="s">
        <v>74</v>
      </c>
      <c r="BO513" t="s">
        <v>10261</v>
      </c>
      <c r="BP513" t="s">
        <v>74</v>
      </c>
      <c r="BQ513" t="s">
        <v>74</v>
      </c>
      <c r="BR513" t="s">
        <v>105</v>
      </c>
      <c r="BS513" t="s">
        <v>10262</v>
      </c>
      <c r="BT513" t="str">
        <f>HYPERLINK("https%3A%2F%2Fwww.webofscience.com%2Fwos%2Fwoscc%2Ffull-record%2FWOS:000407329400004","View Full Record in Web of Science")</f>
        <v>View Full Record in Web of Science</v>
      </c>
    </row>
    <row r="514" spans="1:72" x14ac:dyDescent="0.15">
      <c r="A514" t="s">
        <v>72</v>
      </c>
      <c r="B514" t="s">
        <v>10263</v>
      </c>
      <c r="C514" t="s">
        <v>74</v>
      </c>
      <c r="D514" t="s">
        <v>74</v>
      </c>
      <c r="E514" t="s">
        <v>74</v>
      </c>
      <c r="F514" t="s">
        <v>10264</v>
      </c>
      <c r="G514" t="s">
        <v>74</v>
      </c>
      <c r="H514" t="s">
        <v>74</v>
      </c>
      <c r="I514" t="s">
        <v>10265</v>
      </c>
      <c r="J514" t="s">
        <v>10266</v>
      </c>
      <c r="K514" t="s">
        <v>74</v>
      </c>
      <c r="L514" t="s">
        <v>74</v>
      </c>
      <c r="M514" t="s">
        <v>78</v>
      </c>
      <c r="N514" t="s">
        <v>79</v>
      </c>
      <c r="O514" t="s">
        <v>74</v>
      </c>
      <c r="P514" t="s">
        <v>74</v>
      </c>
      <c r="Q514" t="s">
        <v>74</v>
      </c>
      <c r="R514" t="s">
        <v>74</v>
      </c>
      <c r="S514" t="s">
        <v>74</v>
      </c>
      <c r="T514" t="s">
        <v>10267</v>
      </c>
      <c r="U514" t="s">
        <v>10268</v>
      </c>
      <c r="V514" t="s">
        <v>10269</v>
      </c>
      <c r="W514" t="s">
        <v>10270</v>
      </c>
      <c r="X514" t="s">
        <v>10271</v>
      </c>
      <c r="Y514" t="s">
        <v>10272</v>
      </c>
      <c r="Z514" t="s">
        <v>10273</v>
      </c>
      <c r="AA514" t="s">
        <v>10274</v>
      </c>
      <c r="AB514" t="s">
        <v>10275</v>
      </c>
      <c r="AC514" t="s">
        <v>10276</v>
      </c>
      <c r="AD514" t="s">
        <v>7977</v>
      </c>
      <c r="AE514" t="s">
        <v>10277</v>
      </c>
      <c r="AF514" t="s">
        <v>74</v>
      </c>
      <c r="AG514">
        <v>54</v>
      </c>
      <c r="AH514">
        <v>47</v>
      </c>
      <c r="AI514">
        <v>51</v>
      </c>
      <c r="AJ514">
        <v>3</v>
      </c>
      <c r="AK514">
        <v>60</v>
      </c>
      <c r="AL514" t="s">
        <v>259</v>
      </c>
      <c r="AM514" t="s">
        <v>182</v>
      </c>
      <c r="AN514" t="s">
        <v>260</v>
      </c>
      <c r="AO514" t="s">
        <v>74</v>
      </c>
      <c r="AP514" t="s">
        <v>10278</v>
      </c>
      <c r="AQ514" t="s">
        <v>74</v>
      </c>
      <c r="AR514" t="s">
        <v>10279</v>
      </c>
      <c r="AS514" t="s">
        <v>10280</v>
      </c>
      <c r="AT514" t="s">
        <v>10258</v>
      </c>
      <c r="AU514">
        <v>2017</v>
      </c>
      <c r="AV514">
        <v>16</v>
      </c>
      <c r="AW514" t="s">
        <v>74</v>
      </c>
      <c r="AX514" t="s">
        <v>74</v>
      </c>
      <c r="AY514" t="s">
        <v>74</v>
      </c>
      <c r="AZ514" t="s">
        <v>74</v>
      </c>
      <c r="BA514" t="s">
        <v>74</v>
      </c>
      <c r="BB514" t="s">
        <v>74</v>
      </c>
      <c r="BC514" t="s">
        <v>74</v>
      </c>
      <c r="BD514">
        <v>138</v>
      </c>
      <c r="BE514" t="s">
        <v>10281</v>
      </c>
      <c r="BF514" t="str">
        <f>HYPERLINK("http://dx.doi.org/10.1186/s12934-017-0737-2","http://dx.doi.org/10.1186/s12934-017-0737-2")</f>
        <v>http://dx.doi.org/10.1186/s12934-017-0737-2</v>
      </c>
      <c r="BG514" t="s">
        <v>74</v>
      </c>
      <c r="BH514" t="s">
        <v>74</v>
      </c>
      <c r="BI514">
        <v>13</v>
      </c>
      <c r="BJ514" t="s">
        <v>947</v>
      </c>
      <c r="BK514" t="s">
        <v>101</v>
      </c>
      <c r="BL514" t="s">
        <v>947</v>
      </c>
      <c r="BM514" t="s">
        <v>10282</v>
      </c>
      <c r="BN514">
        <v>28784139</v>
      </c>
      <c r="BO514" t="s">
        <v>267</v>
      </c>
      <c r="BP514" t="s">
        <v>74</v>
      </c>
      <c r="BQ514" t="s">
        <v>74</v>
      </c>
      <c r="BR514" t="s">
        <v>105</v>
      </c>
      <c r="BS514" t="s">
        <v>10283</v>
      </c>
      <c r="BT514" t="str">
        <f>HYPERLINK("https%3A%2F%2Fwww.webofscience.com%2Fwos%2Fwoscc%2Ffull-record%2FWOS:000407062400001","View Full Record in Web of Science")</f>
        <v>View Full Record in Web of Science</v>
      </c>
    </row>
    <row r="515" spans="1:72" x14ac:dyDescent="0.15">
      <c r="A515" t="s">
        <v>72</v>
      </c>
      <c r="B515" t="s">
        <v>10284</v>
      </c>
      <c r="C515" t="s">
        <v>74</v>
      </c>
      <c r="D515" t="s">
        <v>74</v>
      </c>
      <c r="E515" t="s">
        <v>74</v>
      </c>
      <c r="F515" t="s">
        <v>10285</v>
      </c>
      <c r="G515" t="s">
        <v>74</v>
      </c>
      <c r="H515" t="s">
        <v>74</v>
      </c>
      <c r="I515" t="s">
        <v>10286</v>
      </c>
      <c r="J515" t="s">
        <v>5304</v>
      </c>
      <c r="K515" t="s">
        <v>74</v>
      </c>
      <c r="L515" t="s">
        <v>74</v>
      </c>
      <c r="M515" t="s">
        <v>78</v>
      </c>
      <c r="N515" t="s">
        <v>79</v>
      </c>
      <c r="O515" t="s">
        <v>74</v>
      </c>
      <c r="P515" t="s">
        <v>74</v>
      </c>
      <c r="Q515" t="s">
        <v>74</v>
      </c>
      <c r="R515" t="s">
        <v>74</v>
      </c>
      <c r="S515" t="s">
        <v>74</v>
      </c>
      <c r="T515" t="s">
        <v>74</v>
      </c>
      <c r="U515" t="s">
        <v>10287</v>
      </c>
      <c r="V515" t="s">
        <v>10288</v>
      </c>
      <c r="W515" t="s">
        <v>10289</v>
      </c>
      <c r="X515" t="s">
        <v>10290</v>
      </c>
      <c r="Y515" t="s">
        <v>10291</v>
      </c>
      <c r="Z515" t="s">
        <v>10292</v>
      </c>
      <c r="AA515" t="s">
        <v>10293</v>
      </c>
      <c r="AB515" t="s">
        <v>10294</v>
      </c>
      <c r="AC515" t="s">
        <v>10295</v>
      </c>
      <c r="AD515" t="s">
        <v>10296</v>
      </c>
      <c r="AE515" t="s">
        <v>10297</v>
      </c>
      <c r="AF515" t="s">
        <v>74</v>
      </c>
      <c r="AG515">
        <v>41</v>
      </c>
      <c r="AH515">
        <v>25</v>
      </c>
      <c r="AI515">
        <v>26</v>
      </c>
      <c r="AJ515">
        <v>0</v>
      </c>
      <c r="AK515">
        <v>31</v>
      </c>
      <c r="AL515" t="s">
        <v>311</v>
      </c>
      <c r="AM515" t="s">
        <v>312</v>
      </c>
      <c r="AN515" t="s">
        <v>313</v>
      </c>
      <c r="AO515" t="s">
        <v>5313</v>
      </c>
      <c r="AP515" t="s">
        <v>5314</v>
      </c>
      <c r="AQ515" t="s">
        <v>74</v>
      </c>
      <c r="AR515" t="s">
        <v>5304</v>
      </c>
      <c r="AS515" t="s">
        <v>5315</v>
      </c>
      <c r="AT515" t="s">
        <v>10298</v>
      </c>
      <c r="AU515">
        <v>2017</v>
      </c>
      <c r="AV515">
        <v>14</v>
      </c>
      <c r="AW515">
        <v>15</v>
      </c>
      <c r="AX515" t="s">
        <v>74</v>
      </c>
      <c r="AY515" t="s">
        <v>74</v>
      </c>
      <c r="AZ515" t="s">
        <v>74</v>
      </c>
      <c r="BA515" t="s">
        <v>74</v>
      </c>
      <c r="BB515">
        <v>3633</v>
      </c>
      <c r="BC515">
        <v>3648</v>
      </c>
      <c r="BD515" t="s">
        <v>74</v>
      </c>
      <c r="BE515" t="s">
        <v>10299</v>
      </c>
      <c r="BF515" t="str">
        <f>HYPERLINK("http://dx.doi.org/10.5194/bg-14-3633-2017","http://dx.doi.org/10.5194/bg-14-3633-2017")</f>
        <v>http://dx.doi.org/10.5194/bg-14-3633-2017</v>
      </c>
      <c r="BG515" t="s">
        <v>74</v>
      </c>
      <c r="BH515" t="s">
        <v>74</v>
      </c>
      <c r="BI515">
        <v>16</v>
      </c>
      <c r="BJ515" t="s">
        <v>5317</v>
      </c>
      <c r="BK515" t="s">
        <v>101</v>
      </c>
      <c r="BL515" t="s">
        <v>5318</v>
      </c>
      <c r="BM515" t="s">
        <v>10300</v>
      </c>
      <c r="BN515" t="s">
        <v>74</v>
      </c>
      <c r="BO515" t="s">
        <v>322</v>
      </c>
      <c r="BP515" t="s">
        <v>74</v>
      </c>
      <c r="BQ515" t="s">
        <v>74</v>
      </c>
      <c r="BR515" t="s">
        <v>105</v>
      </c>
      <c r="BS515" t="s">
        <v>10301</v>
      </c>
      <c r="BT515" t="str">
        <f>HYPERLINK("https%3A%2F%2Fwww.webofscience.com%2Fwos%2Fwoscc%2Ffull-record%2FWOS:000407004100001","View Full Record in Web of Science")</f>
        <v>View Full Record in Web of Science</v>
      </c>
    </row>
    <row r="516" spans="1:72" x14ac:dyDescent="0.15">
      <c r="A516" t="s">
        <v>72</v>
      </c>
      <c r="B516" t="s">
        <v>10302</v>
      </c>
      <c r="C516" t="s">
        <v>74</v>
      </c>
      <c r="D516" t="s">
        <v>74</v>
      </c>
      <c r="E516" t="s">
        <v>74</v>
      </c>
      <c r="F516" t="s">
        <v>10303</v>
      </c>
      <c r="G516" t="s">
        <v>74</v>
      </c>
      <c r="H516" t="s">
        <v>74</v>
      </c>
      <c r="I516" t="s">
        <v>10304</v>
      </c>
      <c r="J516" t="s">
        <v>437</v>
      </c>
      <c r="K516" t="s">
        <v>74</v>
      </c>
      <c r="L516" t="s">
        <v>74</v>
      </c>
      <c r="M516" t="s">
        <v>78</v>
      </c>
      <c r="N516" t="s">
        <v>79</v>
      </c>
      <c r="O516" t="s">
        <v>74</v>
      </c>
      <c r="P516" t="s">
        <v>74</v>
      </c>
      <c r="Q516" t="s">
        <v>74</v>
      </c>
      <c r="R516" t="s">
        <v>74</v>
      </c>
      <c r="S516" t="s">
        <v>74</v>
      </c>
      <c r="T516" t="s">
        <v>10305</v>
      </c>
      <c r="U516" t="s">
        <v>10306</v>
      </c>
      <c r="V516" t="s">
        <v>10307</v>
      </c>
      <c r="W516" t="s">
        <v>10308</v>
      </c>
      <c r="X516" t="s">
        <v>10309</v>
      </c>
      <c r="Y516" t="s">
        <v>10310</v>
      </c>
      <c r="Z516" t="s">
        <v>10311</v>
      </c>
      <c r="AA516" t="s">
        <v>10312</v>
      </c>
      <c r="AB516" t="s">
        <v>10313</v>
      </c>
      <c r="AC516" t="s">
        <v>10314</v>
      </c>
      <c r="AD516" t="s">
        <v>10315</v>
      </c>
      <c r="AE516" t="s">
        <v>10316</v>
      </c>
      <c r="AF516" t="s">
        <v>74</v>
      </c>
      <c r="AG516">
        <v>118</v>
      </c>
      <c r="AH516">
        <v>45</v>
      </c>
      <c r="AI516">
        <v>49</v>
      </c>
      <c r="AJ516">
        <v>3</v>
      </c>
      <c r="AK516">
        <v>78</v>
      </c>
      <c r="AL516" t="s">
        <v>450</v>
      </c>
      <c r="AM516" t="s">
        <v>451</v>
      </c>
      <c r="AN516" t="s">
        <v>452</v>
      </c>
      <c r="AO516" t="s">
        <v>74</v>
      </c>
      <c r="AP516" t="s">
        <v>453</v>
      </c>
      <c r="AQ516" t="s">
        <v>74</v>
      </c>
      <c r="AR516" t="s">
        <v>454</v>
      </c>
      <c r="AS516" t="s">
        <v>455</v>
      </c>
      <c r="AT516" t="s">
        <v>10298</v>
      </c>
      <c r="AU516">
        <v>2017</v>
      </c>
      <c r="AV516">
        <v>8</v>
      </c>
      <c r="AW516" t="s">
        <v>74</v>
      </c>
      <c r="AX516" t="s">
        <v>74</v>
      </c>
      <c r="AY516" t="s">
        <v>74</v>
      </c>
      <c r="AZ516" t="s">
        <v>74</v>
      </c>
      <c r="BA516" t="s">
        <v>74</v>
      </c>
      <c r="BB516" t="s">
        <v>74</v>
      </c>
      <c r="BC516" t="s">
        <v>74</v>
      </c>
      <c r="BD516">
        <v>1347</v>
      </c>
      <c r="BE516" t="s">
        <v>10317</v>
      </c>
      <c r="BF516" t="str">
        <f>HYPERLINK("http://dx.doi.org/10.3389/fmicb.2017.01347","http://dx.doi.org/10.3389/fmicb.2017.01347")</f>
        <v>http://dx.doi.org/10.3389/fmicb.2017.01347</v>
      </c>
      <c r="BG516" t="s">
        <v>74</v>
      </c>
      <c r="BH516" t="s">
        <v>74</v>
      </c>
      <c r="BI516">
        <v>15</v>
      </c>
      <c r="BJ516" t="s">
        <v>457</v>
      </c>
      <c r="BK516" t="s">
        <v>101</v>
      </c>
      <c r="BL516" t="s">
        <v>457</v>
      </c>
      <c r="BM516" t="s">
        <v>10318</v>
      </c>
      <c r="BN516">
        <v>28824553</v>
      </c>
      <c r="BO516" t="s">
        <v>658</v>
      </c>
      <c r="BP516" t="s">
        <v>74</v>
      </c>
      <c r="BQ516" t="s">
        <v>74</v>
      </c>
      <c r="BR516" t="s">
        <v>105</v>
      </c>
      <c r="BS516" t="s">
        <v>10319</v>
      </c>
      <c r="BT516" t="str">
        <f>HYPERLINK("https%3A%2F%2Fwww.webofscience.com%2Fwos%2Fwoscc%2Ffull-record%2FWOS:000406945500001","View Full Record in Web of Science")</f>
        <v>View Full Record in Web of Science</v>
      </c>
    </row>
    <row r="517" spans="1:72" x14ac:dyDescent="0.15">
      <c r="A517" t="s">
        <v>72</v>
      </c>
      <c r="B517" t="s">
        <v>10320</v>
      </c>
      <c r="C517" t="s">
        <v>74</v>
      </c>
      <c r="D517" t="s">
        <v>74</v>
      </c>
      <c r="E517" t="s">
        <v>74</v>
      </c>
      <c r="F517" t="s">
        <v>10321</v>
      </c>
      <c r="G517" t="s">
        <v>74</v>
      </c>
      <c r="H517" t="s">
        <v>74</v>
      </c>
      <c r="I517" t="s">
        <v>10322</v>
      </c>
      <c r="J517" t="s">
        <v>5454</v>
      </c>
      <c r="K517" t="s">
        <v>74</v>
      </c>
      <c r="L517" t="s">
        <v>74</v>
      </c>
      <c r="M517" t="s">
        <v>78</v>
      </c>
      <c r="N517" t="s">
        <v>79</v>
      </c>
      <c r="O517" t="s">
        <v>74</v>
      </c>
      <c r="P517" t="s">
        <v>74</v>
      </c>
      <c r="Q517" t="s">
        <v>74</v>
      </c>
      <c r="R517" t="s">
        <v>74</v>
      </c>
      <c r="S517" t="s">
        <v>74</v>
      </c>
      <c r="T517" t="s">
        <v>10323</v>
      </c>
      <c r="U517" t="s">
        <v>10324</v>
      </c>
      <c r="V517" t="s">
        <v>10325</v>
      </c>
      <c r="W517" t="s">
        <v>10326</v>
      </c>
      <c r="X517" t="s">
        <v>10327</v>
      </c>
      <c r="Y517" t="s">
        <v>10328</v>
      </c>
      <c r="Z517" t="s">
        <v>10329</v>
      </c>
      <c r="AA517" t="s">
        <v>10330</v>
      </c>
      <c r="AB517" t="s">
        <v>10331</v>
      </c>
      <c r="AC517" t="s">
        <v>10332</v>
      </c>
      <c r="AD517" t="s">
        <v>10333</v>
      </c>
      <c r="AE517" t="s">
        <v>10334</v>
      </c>
      <c r="AF517" t="s">
        <v>74</v>
      </c>
      <c r="AG517">
        <v>71</v>
      </c>
      <c r="AH517">
        <v>58</v>
      </c>
      <c r="AI517">
        <v>63</v>
      </c>
      <c r="AJ517">
        <v>0</v>
      </c>
      <c r="AK517">
        <v>5</v>
      </c>
      <c r="AL517" t="s">
        <v>804</v>
      </c>
      <c r="AM517" t="s">
        <v>805</v>
      </c>
      <c r="AN517" t="s">
        <v>10335</v>
      </c>
      <c r="AO517" t="s">
        <v>5467</v>
      </c>
      <c r="AP517" t="s">
        <v>5468</v>
      </c>
      <c r="AQ517" t="s">
        <v>74</v>
      </c>
      <c r="AR517" t="s">
        <v>5454</v>
      </c>
      <c r="AS517" t="s">
        <v>5469</v>
      </c>
      <c r="AT517" t="s">
        <v>10336</v>
      </c>
      <c r="AU517">
        <v>2017</v>
      </c>
      <c r="AV517">
        <v>4300</v>
      </c>
      <c r="AW517">
        <v>3</v>
      </c>
      <c r="AX517" t="s">
        <v>74</v>
      </c>
      <c r="AY517" t="s">
        <v>74</v>
      </c>
      <c r="AZ517" t="s">
        <v>74</v>
      </c>
      <c r="BA517" t="s">
        <v>74</v>
      </c>
      <c r="BB517">
        <v>403</v>
      </c>
      <c r="BC517">
        <v>420</v>
      </c>
      <c r="BD517" t="s">
        <v>74</v>
      </c>
      <c r="BE517" t="s">
        <v>10337</v>
      </c>
      <c r="BF517" t="str">
        <f>HYPERLINK("http://dx.doi.org/10.11646/zootaxa.4300.3.4","http://dx.doi.org/10.11646/zootaxa.4300.3.4")</f>
        <v>http://dx.doi.org/10.11646/zootaxa.4300.3.4</v>
      </c>
      <c r="BG517" t="s">
        <v>74</v>
      </c>
      <c r="BH517" t="s">
        <v>74</v>
      </c>
      <c r="BI517">
        <v>18</v>
      </c>
      <c r="BJ517" t="s">
        <v>2802</v>
      </c>
      <c r="BK517" t="s">
        <v>101</v>
      </c>
      <c r="BL517" t="s">
        <v>2802</v>
      </c>
      <c r="BM517" t="s">
        <v>10338</v>
      </c>
      <c r="BN517" t="s">
        <v>74</v>
      </c>
      <c r="BO517" t="s">
        <v>74</v>
      </c>
      <c r="BP517" t="s">
        <v>74</v>
      </c>
      <c r="BQ517" t="s">
        <v>74</v>
      </c>
      <c r="BR517" t="s">
        <v>105</v>
      </c>
      <c r="BS517" t="s">
        <v>10339</v>
      </c>
      <c r="BT517" t="str">
        <f>HYPERLINK("https%3A%2F%2Fwww.webofscience.com%2Fwos%2Fwoscc%2Ffull-record%2FWOS:000406781100004","View Full Record in Web of Science")</f>
        <v>View Full Record in Web of Science</v>
      </c>
    </row>
    <row r="518" spans="1:72" x14ac:dyDescent="0.15">
      <c r="A518" t="s">
        <v>72</v>
      </c>
      <c r="B518" t="s">
        <v>10340</v>
      </c>
      <c r="C518" t="s">
        <v>74</v>
      </c>
      <c r="D518" t="s">
        <v>74</v>
      </c>
      <c r="E518" t="s">
        <v>74</v>
      </c>
      <c r="F518" t="s">
        <v>10341</v>
      </c>
      <c r="G518" t="s">
        <v>74</v>
      </c>
      <c r="H518" t="s">
        <v>74</v>
      </c>
      <c r="I518" t="s">
        <v>10342</v>
      </c>
      <c r="J518" t="s">
        <v>953</v>
      </c>
      <c r="K518" t="s">
        <v>74</v>
      </c>
      <c r="L518" t="s">
        <v>74</v>
      </c>
      <c r="M518" t="s">
        <v>78</v>
      </c>
      <c r="N518" t="s">
        <v>79</v>
      </c>
      <c r="O518" t="s">
        <v>74</v>
      </c>
      <c r="P518" t="s">
        <v>74</v>
      </c>
      <c r="Q518" t="s">
        <v>74</v>
      </c>
      <c r="R518" t="s">
        <v>74</v>
      </c>
      <c r="S518" t="s">
        <v>74</v>
      </c>
      <c r="T518" t="s">
        <v>74</v>
      </c>
      <c r="U518" t="s">
        <v>10343</v>
      </c>
      <c r="V518" t="s">
        <v>10344</v>
      </c>
      <c r="W518" t="s">
        <v>10345</v>
      </c>
      <c r="X518" t="s">
        <v>10346</v>
      </c>
      <c r="Y518" t="s">
        <v>10347</v>
      </c>
      <c r="Z518" t="s">
        <v>10348</v>
      </c>
      <c r="AA518" t="s">
        <v>10349</v>
      </c>
      <c r="AB518" t="s">
        <v>10350</v>
      </c>
      <c r="AC518" t="s">
        <v>10351</v>
      </c>
      <c r="AD518" t="s">
        <v>10352</v>
      </c>
      <c r="AE518" t="s">
        <v>10353</v>
      </c>
      <c r="AF518" t="s">
        <v>74</v>
      </c>
      <c r="AG518">
        <v>71</v>
      </c>
      <c r="AH518">
        <v>124</v>
      </c>
      <c r="AI518">
        <v>136</v>
      </c>
      <c r="AJ518">
        <v>1</v>
      </c>
      <c r="AK518">
        <v>55</v>
      </c>
      <c r="AL518" t="s">
        <v>181</v>
      </c>
      <c r="AM518" t="s">
        <v>182</v>
      </c>
      <c r="AN518" t="s">
        <v>183</v>
      </c>
      <c r="AO518" t="s">
        <v>965</v>
      </c>
      <c r="AP518" t="s">
        <v>74</v>
      </c>
      <c r="AQ518" t="s">
        <v>74</v>
      </c>
      <c r="AR518" t="s">
        <v>966</v>
      </c>
      <c r="AS518" t="s">
        <v>967</v>
      </c>
      <c r="AT518" t="s">
        <v>10354</v>
      </c>
      <c r="AU518">
        <v>2017</v>
      </c>
      <c r="AV518">
        <v>8</v>
      </c>
      <c r="AW518" t="s">
        <v>74</v>
      </c>
      <c r="AX518" t="s">
        <v>74</v>
      </c>
      <c r="AY518" t="s">
        <v>74</v>
      </c>
      <c r="AZ518" t="s">
        <v>74</v>
      </c>
      <c r="BA518" t="s">
        <v>74</v>
      </c>
      <c r="BB518" t="s">
        <v>74</v>
      </c>
      <c r="BC518" t="s">
        <v>74</v>
      </c>
      <c r="BD518">
        <v>172</v>
      </c>
      <c r="BE518" t="s">
        <v>10355</v>
      </c>
      <c r="BF518" t="str">
        <f>HYPERLINK("http://dx.doi.org/10.1038/s41467-017-00197-0","http://dx.doi.org/10.1038/s41467-017-00197-0")</f>
        <v>http://dx.doi.org/10.1038/s41467-017-00197-0</v>
      </c>
      <c r="BG518" t="s">
        <v>74</v>
      </c>
      <c r="BH518" t="s">
        <v>74</v>
      </c>
      <c r="BI518">
        <v>10</v>
      </c>
      <c r="BJ518" t="s">
        <v>190</v>
      </c>
      <c r="BK518" t="s">
        <v>101</v>
      </c>
      <c r="BL518" t="s">
        <v>191</v>
      </c>
      <c r="BM518" t="s">
        <v>10356</v>
      </c>
      <c r="BN518">
        <v>28769035</v>
      </c>
      <c r="BO518" t="s">
        <v>923</v>
      </c>
      <c r="BP518" t="s">
        <v>74</v>
      </c>
      <c r="BQ518" t="s">
        <v>74</v>
      </c>
      <c r="BR518" t="s">
        <v>105</v>
      </c>
      <c r="BS518" t="s">
        <v>10357</v>
      </c>
      <c r="BT518" t="str">
        <f>HYPERLINK("https%3A%2F%2Fwww.webofscience.com%2Fwos%2Fwoscc%2Ffull-record%2FWOS:000406783400001","View Full Record in Web of Science")</f>
        <v>View Full Record in Web of Science</v>
      </c>
    </row>
    <row r="519" spans="1:72" x14ac:dyDescent="0.15">
      <c r="A519" t="s">
        <v>72</v>
      </c>
      <c r="B519" t="s">
        <v>10358</v>
      </c>
      <c r="C519" t="s">
        <v>74</v>
      </c>
      <c r="D519" t="s">
        <v>74</v>
      </c>
      <c r="E519" t="s">
        <v>74</v>
      </c>
      <c r="F519" t="s">
        <v>10359</v>
      </c>
      <c r="G519" t="s">
        <v>74</v>
      </c>
      <c r="H519" t="s">
        <v>74</v>
      </c>
      <c r="I519" t="s">
        <v>10360</v>
      </c>
      <c r="J519" t="s">
        <v>2176</v>
      </c>
      <c r="K519" t="s">
        <v>74</v>
      </c>
      <c r="L519" t="s">
        <v>74</v>
      </c>
      <c r="M519" t="s">
        <v>78</v>
      </c>
      <c r="N519" t="s">
        <v>52</v>
      </c>
      <c r="O519" t="s">
        <v>10361</v>
      </c>
      <c r="P519" t="s">
        <v>10362</v>
      </c>
      <c r="Q519" t="s">
        <v>10363</v>
      </c>
      <c r="R519" t="s">
        <v>74</v>
      </c>
      <c r="S519" t="s">
        <v>74</v>
      </c>
      <c r="T519" t="s">
        <v>74</v>
      </c>
      <c r="U519" t="s">
        <v>74</v>
      </c>
      <c r="V519" t="s">
        <v>74</v>
      </c>
      <c r="W519" t="s">
        <v>10364</v>
      </c>
      <c r="X519" t="s">
        <v>10365</v>
      </c>
      <c r="Y519" t="s">
        <v>74</v>
      </c>
      <c r="Z519" t="s">
        <v>10366</v>
      </c>
      <c r="AA519" t="s">
        <v>74</v>
      </c>
      <c r="AB519" t="s">
        <v>74</v>
      </c>
      <c r="AC519" t="s">
        <v>10367</v>
      </c>
      <c r="AD519" t="s">
        <v>10368</v>
      </c>
      <c r="AE519" t="s">
        <v>10369</v>
      </c>
      <c r="AF519" t="s">
        <v>74</v>
      </c>
      <c r="AG519">
        <v>8</v>
      </c>
      <c r="AH519">
        <v>0</v>
      </c>
      <c r="AI519">
        <v>0</v>
      </c>
      <c r="AJ519">
        <v>0</v>
      </c>
      <c r="AK519">
        <v>1</v>
      </c>
      <c r="AL519" t="s">
        <v>1338</v>
      </c>
      <c r="AM519" t="s">
        <v>1339</v>
      </c>
      <c r="AN519" t="s">
        <v>1340</v>
      </c>
      <c r="AO519" t="s">
        <v>2186</v>
      </c>
      <c r="AP519" t="s">
        <v>2187</v>
      </c>
      <c r="AQ519" t="s">
        <v>74</v>
      </c>
      <c r="AR519" t="s">
        <v>2188</v>
      </c>
      <c r="AS519" t="s">
        <v>2189</v>
      </c>
      <c r="AT519" t="s">
        <v>10370</v>
      </c>
      <c r="AU519">
        <v>2017</v>
      </c>
      <c r="AV519">
        <v>52</v>
      </c>
      <c r="AW519" t="s">
        <v>74</v>
      </c>
      <c r="AX519" t="s">
        <v>74</v>
      </c>
      <c r="AY519">
        <v>1</v>
      </c>
      <c r="AZ519" t="s">
        <v>1188</v>
      </c>
      <c r="BA519">
        <v>6150</v>
      </c>
      <c r="BB519" t="s">
        <v>10371</v>
      </c>
      <c r="BC519" t="s">
        <v>10371</v>
      </c>
      <c r="BD519" t="s">
        <v>74</v>
      </c>
      <c r="BE519" t="s">
        <v>74</v>
      </c>
      <c r="BF519" t="s">
        <v>74</v>
      </c>
      <c r="BG519" t="s">
        <v>74</v>
      </c>
      <c r="BH519" t="s">
        <v>74</v>
      </c>
      <c r="BI519">
        <v>1</v>
      </c>
      <c r="BJ519" t="s">
        <v>509</v>
      </c>
      <c r="BK519" t="s">
        <v>1347</v>
      </c>
      <c r="BL519" t="s">
        <v>509</v>
      </c>
      <c r="BM519" t="s">
        <v>10372</v>
      </c>
      <c r="BN519" t="s">
        <v>74</v>
      </c>
      <c r="BO519" t="s">
        <v>74</v>
      </c>
      <c r="BP519" t="s">
        <v>74</v>
      </c>
      <c r="BQ519" t="s">
        <v>74</v>
      </c>
      <c r="BR519" t="s">
        <v>105</v>
      </c>
      <c r="BS519" t="s">
        <v>10373</v>
      </c>
      <c r="BT519" t="str">
        <f>HYPERLINK("https%3A%2F%2Fwww.webofscience.com%2Fwos%2Fwoscc%2Ffull-record%2FWOS:000418552900042","View Full Record in Web of Science")</f>
        <v>View Full Record in Web of Science</v>
      </c>
    </row>
    <row r="520" spans="1:72" x14ac:dyDescent="0.15">
      <c r="A520" t="s">
        <v>72</v>
      </c>
      <c r="B520" t="s">
        <v>10374</v>
      </c>
      <c r="C520" t="s">
        <v>74</v>
      </c>
      <c r="D520" t="s">
        <v>74</v>
      </c>
      <c r="E520" t="s">
        <v>74</v>
      </c>
      <c r="F520" t="s">
        <v>10375</v>
      </c>
      <c r="G520" t="s">
        <v>74</v>
      </c>
      <c r="H520" t="s">
        <v>74</v>
      </c>
      <c r="I520" t="s">
        <v>10376</v>
      </c>
      <c r="J520" t="s">
        <v>2176</v>
      </c>
      <c r="K520" t="s">
        <v>74</v>
      </c>
      <c r="L520" t="s">
        <v>74</v>
      </c>
      <c r="M520" t="s">
        <v>78</v>
      </c>
      <c r="N520" t="s">
        <v>52</v>
      </c>
      <c r="O520" t="s">
        <v>10361</v>
      </c>
      <c r="P520" t="s">
        <v>10362</v>
      </c>
      <c r="Q520" t="s">
        <v>10363</v>
      </c>
      <c r="R520" t="s">
        <v>74</v>
      </c>
      <c r="S520" t="s">
        <v>74</v>
      </c>
      <c r="T520" t="s">
        <v>74</v>
      </c>
      <c r="U520" t="s">
        <v>74</v>
      </c>
      <c r="V520" t="s">
        <v>74</v>
      </c>
      <c r="W520" t="s">
        <v>10377</v>
      </c>
      <c r="X520" t="s">
        <v>10378</v>
      </c>
      <c r="Y520" t="s">
        <v>74</v>
      </c>
      <c r="Z520" t="s">
        <v>10379</v>
      </c>
      <c r="AA520" t="s">
        <v>10380</v>
      </c>
      <c r="AB520" t="s">
        <v>74</v>
      </c>
      <c r="AC520" t="s">
        <v>74</v>
      </c>
      <c r="AD520" t="s">
        <v>74</v>
      </c>
      <c r="AE520" t="s">
        <v>74</v>
      </c>
      <c r="AF520" t="s">
        <v>74</v>
      </c>
      <c r="AG520">
        <v>6</v>
      </c>
      <c r="AH520">
        <v>0</v>
      </c>
      <c r="AI520">
        <v>0</v>
      </c>
      <c r="AJ520">
        <v>0</v>
      </c>
      <c r="AK520">
        <v>0</v>
      </c>
      <c r="AL520" t="s">
        <v>1338</v>
      </c>
      <c r="AM520" t="s">
        <v>1339</v>
      </c>
      <c r="AN520" t="s">
        <v>1340</v>
      </c>
      <c r="AO520" t="s">
        <v>2186</v>
      </c>
      <c r="AP520" t="s">
        <v>2187</v>
      </c>
      <c r="AQ520" t="s">
        <v>74</v>
      </c>
      <c r="AR520" t="s">
        <v>2188</v>
      </c>
      <c r="AS520" t="s">
        <v>2189</v>
      </c>
      <c r="AT520" t="s">
        <v>10370</v>
      </c>
      <c r="AU520">
        <v>2017</v>
      </c>
      <c r="AV520">
        <v>52</v>
      </c>
      <c r="AW520" t="s">
        <v>74</v>
      </c>
      <c r="AX520" t="s">
        <v>74</v>
      </c>
      <c r="AY520">
        <v>1</v>
      </c>
      <c r="AZ520" t="s">
        <v>1188</v>
      </c>
      <c r="BA520">
        <v>6354</v>
      </c>
      <c r="BB520" t="s">
        <v>10381</v>
      </c>
      <c r="BC520" t="s">
        <v>10381</v>
      </c>
      <c r="BD520" t="s">
        <v>74</v>
      </c>
      <c r="BE520" t="s">
        <v>74</v>
      </c>
      <c r="BF520" t="s">
        <v>74</v>
      </c>
      <c r="BG520" t="s">
        <v>74</v>
      </c>
      <c r="BH520" t="s">
        <v>74</v>
      </c>
      <c r="BI520">
        <v>1</v>
      </c>
      <c r="BJ520" t="s">
        <v>509</v>
      </c>
      <c r="BK520" t="s">
        <v>1347</v>
      </c>
      <c r="BL520" t="s">
        <v>509</v>
      </c>
      <c r="BM520" t="s">
        <v>10372</v>
      </c>
      <c r="BN520" t="s">
        <v>74</v>
      </c>
      <c r="BO520" t="s">
        <v>74</v>
      </c>
      <c r="BP520" t="s">
        <v>74</v>
      </c>
      <c r="BQ520" t="s">
        <v>74</v>
      </c>
      <c r="BR520" t="s">
        <v>105</v>
      </c>
      <c r="BS520" t="s">
        <v>10382</v>
      </c>
      <c r="BT520" t="str">
        <f>HYPERLINK("https%3A%2F%2Fwww.webofscience.com%2Fwos%2Fwoscc%2Ffull-record%2FWOS:000418552900058","View Full Record in Web of Science")</f>
        <v>View Full Record in Web of Science</v>
      </c>
    </row>
    <row r="521" spans="1:72" x14ac:dyDescent="0.15">
      <c r="A521" t="s">
        <v>72</v>
      </c>
      <c r="B521" t="s">
        <v>10383</v>
      </c>
      <c r="C521" t="s">
        <v>74</v>
      </c>
      <c r="D521" t="s">
        <v>74</v>
      </c>
      <c r="E521" t="s">
        <v>74</v>
      </c>
      <c r="F521" t="s">
        <v>10384</v>
      </c>
      <c r="G521" t="s">
        <v>74</v>
      </c>
      <c r="H521" t="s">
        <v>74</v>
      </c>
      <c r="I521" t="s">
        <v>10385</v>
      </c>
      <c r="J521" t="s">
        <v>2176</v>
      </c>
      <c r="K521" t="s">
        <v>74</v>
      </c>
      <c r="L521" t="s">
        <v>74</v>
      </c>
      <c r="M521" t="s">
        <v>78</v>
      </c>
      <c r="N521" t="s">
        <v>52</v>
      </c>
      <c r="O521" t="s">
        <v>10361</v>
      </c>
      <c r="P521" t="s">
        <v>10362</v>
      </c>
      <c r="Q521" t="s">
        <v>10363</v>
      </c>
      <c r="R521" t="s">
        <v>74</v>
      </c>
      <c r="S521" t="s">
        <v>74</v>
      </c>
      <c r="T521" t="s">
        <v>74</v>
      </c>
      <c r="U521" t="s">
        <v>10386</v>
      </c>
      <c r="V521" t="s">
        <v>74</v>
      </c>
      <c r="W521" t="s">
        <v>10387</v>
      </c>
      <c r="X521" t="s">
        <v>10388</v>
      </c>
      <c r="Y521" t="s">
        <v>74</v>
      </c>
      <c r="Z521" t="s">
        <v>74</v>
      </c>
      <c r="AA521" t="s">
        <v>10380</v>
      </c>
      <c r="AB521" t="s">
        <v>74</v>
      </c>
      <c r="AC521" t="s">
        <v>74</v>
      </c>
      <c r="AD521" t="s">
        <v>74</v>
      </c>
      <c r="AE521" t="s">
        <v>74</v>
      </c>
      <c r="AF521" t="s">
        <v>74</v>
      </c>
      <c r="AG521">
        <v>15</v>
      </c>
      <c r="AH521">
        <v>0</v>
      </c>
      <c r="AI521">
        <v>0</v>
      </c>
      <c r="AJ521">
        <v>0</v>
      </c>
      <c r="AK521">
        <v>2</v>
      </c>
      <c r="AL521" t="s">
        <v>1338</v>
      </c>
      <c r="AM521" t="s">
        <v>1339</v>
      </c>
      <c r="AN521" t="s">
        <v>1340</v>
      </c>
      <c r="AO521" t="s">
        <v>2186</v>
      </c>
      <c r="AP521" t="s">
        <v>2187</v>
      </c>
      <c r="AQ521" t="s">
        <v>74</v>
      </c>
      <c r="AR521" t="s">
        <v>2188</v>
      </c>
      <c r="AS521" t="s">
        <v>2189</v>
      </c>
      <c r="AT521" t="s">
        <v>10370</v>
      </c>
      <c r="AU521">
        <v>2017</v>
      </c>
      <c r="AV521">
        <v>52</v>
      </c>
      <c r="AW521" t="s">
        <v>74</v>
      </c>
      <c r="AX521" t="s">
        <v>74</v>
      </c>
      <c r="AY521">
        <v>1</v>
      </c>
      <c r="AZ521" t="s">
        <v>1188</v>
      </c>
      <c r="BA521">
        <v>6308</v>
      </c>
      <c r="BB521" t="s">
        <v>10389</v>
      </c>
      <c r="BC521" t="s">
        <v>10389</v>
      </c>
      <c r="BD521" t="s">
        <v>74</v>
      </c>
      <c r="BE521" t="s">
        <v>74</v>
      </c>
      <c r="BF521" t="s">
        <v>74</v>
      </c>
      <c r="BG521" t="s">
        <v>74</v>
      </c>
      <c r="BH521" t="s">
        <v>74</v>
      </c>
      <c r="BI521">
        <v>1</v>
      </c>
      <c r="BJ521" t="s">
        <v>509</v>
      </c>
      <c r="BK521" t="s">
        <v>1347</v>
      </c>
      <c r="BL521" t="s">
        <v>509</v>
      </c>
      <c r="BM521" t="s">
        <v>10372</v>
      </c>
      <c r="BN521" t="s">
        <v>74</v>
      </c>
      <c r="BO521" t="s">
        <v>74</v>
      </c>
      <c r="BP521" t="s">
        <v>74</v>
      </c>
      <c r="BQ521" t="s">
        <v>74</v>
      </c>
      <c r="BR521" t="s">
        <v>105</v>
      </c>
      <c r="BS521" t="s">
        <v>10390</v>
      </c>
      <c r="BT521" t="str">
        <f>HYPERLINK("https%3A%2F%2Fwww.webofscience.com%2Fwos%2Fwoscc%2Ffull-record%2FWOS:000418552900059","View Full Record in Web of Science")</f>
        <v>View Full Record in Web of Science</v>
      </c>
    </row>
    <row r="522" spans="1:72" x14ac:dyDescent="0.15">
      <c r="A522" t="s">
        <v>72</v>
      </c>
      <c r="B522" t="s">
        <v>10391</v>
      </c>
      <c r="C522" t="s">
        <v>74</v>
      </c>
      <c r="D522" t="s">
        <v>74</v>
      </c>
      <c r="E522" t="s">
        <v>74</v>
      </c>
      <c r="F522" t="s">
        <v>10392</v>
      </c>
      <c r="G522" t="s">
        <v>74</v>
      </c>
      <c r="H522" t="s">
        <v>74</v>
      </c>
      <c r="I522" t="s">
        <v>10393</v>
      </c>
      <c r="J522" t="s">
        <v>2176</v>
      </c>
      <c r="K522" t="s">
        <v>74</v>
      </c>
      <c r="L522" t="s">
        <v>74</v>
      </c>
      <c r="M522" t="s">
        <v>78</v>
      </c>
      <c r="N522" t="s">
        <v>52</v>
      </c>
      <c r="O522" t="s">
        <v>10361</v>
      </c>
      <c r="P522" t="s">
        <v>10362</v>
      </c>
      <c r="Q522" t="s">
        <v>10363</v>
      </c>
      <c r="R522" t="s">
        <v>74</v>
      </c>
      <c r="S522" t="s">
        <v>74</v>
      </c>
      <c r="T522" t="s">
        <v>74</v>
      </c>
      <c r="U522" t="s">
        <v>74</v>
      </c>
      <c r="V522" t="s">
        <v>74</v>
      </c>
      <c r="W522" t="s">
        <v>10394</v>
      </c>
      <c r="X522" t="s">
        <v>10395</v>
      </c>
      <c r="Y522" t="s">
        <v>74</v>
      </c>
      <c r="Z522" t="s">
        <v>10396</v>
      </c>
      <c r="AA522" t="s">
        <v>74</v>
      </c>
      <c r="AB522" t="s">
        <v>74</v>
      </c>
      <c r="AC522" t="s">
        <v>74</v>
      </c>
      <c r="AD522" t="s">
        <v>74</v>
      </c>
      <c r="AE522" t="s">
        <v>74</v>
      </c>
      <c r="AF522" t="s">
        <v>74</v>
      </c>
      <c r="AG522">
        <v>6</v>
      </c>
      <c r="AH522">
        <v>0</v>
      </c>
      <c r="AI522">
        <v>0</v>
      </c>
      <c r="AJ522">
        <v>0</v>
      </c>
      <c r="AK522">
        <v>4</v>
      </c>
      <c r="AL522" t="s">
        <v>1338</v>
      </c>
      <c r="AM522" t="s">
        <v>1339</v>
      </c>
      <c r="AN522" t="s">
        <v>1340</v>
      </c>
      <c r="AO522" t="s">
        <v>2186</v>
      </c>
      <c r="AP522" t="s">
        <v>2187</v>
      </c>
      <c r="AQ522" t="s">
        <v>74</v>
      </c>
      <c r="AR522" t="s">
        <v>2188</v>
      </c>
      <c r="AS522" t="s">
        <v>2189</v>
      </c>
      <c r="AT522" t="s">
        <v>10370</v>
      </c>
      <c r="AU522">
        <v>2017</v>
      </c>
      <c r="AV522">
        <v>52</v>
      </c>
      <c r="AW522" t="s">
        <v>74</v>
      </c>
      <c r="AX522" t="s">
        <v>74</v>
      </c>
      <c r="AY522">
        <v>1</v>
      </c>
      <c r="AZ522" t="s">
        <v>1188</v>
      </c>
      <c r="BA522">
        <v>6173</v>
      </c>
      <c r="BB522" t="s">
        <v>10397</v>
      </c>
      <c r="BC522" t="s">
        <v>10397</v>
      </c>
      <c r="BD522" t="s">
        <v>74</v>
      </c>
      <c r="BE522" t="s">
        <v>74</v>
      </c>
      <c r="BF522" t="s">
        <v>74</v>
      </c>
      <c r="BG522" t="s">
        <v>74</v>
      </c>
      <c r="BH522" t="s">
        <v>74</v>
      </c>
      <c r="BI522">
        <v>1</v>
      </c>
      <c r="BJ522" t="s">
        <v>509</v>
      </c>
      <c r="BK522" t="s">
        <v>1347</v>
      </c>
      <c r="BL522" t="s">
        <v>509</v>
      </c>
      <c r="BM522" t="s">
        <v>10372</v>
      </c>
      <c r="BN522" t="s">
        <v>74</v>
      </c>
      <c r="BO522" t="s">
        <v>74</v>
      </c>
      <c r="BP522" t="s">
        <v>74</v>
      </c>
      <c r="BQ522" t="s">
        <v>74</v>
      </c>
      <c r="BR522" t="s">
        <v>105</v>
      </c>
      <c r="BS522" t="s">
        <v>10398</v>
      </c>
      <c r="BT522" t="str">
        <f>HYPERLINK("https%3A%2F%2Fwww.webofscience.com%2Fwos%2Fwoscc%2Ffull-record%2FWOS:000418552900083","View Full Record in Web of Science")</f>
        <v>View Full Record in Web of Science</v>
      </c>
    </row>
    <row r="523" spans="1:72" x14ac:dyDescent="0.15">
      <c r="A523" t="s">
        <v>72</v>
      </c>
      <c r="B523" t="s">
        <v>10399</v>
      </c>
      <c r="C523" t="s">
        <v>74</v>
      </c>
      <c r="D523" t="s">
        <v>74</v>
      </c>
      <c r="E523" t="s">
        <v>74</v>
      </c>
      <c r="F523" t="s">
        <v>10400</v>
      </c>
      <c r="G523" t="s">
        <v>74</v>
      </c>
      <c r="H523" t="s">
        <v>74</v>
      </c>
      <c r="I523" t="s">
        <v>10401</v>
      </c>
      <c r="J523" t="s">
        <v>2176</v>
      </c>
      <c r="K523" t="s">
        <v>74</v>
      </c>
      <c r="L523" t="s">
        <v>74</v>
      </c>
      <c r="M523" t="s">
        <v>78</v>
      </c>
      <c r="N523" t="s">
        <v>52</v>
      </c>
      <c r="O523" t="s">
        <v>10361</v>
      </c>
      <c r="P523" t="s">
        <v>10362</v>
      </c>
      <c r="Q523" t="s">
        <v>10363</v>
      </c>
      <c r="R523" t="s">
        <v>74</v>
      </c>
      <c r="S523" t="s">
        <v>74</v>
      </c>
      <c r="T523" t="s">
        <v>74</v>
      </c>
      <c r="U523" t="s">
        <v>74</v>
      </c>
      <c r="V523" t="s">
        <v>74</v>
      </c>
      <c r="W523" t="s">
        <v>10402</v>
      </c>
      <c r="X523" t="s">
        <v>10403</v>
      </c>
      <c r="Y523" t="s">
        <v>74</v>
      </c>
      <c r="Z523" t="s">
        <v>10404</v>
      </c>
      <c r="AA523" t="s">
        <v>74</v>
      </c>
      <c r="AB523" t="s">
        <v>74</v>
      </c>
      <c r="AC523" t="s">
        <v>74</v>
      </c>
      <c r="AD523" t="s">
        <v>74</v>
      </c>
      <c r="AE523" t="s">
        <v>74</v>
      </c>
      <c r="AF523" t="s">
        <v>74</v>
      </c>
      <c r="AG523">
        <v>4</v>
      </c>
      <c r="AH523">
        <v>0</v>
      </c>
      <c r="AI523">
        <v>0</v>
      </c>
      <c r="AJ523">
        <v>0</v>
      </c>
      <c r="AK523">
        <v>0</v>
      </c>
      <c r="AL523" t="s">
        <v>1338</v>
      </c>
      <c r="AM523" t="s">
        <v>1339</v>
      </c>
      <c r="AN523" t="s">
        <v>1340</v>
      </c>
      <c r="AO523" t="s">
        <v>2186</v>
      </c>
      <c r="AP523" t="s">
        <v>2187</v>
      </c>
      <c r="AQ523" t="s">
        <v>74</v>
      </c>
      <c r="AR523" t="s">
        <v>2188</v>
      </c>
      <c r="AS523" t="s">
        <v>2189</v>
      </c>
      <c r="AT523" t="s">
        <v>10370</v>
      </c>
      <c r="AU523">
        <v>2017</v>
      </c>
      <c r="AV523">
        <v>52</v>
      </c>
      <c r="AW523" t="s">
        <v>74</v>
      </c>
      <c r="AX523" t="s">
        <v>74</v>
      </c>
      <c r="AY523">
        <v>1</v>
      </c>
      <c r="AZ523" t="s">
        <v>1188</v>
      </c>
      <c r="BA523">
        <v>6118</v>
      </c>
      <c r="BB523" t="s">
        <v>10405</v>
      </c>
      <c r="BC523" t="s">
        <v>10405</v>
      </c>
      <c r="BD523" t="s">
        <v>74</v>
      </c>
      <c r="BE523" t="s">
        <v>74</v>
      </c>
      <c r="BF523" t="s">
        <v>74</v>
      </c>
      <c r="BG523" t="s">
        <v>74</v>
      </c>
      <c r="BH523" t="s">
        <v>74</v>
      </c>
      <c r="BI523">
        <v>1</v>
      </c>
      <c r="BJ523" t="s">
        <v>509</v>
      </c>
      <c r="BK523" t="s">
        <v>1347</v>
      </c>
      <c r="BL523" t="s">
        <v>509</v>
      </c>
      <c r="BM523" t="s">
        <v>10372</v>
      </c>
      <c r="BN523" t="s">
        <v>74</v>
      </c>
      <c r="BO523" t="s">
        <v>74</v>
      </c>
      <c r="BP523" t="s">
        <v>74</v>
      </c>
      <c r="BQ523" t="s">
        <v>74</v>
      </c>
      <c r="BR523" t="s">
        <v>105</v>
      </c>
      <c r="BS523" t="s">
        <v>10406</v>
      </c>
      <c r="BT523" t="str">
        <f>HYPERLINK("https%3A%2F%2Fwww.webofscience.com%2Fwos%2Fwoscc%2Ffull-record%2FWOS:000418552900131","View Full Record in Web of Science")</f>
        <v>View Full Record in Web of Science</v>
      </c>
    </row>
    <row r="524" spans="1:72" x14ac:dyDescent="0.15">
      <c r="A524" t="s">
        <v>72</v>
      </c>
      <c r="B524" t="s">
        <v>10407</v>
      </c>
      <c r="C524" t="s">
        <v>74</v>
      </c>
      <c r="D524" t="s">
        <v>74</v>
      </c>
      <c r="E524" t="s">
        <v>74</v>
      </c>
      <c r="F524" t="s">
        <v>10408</v>
      </c>
      <c r="G524" t="s">
        <v>74</v>
      </c>
      <c r="H524" t="s">
        <v>74</v>
      </c>
      <c r="I524" t="s">
        <v>10409</v>
      </c>
      <c r="J524" t="s">
        <v>2176</v>
      </c>
      <c r="K524" t="s">
        <v>74</v>
      </c>
      <c r="L524" t="s">
        <v>74</v>
      </c>
      <c r="M524" t="s">
        <v>78</v>
      </c>
      <c r="N524" t="s">
        <v>52</v>
      </c>
      <c r="O524" t="s">
        <v>10361</v>
      </c>
      <c r="P524" t="s">
        <v>10362</v>
      </c>
      <c r="Q524" t="s">
        <v>10363</v>
      </c>
      <c r="R524" t="s">
        <v>74</v>
      </c>
      <c r="S524" t="s">
        <v>74</v>
      </c>
      <c r="T524" t="s">
        <v>74</v>
      </c>
      <c r="U524" t="s">
        <v>74</v>
      </c>
      <c r="V524" t="s">
        <v>74</v>
      </c>
      <c r="W524" t="s">
        <v>10410</v>
      </c>
      <c r="X524" t="s">
        <v>10411</v>
      </c>
      <c r="Y524" t="s">
        <v>74</v>
      </c>
      <c r="Z524" t="s">
        <v>10404</v>
      </c>
      <c r="AA524" t="s">
        <v>10412</v>
      </c>
      <c r="AB524" t="s">
        <v>10413</v>
      </c>
      <c r="AC524" t="s">
        <v>74</v>
      </c>
      <c r="AD524" t="s">
        <v>74</v>
      </c>
      <c r="AE524" t="s">
        <v>74</v>
      </c>
      <c r="AF524" t="s">
        <v>74</v>
      </c>
      <c r="AG524">
        <v>8</v>
      </c>
      <c r="AH524">
        <v>0</v>
      </c>
      <c r="AI524">
        <v>0</v>
      </c>
      <c r="AJ524">
        <v>0</v>
      </c>
      <c r="AK524">
        <v>3</v>
      </c>
      <c r="AL524" t="s">
        <v>1338</v>
      </c>
      <c r="AM524" t="s">
        <v>1339</v>
      </c>
      <c r="AN524" t="s">
        <v>1340</v>
      </c>
      <c r="AO524" t="s">
        <v>2186</v>
      </c>
      <c r="AP524" t="s">
        <v>2187</v>
      </c>
      <c r="AQ524" t="s">
        <v>74</v>
      </c>
      <c r="AR524" t="s">
        <v>2188</v>
      </c>
      <c r="AS524" t="s">
        <v>2189</v>
      </c>
      <c r="AT524" t="s">
        <v>10370</v>
      </c>
      <c r="AU524">
        <v>2017</v>
      </c>
      <c r="AV524">
        <v>52</v>
      </c>
      <c r="AW524" t="s">
        <v>74</v>
      </c>
      <c r="AX524" t="s">
        <v>74</v>
      </c>
      <c r="AY524">
        <v>1</v>
      </c>
      <c r="AZ524" t="s">
        <v>1188</v>
      </c>
      <c r="BA524">
        <v>6113</v>
      </c>
      <c r="BB524" t="s">
        <v>10414</v>
      </c>
      <c r="BC524" t="s">
        <v>10414</v>
      </c>
      <c r="BD524" t="s">
        <v>74</v>
      </c>
      <c r="BE524" t="s">
        <v>74</v>
      </c>
      <c r="BF524" t="s">
        <v>74</v>
      </c>
      <c r="BG524" t="s">
        <v>74</v>
      </c>
      <c r="BH524" t="s">
        <v>74</v>
      </c>
      <c r="BI524">
        <v>1</v>
      </c>
      <c r="BJ524" t="s">
        <v>509</v>
      </c>
      <c r="BK524" t="s">
        <v>1347</v>
      </c>
      <c r="BL524" t="s">
        <v>509</v>
      </c>
      <c r="BM524" t="s">
        <v>10372</v>
      </c>
      <c r="BN524" t="s">
        <v>74</v>
      </c>
      <c r="BO524" t="s">
        <v>74</v>
      </c>
      <c r="BP524" t="s">
        <v>74</v>
      </c>
      <c r="BQ524" t="s">
        <v>74</v>
      </c>
      <c r="BR524" t="s">
        <v>105</v>
      </c>
      <c r="BS524" t="s">
        <v>10415</v>
      </c>
      <c r="BT524" t="str">
        <f>HYPERLINK("https%3A%2F%2Fwww.webofscience.com%2Fwos%2Fwoscc%2Ffull-record%2FWOS:000418552900132","View Full Record in Web of Science")</f>
        <v>View Full Record in Web of Science</v>
      </c>
    </row>
    <row r="525" spans="1:72" x14ac:dyDescent="0.15">
      <c r="A525" t="s">
        <v>72</v>
      </c>
      <c r="B525" t="s">
        <v>10416</v>
      </c>
      <c r="C525" t="s">
        <v>74</v>
      </c>
      <c r="D525" t="s">
        <v>74</v>
      </c>
      <c r="E525" t="s">
        <v>74</v>
      </c>
      <c r="F525" t="s">
        <v>10417</v>
      </c>
      <c r="G525" t="s">
        <v>74</v>
      </c>
      <c r="H525" t="s">
        <v>74</v>
      </c>
      <c r="I525" t="s">
        <v>10418</v>
      </c>
      <c r="J525" t="s">
        <v>2176</v>
      </c>
      <c r="K525" t="s">
        <v>74</v>
      </c>
      <c r="L525" t="s">
        <v>74</v>
      </c>
      <c r="M525" t="s">
        <v>78</v>
      </c>
      <c r="N525" t="s">
        <v>52</v>
      </c>
      <c r="O525" t="s">
        <v>10361</v>
      </c>
      <c r="P525" t="s">
        <v>10362</v>
      </c>
      <c r="Q525" t="s">
        <v>10363</v>
      </c>
      <c r="R525" t="s">
        <v>74</v>
      </c>
      <c r="S525" t="s">
        <v>74</v>
      </c>
      <c r="T525" t="s">
        <v>74</v>
      </c>
      <c r="U525" t="s">
        <v>10419</v>
      </c>
      <c r="V525" t="s">
        <v>74</v>
      </c>
      <c r="W525" t="s">
        <v>10420</v>
      </c>
      <c r="X525" t="s">
        <v>10421</v>
      </c>
      <c r="Y525" t="s">
        <v>74</v>
      </c>
      <c r="Z525" t="s">
        <v>10422</v>
      </c>
      <c r="AA525" t="s">
        <v>10423</v>
      </c>
      <c r="AB525" t="s">
        <v>10424</v>
      </c>
      <c r="AC525" t="s">
        <v>74</v>
      </c>
      <c r="AD525" t="s">
        <v>74</v>
      </c>
      <c r="AE525" t="s">
        <v>74</v>
      </c>
      <c r="AF525" t="s">
        <v>74</v>
      </c>
      <c r="AG525">
        <v>11</v>
      </c>
      <c r="AH525">
        <v>0</v>
      </c>
      <c r="AI525">
        <v>0</v>
      </c>
      <c r="AJ525">
        <v>0</v>
      </c>
      <c r="AK525">
        <v>0</v>
      </c>
      <c r="AL525" t="s">
        <v>1338</v>
      </c>
      <c r="AM525" t="s">
        <v>1339</v>
      </c>
      <c r="AN525" t="s">
        <v>1340</v>
      </c>
      <c r="AO525" t="s">
        <v>2186</v>
      </c>
      <c r="AP525" t="s">
        <v>2187</v>
      </c>
      <c r="AQ525" t="s">
        <v>74</v>
      </c>
      <c r="AR525" t="s">
        <v>2188</v>
      </c>
      <c r="AS525" t="s">
        <v>2189</v>
      </c>
      <c r="AT525" t="s">
        <v>10370</v>
      </c>
      <c r="AU525">
        <v>2017</v>
      </c>
      <c r="AV525">
        <v>52</v>
      </c>
      <c r="AW525" t="s">
        <v>74</v>
      </c>
      <c r="AX525" t="s">
        <v>74</v>
      </c>
      <c r="AY525">
        <v>1</v>
      </c>
      <c r="AZ525" t="s">
        <v>1188</v>
      </c>
      <c r="BA525">
        <v>6101</v>
      </c>
      <c r="BB525" t="s">
        <v>10425</v>
      </c>
      <c r="BC525" t="s">
        <v>10425</v>
      </c>
      <c r="BD525" t="s">
        <v>74</v>
      </c>
      <c r="BE525" t="s">
        <v>74</v>
      </c>
      <c r="BF525" t="s">
        <v>74</v>
      </c>
      <c r="BG525" t="s">
        <v>74</v>
      </c>
      <c r="BH525" t="s">
        <v>74</v>
      </c>
      <c r="BI525">
        <v>1</v>
      </c>
      <c r="BJ525" t="s">
        <v>509</v>
      </c>
      <c r="BK525" t="s">
        <v>1347</v>
      </c>
      <c r="BL525" t="s">
        <v>509</v>
      </c>
      <c r="BM525" t="s">
        <v>10372</v>
      </c>
      <c r="BN525" t="s">
        <v>74</v>
      </c>
      <c r="BO525" t="s">
        <v>74</v>
      </c>
      <c r="BP525" t="s">
        <v>74</v>
      </c>
      <c r="BQ525" t="s">
        <v>74</v>
      </c>
      <c r="BR525" t="s">
        <v>105</v>
      </c>
      <c r="BS525" t="s">
        <v>10426</v>
      </c>
      <c r="BT525" t="str">
        <f>HYPERLINK("https%3A%2F%2Fwww.webofscience.com%2Fwos%2Fwoscc%2Ffull-record%2FWOS:000418552900175","View Full Record in Web of Science")</f>
        <v>View Full Record in Web of Science</v>
      </c>
    </row>
    <row r="526" spans="1:72" x14ac:dyDescent="0.15">
      <c r="A526" t="s">
        <v>72</v>
      </c>
      <c r="B526" t="s">
        <v>10427</v>
      </c>
      <c r="C526" t="s">
        <v>74</v>
      </c>
      <c r="D526" t="s">
        <v>74</v>
      </c>
      <c r="E526" t="s">
        <v>74</v>
      </c>
      <c r="F526" t="s">
        <v>10428</v>
      </c>
      <c r="G526" t="s">
        <v>74</v>
      </c>
      <c r="H526" t="s">
        <v>74</v>
      </c>
      <c r="I526" t="s">
        <v>10429</v>
      </c>
      <c r="J526" t="s">
        <v>2176</v>
      </c>
      <c r="K526" t="s">
        <v>74</v>
      </c>
      <c r="L526" t="s">
        <v>74</v>
      </c>
      <c r="M526" t="s">
        <v>78</v>
      </c>
      <c r="N526" t="s">
        <v>52</v>
      </c>
      <c r="O526" t="s">
        <v>10361</v>
      </c>
      <c r="P526" t="s">
        <v>10362</v>
      </c>
      <c r="Q526" t="s">
        <v>10363</v>
      </c>
      <c r="R526" t="s">
        <v>74</v>
      </c>
      <c r="S526" t="s">
        <v>74</v>
      </c>
      <c r="T526" t="s">
        <v>74</v>
      </c>
      <c r="U526" t="s">
        <v>74</v>
      </c>
      <c r="V526" t="s">
        <v>74</v>
      </c>
      <c r="W526" t="s">
        <v>10430</v>
      </c>
      <c r="X526" t="s">
        <v>10431</v>
      </c>
      <c r="Y526" t="s">
        <v>74</v>
      </c>
      <c r="Z526" t="s">
        <v>10432</v>
      </c>
      <c r="AA526" t="s">
        <v>74</v>
      </c>
      <c r="AB526" t="s">
        <v>74</v>
      </c>
      <c r="AC526" t="s">
        <v>74</v>
      </c>
      <c r="AD526" t="s">
        <v>74</v>
      </c>
      <c r="AE526" t="s">
        <v>74</v>
      </c>
      <c r="AF526" t="s">
        <v>74</v>
      </c>
      <c r="AG526">
        <v>6</v>
      </c>
      <c r="AH526">
        <v>0</v>
      </c>
      <c r="AI526">
        <v>0</v>
      </c>
      <c r="AJ526">
        <v>0</v>
      </c>
      <c r="AK526">
        <v>0</v>
      </c>
      <c r="AL526" t="s">
        <v>1338</v>
      </c>
      <c r="AM526" t="s">
        <v>1339</v>
      </c>
      <c r="AN526" t="s">
        <v>1340</v>
      </c>
      <c r="AO526" t="s">
        <v>2186</v>
      </c>
      <c r="AP526" t="s">
        <v>2187</v>
      </c>
      <c r="AQ526" t="s">
        <v>74</v>
      </c>
      <c r="AR526" t="s">
        <v>2188</v>
      </c>
      <c r="AS526" t="s">
        <v>2189</v>
      </c>
      <c r="AT526" t="s">
        <v>10370</v>
      </c>
      <c r="AU526">
        <v>2017</v>
      </c>
      <c r="AV526">
        <v>52</v>
      </c>
      <c r="AW526" t="s">
        <v>74</v>
      </c>
      <c r="AX526" t="s">
        <v>74</v>
      </c>
      <c r="AY526">
        <v>1</v>
      </c>
      <c r="AZ526" t="s">
        <v>1188</v>
      </c>
      <c r="BA526">
        <v>6303</v>
      </c>
      <c r="BB526" t="s">
        <v>10433</v>
      </c>
      <c r="BC526" t="s">
        <v>10433</v>
      </c>
      <c r="BD526" t="s">
        <v>74</v>
      </c>
      <c r="BE526" t="s">
        <v>74</v>
      </c>
      <c r="BF526" t="s">
        <v>74</v>
      </c>
      <c r="BG526" t="s">
        <v>74</v>
      </c>
      <c r="BH526" t="s">
        <v>74</v>
      </c>
      <c r="BI526">
        <v>1</v>
      </c>
      <c r="BJ526" t="s">
        <v>509</v>
      </c>
      <c r="BK526" t="s">
        <v>1347</v>
      </c>
      <c r="BL526" t="s">
        <v>509</v>
      </c>
      <c r="BM526" t="s">
        <v>10372</v>
      </c>
      <c r="BN526" t="s">
        <v>74</v>
      </c>
      <c r="BO526" t="s">
        <v>74</v>
      </c>
      <c r="BP526" t="s">
        <v>74</v>
      </c>
      <c r="BQ526" t="s">
        <v>74</v>
      </c>
      <c r="BR526" t="s">
        <v>105</v>
      </c>
      <c r="BS526" t="s">
        <v>10434</v>
      </c>
      <c r="BT526" t="str">
        <f>HYPERLINK("https%3A%2F%2Fwww.webofscience.com%2Fwos%2Fwoscc%2Ffull-record%2FWOS:000418552900284","View Full Record in Web of Science")</f>
        <v>View Full Record in Web of Science</v>
      </c>
    </row>
    <row r="527" spans="1:72" x14ac:dyDescent="0.15">
      <c r="A527" t="s">
        <v>72</v>
      </c>
      <c r="B527" t="s">
        <v>10435</v>
      </c>
      <c r="C527" t="s">
        <v>74</v>
      </c>
      <c r="D527" t="s">
        <v>74</v>
      </c>
      <c r="E527" t="s">
        <v>74</v>
      </c>
      <c r="F527" t="s">
        <v>10436</v>
      </c>
      <c r="G527" t="s">
        <v>74</v>
      </c>
      <c r="H527" t="s">
        <v>74</v>
      </c>
      <c r="I527" t="s">
        <v>10437</v>
      </c>
      <c r="J527" t="s">
        <v>2176</v>
      </c>
      <c r="K527" t="s">
        <v>74</v>
      </c>
      <c r="L527" t="s">
        <v>74</v>
      </c>
      <c r="M527" t="s">
        <v>78</v>
      </c>
      <c r="N527" t="s">
        <v>52</v>
      </c>
      <c r="O527" t="s">
        <v>10361</v>
      </c>
      <c r="P527" t="s">
        <v>10362</v>
      </c>
      <c r="Q527" t="s">
        <v>10363</v>
      </c>
      <c r="R527" t="s">
        <v>74</v>
      </c>
      <c r="S527" t="s">
        <v>74</v>
      </c>
      <c r="T527" t="s">
        <v>74</v>
      </c>
      <c r="U527" t="s">
        <v>74</v>
      </c>
      <c r="V527" t="s">
        <v>74</v>
      </c>
      <c r="W527" t="s">
        <v>10438</v>
      </c>
      <c r="X527" t="s">
        <v>10403</v>
      </c>
      <c r="Y527" t="s">
        <v>74</v>
      </c>
      <c r="Z527" t="s">
        <v>10439</v>
      </c>
      <c r="AA527" t="s">
        <v>74</v>
      </c>
      <c r="AB527" t="s">
        <v>74</v>
      </c>
      <c r="AC527" t="s">
        <v>74</v>
      </c>
      <c r="AD527" t="s">
        <v>74</v>
      </c>
      <c r="AE527" t="s">
        <v>74</v>
      </c>
      <c r="AF527" t="s">
        <v>74</v>
      </c>
      <c r="AG527">
        <v>3</v>
      </c>
      <c r="AH527">
        <v>0</v>
      </c>
      <c r="AI527">
        <v>0</v>
      </c>
      <c r="AJ527">
        <v>0</v>
      </c>
      <c r="AK527">
        <v>0</v>
      </c>
      <c r="AL527" t="s">
        <v>1338</v>
      </c>
      <c r="AM527" t="s">
        <v>1339</v>
      </c>
      <c r="AN527" t="s">
        <v>1340</v>
      </c>
      <c r="AO527" t="s">
        <v>2186</v>
      </c>
      <c r="AP527" t="s">
        <v>2187</v>
      </c>
      <c r="AQ527" t="s">
        <v>74</v>
      </c>
      <c r="AR527" t="s">
        <v>2188</v>
      </c>
      <c r="AS527" t="s">
        <v>2189</v>
      </c>
      <c r="AT527" t="s">
        <v>10370</v>
      </c>
      <c r="AU527">
        <v>2017</v>
      </c>
      <c r="AV527">
        <v>52</v>
      </c>
      <c r="AW527" t="s">
        <v>74</v>
      </c>
      <c r="AX527" t="s">
        <v>74</v>
      </c>
      <c r="AY527">
        <v>1</v>
      </c>
      <c r="AZ527" t="s">
        <v>1188</v>
      </c>
      <c r="BA527">
        <v>6329</v>
      </c>
      <c r="BB527" t="s">
        <v>10440</v>
      </c>
      <c r="BC527" t="s">
        <v>10440</v>
      </c>
      <c r="BD527" t="s">
        <v>74</v>
      </c>
      <c r="BE527" t="s">
        <v>74</v>
      </c>
      <c r="BF527" t="s">
        <v>74</v>
      </c>
      <c r="BG527" t="s">
        <v>74</v>
      </c>
      <c r="BH527" t="s">
        <v>74</v>
      </c>
      <c r="BI527">
        <v>1</v>
      </c>
      <c r="BJ527" t="s">
        <v>509</v>
      </c>
      <c r="BK527" t="s">
        <v>1347</v>
      </c>
      <c r="BL527" t="s">
        <v>509</v>
      </c>
      <c r="BM527" t="s">
        <v>10372</v>
      </c>
      <c r="BN527" t="s">
        <v>74</v>
      </c>
      <c r="BO527" t="s">
        <v>74</v>
      </c>
      <c r="BP527" t="s">
        <v>74</v>
      </c>
      <c r="BQ527" t="s">
        <v>74</v>
      </c>
      <c r="BR527" t="s">
        <v>105</v>
      </c>
      <c r="BS527" t="s">
        <v>10441</v>
      </c>
      <c r="BT527" t="str">
        <f>HYPERLINK("https%3A%2F%2Fwww.webofscience.com%2Fwos%2Fwoscc%2Ffull-record%2FWOS:000418552900307","View Full Record in Web of Science")</f>
        <v>View Full Record in Web of Science</v>
      </c>
    </row>
    <row r="528" spans="1:72" x14ac:dyDescent="0.15">
      <c r="A528" t="s">
        <v>72</v>
      </c>
      <c r="B528" t="s">
        <v>10442</v>
      </c>
      <c r="C528" t="s">
        <v>74</v>
      </c>
      <c r="D528" t="s">
        <v>74</v>
      </c>
      <c r="E528" t="s">
        <v>74</v>
      </c>
      <c r="F528" t="s">
        <v>10443</v>
      </c>
      <c r="G528" t="s">
        <v>74</v>
      </c>
      <c r="H528" t="s">
        <v>74</v>
      </c>
      <c r="I528" t="s">
        <v>10444</v>
      </c>
      <c r="J528" t="s">
        <v>10445</v>
      </c>
      <c r="K528" t="s">
        <v>74</v>
      </c>
      <c r="L528" t="s">
        <v>74</v>
      </c>
      <c r="M528" t="s">
        <v>10446</v>
      </c>
      <c r="N528" t="s">
        <v>79</v>
      </c>
      <c r="O528" t="s">
        <v>74</v>
      </c>
      <c r="P528" t="s">
        <v>74</v>
      </c>
      <c r="Q528" t="s">
        <v>74</v>
      </c>
      <c r="R528" t="s">
        <v>74</v>
      </c>
      <c r="S528" t="s">
        <v>74</v>
      </c>
      <c r="T528" t="s">
        <v>10447</v>
      </c>
      <c r="U528" t="s">
        <v>10448</v>
      </c>
      <c r="V528" t="s">
        <v>10449</v>
      </c>
      <c r="W528" t="s">
        <v>10450</v>
      </c>
      <c r="X528" t="s">
        <v>933</v>
      </c>
      <c r="Y528" t="s">
        <v>10451</v>
      </c>
      <c r="Z528" t="s">
        <v>10452</v>
      </c>
      <c r="AA528" t="s">
        <v>74</v>
      </c>
      <c r="AB528" t="s">
        <v>10453</v>
      </c>
      <c r="AC528" t="s">
        <v>74</v>
      </c>
      <c r="AD528" t="s">
        <v>74</v>
      </c>
      <c r="AE528" t="s">
        <v>74</v>
      </c>
      <c r="AF528" t="s">
        <v>74</v>
      </c>
      <c r="AG528">
        <v>28</v>
      </c>
      <c r="AH528">
        <v>3</v>
      </c>
      <c r="AI528">
        <v>3</v>
      </c>
      <c r="AJ528">
        <v>0</v>
      </c>
      <c r="AK528">
        <v>6</v>
      </c>
      <c r="AL528" t="s">
        <v>10454</v>
      </c>
      <c r="AM528" t="s">
        <v>6006</v>
      </c>
      <c r="AN528" t="s">
        <v>10455</v>
      </c>
      <c r="AO528" t="s">
        <v>10456</v>
      </c>
      <c r="AP528" t="s">
        <v>10457</v>
      </c>
      <c r="AQ528" t="s">
        <v>74</v>
      </c>
      <c r="AR528" t="s">
        <v>10458</v>
      </c>
      <c r="AS528" t="s">
        <v>10459</v>
      </c>
      <c r="AT528" t="s">
        <v>10370</v>
      </c>
      <c r="AU528">
        <v>2017</v>
      </c>
      <c r="AV528">
        <v>53</v>
      </c>
      <c r="AW528">
        <v>4</v>
      </c>
      <c r="AX528" t="s">
        <v>74</v>
      </c>
      <c r="AY528" t="s">
        <v>74</v>
      </c>
      <c r="AZ528" t="s">
        <v>74</v>
      </c>
      <c r="BA528" t="s">
        <v>74</v>
      </c>
      <c r="BB528">
        <v>509</v>
      </c>
      <c r="BC528">
        <v>519</v>
      </c>
      <c r="BD528" t="s">
        <v>74</v>
      </c>
      <c r="BE528" t="s">
        <v>10460</v>
      </c>
      <c r="BF528" t="str">
        <f>HYPERLINK("http://dx.doi.org/10.14770/jgsk.2017.53.4.509","http://dx.doi.org/10.14770/jgsk.2017.53.4.509")</f>
        <v>http://dx.doi.org/10.14770/jgsk.2017.53.4.509</v>
      </c>
      <c r="BG528" t="s">
        <v>74</v>
      </c>
      <c r="BH528" t="s">
        <v>74</v>
      </c>
      <c r="BI528">
        <v>11</v>
      </c>
      <c r="BJ528" t="s">
        <v>100</v>
      </c>
      <c r="BK528" t="s">
        <v>3172</v>
      </c>
      <c r="BL528" t="s">
        <v>102</v>
      </c>
      <c r="BM528" t="s">
        <v>10461</v>
      </c>
      <c r="BN528" t="s">
        <v>74</v>
      </c>
      <c r="BO528" t="s">
        <v>74</v>
      </c>
      <c r="BP528" t="s">
        <v>74</v>
      </c>
      <c r="BQ528" t="s">
        <v>74</v>
      </c>
      <c r="BR528" t="s">
        <v>105</v>
      </c>
      <c r="BS528" t="s">
        <v>10462</v>
      </c>
      <c r="BT528" t="str">
        <f>HYPERLINK("https%3A%2F%2Fwww.webofscience.com%2Fwos%2Fwoscc%2Ffull-record%2FWOS:000418531300003","View Full Record in Web of Science")</f>
        <v>View Full Record in Web of Science</v>
      </c>
    </row>
    <row r="529" spans="1:72" x14ac:dyDescent="0.15">
      <c r="A529" t="s">
        <v>72</v>
      </c>
      <c r="B529" t="s">
        <v>10463</v>
      </c>
      <c r="C529" t="s">
        <v>74</v>
      </c>
      <c r="D529" t="s">
        <v>74</v>
      </c>
      <c r="E529" t="s">
        <v>74</v>
      </c>
      <c r="F529" t="s">
        <v>10464</v>
      </c>
      <c r="G529" t="s">
        <v>74</v>
      </c>
      <c r="H529" t="s">
        <v>74</v>
      </c>
      <c r="I529" t="s">
        <v>10465</v>
      </c>
      <c r="J529" t="s">
        <v>10445</v>
      </c>
      <c r="K529" t="s">
        <v>74</v>
      </c>
      <c r="L529" t="s">
        <v>74</v>
      </c>
      <c r="M529" t="s">
        <v>10446</v>
      </c>
      <c r="N529" t="s">
        <v>79</v>
      </c>
      <c r="O529" t="s">
        <v>74</v>
      </c>
      <c r="P529" t="s">
        <v>74</v>
      </c>
      <c r="Q529" t="s">
        <v>74</v>
      </c>
      <c r="R529" t="s">
        <v>74</v>
      </c>
      <c r="S529" t="s">
        <v>74</v>
      </c>
      <c r="T529" t="s">
        <v>10466</v>
      </c>
      <c r="U529" t="s">
        <v>10467</v>
      </c>
      <c r="V529" t="s">
        <v>10468</v>
      </c>
      <c r="W529" t="s">
        <v>10469</v>
      </c>
      <c r="X529" t="s">
        <v>10470</v>
      </c>
      <c r="Y529" t="s">
        <v>10471</v>
      </c>
      <c r="Z529" t="s">
        <v>10472</v>
      </c>
      <c r="AA529" t="s">
        <v>10473</v>
      </c>
      <c r="AB529" t="s">
        <v>74</v>
      </c>
      <c r="AC529" t="s">
        <v>74</v>
      </c>
      <c r="AD529" t="s">
        <v>74</v>
      </c>
      <c r="AE529" t="s">
        <v>74</v>
      </c>
      <c r="AF529" t="s">
        <v>74</v>
      </c>
      <c r="AG529">
        <v>24</v>
      </c>
      <c r="AH529">
        <v>0</v>
      </c>
      <c r="AI529">
        <v>0</v>
      </c>
      <c r="AJ529">
        <v>0</v>
      </c>
      <c r="AK529">
        <v>3</v>
      </c>
      <c r="AL529" t="s">
        <v>10454</v>
      </c>
      <c r="AM529" t="s">
        <v>6006</v>
      </c>
      <c r="AN529" t="s">
        <v>10455</v>
      </c>
      <c r="AO529" t="s">
        <v>10456</v>
      </c>
      <c r="AP529" t="s">
        <v>10457</v>
      </c>
      <c r="AQ529" t="s">
        <v>74</v>
      </c>
      <c r="AR529" t="s">
        <v>10458</v>
      </c>
      <c r="AS529" t="s">
        <v>10459</v>
      </c>
      <c r="AT529" t="s">
        <v>10370</v>
      </c>
      <c r="AU529">
        <v>2017</v>
      </c>
      <c r="AV529">
        <v>53</v>
      </c>
      <c r="AW529">
        <v>4</v>
      </c>
      <c r="AX529" t="s">
        <v>74</v>
      </c>
      <c r="AY529" t="s">
        <v>74</v>
      </c>
      <c r="AZ529" t="s">
        <v>74</v>
      </c>
      <c r="BA529" t="s">
        <v>74</v>
      </c>
      <c r="BB529">
        <v>533</v>
      </c>
      <c r="BC529">
        <v>543</v>
      </c>
      <c r="BD529" t="s">
        <v>74</v>
      </c>
      <c r="BE529" t="s">
        <v>10474</v>
      </c>
      <c r="BF529" t="str">
        <f>HYPERLINK("http://dx.doi.org/10.14770/jgsk.2017.53.4.533","http://dx.doi.org/10.14770/jgsk.2017.53.4.533")</f>
        <v>http://dx.doi.org/10.14770/jgsk.2017.53.4.533</v>
      </c>
      <c r="BG529" t="s">
        <v>74</v>
      </c>
      <c r="BH529" t="s">
        <v>74</v>
      </c>
      <c r="BI529">
        <v>11</v>
      </c>
      <c r="BJ529" t="s">
        <v>100</v>
      </c>
      <c r="BK529" t="s">
        <v>3172</v>
      </c>
      <c r="BL529" t="s">
        <v>102</v>
      </c>
      <c r="BM529" t="s">
        <v>10461</v>
      </c>
      <c r="BN529" t="s">
        <v>74</v>
      </c>
      <c r="BO529" t="s">
        <v>74</v>
      </c>
      <c r="BP529" t="s">
        <v>74</v>
      </c>
      <c r="BQ529" t="s">
        <v>74</v>
      </c>
      <c r="BR529" t="s">
        <v>105</v>
      </c>
      <c r="BS529" t="s">
        <v>10475</v>
      </c>
      <c r="BT529" t="str">
        <f>HYPERLINK("https%3A%2F%2Fwww.webofscience.com%2Fwos%2Fwoscc%2Ffull-record%2FWOS:000418531300005","View Full Record in Web of Science")</f>
        <v>View Full Record in Web of Science</v>
      </c>
    </row>
    <row r="530" spans="1:72" x14ac:dyDescent="0.15">
      <c r="A530" t="s">
        <v>72</v>
      </c>
      <c r="B530" t="s">
        <v>10476</v>
      </c>
      <c r="C530" t="s">
        <v>74</v>
      </c>
      <c r="D530" t="s">
        <v>74</v>
      </c>
      <c r="E530" t="s">
        <v>74</v>
      </c>
      <c r="F530" t="s">
        <v>10477</v>
      </c>
      <c r="G530" t="s">
        <v>74</v>
      </c>
      <c r="H530" t="s">
        <v>74</v>
      </c>
      <c r="I530" t="s">
        <v>10478</v>
      </c>
      <c r="J530" t="s">
        <v>10479</v>
      </c>
      <c r="K530" t="s">
        <v>74</v>
      </c>
      <c r="L530" t="s">
        <v>74</v>
      </c>
      <c r="M530" t="s">
        <v>78</v>
      </c>
      <c r="N530" t="s">
        <v>79</v>
      </c>
      <c r="O530" t="s">
        <v>74</v>
      </c>
      <c r="P530" t="s">
        <v>74</v>
      </c>
      <c r="Q530" t="s">
        <v>74</v>
      </c>
      <c r="R530" t="s">
        <v>74</v>
      </c>
      <c r="S530" t="s">
        <v>74</v>
      </c>
      <c r="T530" t="s">
        <v>10480</v>
      </c>
      <c r="U530" t="s">
        <v>10481</v>
      </c>
      <c r="V530" t="s">
        <v>10482</v>
      </c>
      <c r="W530" t="s">
        <v>10483</v>
      </c>
      <c r="X530" t="s">
        <v>7043</v>
      </c>
      <c r="Y530" t="s">
        <v>10484</v>
      </c>
      <c r="Z530" t="s">
        <v>10485</v>
      </c>
      <c r="AA530" t="s">
        <v>74</v>
      </c>
      <c r="AB530" t="s">
        <v>10486</v>
      </c>
      <c r="AC530" t="s">
        <v>10487</v>
      </c>
      <c r="AD530" t="s">
        <v>10487</v>
      </c>
      <c r="AE530" t="s">
        <v>10488</v>
      </c>
      <c r="AF530" t="s">
        <v>74</v>
      </c>
      <c r="AG530">
        <v>55</v>
      </c>
      <c r="AH530">
        <v>41</v>
      </c>
      <c r="AI530">
        <v>43</v>
      </c>
      <c r="AJ530">
        <v>2</v>
      </c>
      <c r="AK530">
        <v>9</v>
      </c>
      <c r="AL530" t="s">
        <v>1338</v>
      </c>
      <c r="AM530" t="s">
        <v>1339</v>
      </c>
      <c r="AN530" t="s">
        <v>1340</v>
      </c>
      <c r="AO530" t="s">
        <v>10489</v>
      </c>
      <c r="AP530" t="s">
        <v>10490</v>
      </c>
      <c r="AQ530" t="s">
        <v>74</v>
      </c>
      <c r="AR530" t="s">
        <v>10491</v>
      </c>
      <c r="AS530" t="s">
        <v>10492</v>
      </c>
      <c r="AT530" t="s">
        <v>10370</v>
      </c>
      <c r="AU530">
        <v>2017</v>
      </c>
      <c r="AV530">
        <v>37</v>
      </c>
      <c r="AW530" t="s">
        <v>74</v>
      </c>
      <c r="AX530" t="s">
        <v>74</v>
      </c>
      <c r="AY530">
        <v>1</v>
      </c>
      <c r="AZ530" t="s">
        <v>74</v>
      </c>
      <c r="BA530" t="s">
        <v>74</v>
      </c>
      <c r="BB530">
        <v>570</v>
      </c>
      <c r="BC530">
        <v>581</v>
      </c>
      <c r="BD530" t="s">
        <v>74</v>
      </c>
      <c r="BE530" t="s">
        <v>10493</v>
      </c>
      <c r="BF530" t="str">
        <f>HYPERLINK("http://dx.doi.org/10.1002/joc.5022","http://dx.doi.org/10.1002/joc.5022")</f>
        <v>http://dx.doi.org/10.1002/joc.5022</v>
      </c>
      <c r="BG530" t="s">
        <v>74</v>
      </c>
      <c r="BH530" t="s">
        <v>74</v>
      </c>
      <c r="BI530">
        <v>12</v>
      </c>
      <c r="BJ530" t="s">
        <v>162</v>
      </c>
      <c r="BK530" t="s">
        <v>101</v>
      </c>
      <c r="BL530" t="s">
        <v>162</v>
      </c>
      <c r="BM530" t="s">
        <v>10494</v>
      </c>
      <c r="BN530" t="s">
        <v>74</v>
      </c>
      <c r="BO530" t="s">
        <v>74</v>
      </c>
      <c r="BP530" t="s">
        <v>74</v>
      </c>
      <c r="BQ530" t="s">
        <v>74</v>
      </c>
      <c r="BR530" t="s">
        <v>105</v>
      </c>
      <c r="BS530" t="s">
        <v>10495</v>
      </c>
      <c r="BT530" t="str">
        <f>HYPERLINK("https%3A%2F%2Fwww.webofscience.com%2Fwos%2Fwoscc%2Ffull-record%2FWOS:000417298600039","View Full Record in Web of Science")</f>
        <v>View Full Record in Web of Science</v>
      </c>
    </row>
    <row r="531" spans="1:72" x14ac:dyDescent="0.15">
      <c r="A531" t="s">
        <v>72</v>
      </c>
      <c r="B531" t="s">
        <v>10496</v>
      </c>
      <c r="C531" t="s">
        <v>74</v>
      </c>
      <c r="D531" t="s">
        <v>74</v>
      </c>
      <c r="E531" t="s">
        <v>74</v>
      </c>
      <c r="F531" t="s">
        <v>10497</v>
      </c>
      <c r="G531" t="s">
        <v>74</v>
      </c>
      <c r="H531" t="s">
        <v>74</v>
      </c>
      <c r="I531" t="s">
        <v>10498</v>
      </c>
      <c r="J531" t="s">
        <v>10479</v>
      </c>
      <c r="K531" t="s">
        <v>74</v>
      </c>
      <c r="L531" t="s">
        <v>74</v>
      </c>
      <c r="M531" t="s">
        <v>78</v>
      </c>
      <c r="N531" t="s">
        <v>79</v>
      </c>
      <c r="O531" t="s">
        <v>74</v>
      </c>
      <c r="P531" t="s">
        <v>74</v>
      </c>
      <c r="Q531" t="s">
        <v>74</v>
      </c>
      <c r="R531" t="s">
        <v>74</v>
      </c>
      <c r="S531" t="s">
        <v>74</v>
      </c>
      <c r="T531" t="s">
        <v>10499</v>
      </c>
      <c r="U531" t="s">
        <v>10500</v>
      </c>
      <c r="V531" t="s">
        <v>10501</v>
      </c>
      <c r="W531" t="s">
        <v>10502</v>
      </c>
      <c r="X531" t="s">
        <v>10503</v>
      </c>
      <c r="Y531" t="s">
        <v>10504</v>
      </c>
      <c r="Z531" t="s">
        <v>10505</v>
      </c>
      <c r="AA531" t="s">
        <v>10506</v>
      </c>
      <c r="AB531" t="s">
        <v>10507</v>
      </c>
      <c r="AC531" t="s">
        <v>10508</v>
      </c>
      <c r="AD531" t="s">
        <v>10509</v>
      </c>
      <c r="AE531" t="s">
        <v>10510</v>
      </c>
      <c r="AF531" t="s">
        <v>74</v>
      </c>
      <c r="AG531">
        <v>82</v>
      </c>
      <c r="AH531">
        <v>5</v>
      </c>
      <c r="AI531">
        <v>5</v>
      </c>
      <c r="AJ531">
        <v>0</v>
      </c>
      <c r="AK531">
        <v>8</v>
      </c>
      <c r="AL531" t="s">
        <v>1338</v>
      </c>
      <c r="AM531" t="s">
        <v>1339</v>
      </c>
      <c r="AN531" t="s">
        <v>1340</v>
      </c>
      <c r="AO531" t="s">
        <v>10489</v>
      </c>
      <c r="AP531" t="s">
        <v>10490</v>
      </c>
      <c r="AQ531" t="s">
        <v>74</v>
      </c>
      <c r="AR531" t="s">
        <v>10491</v>
      </c>
      <c r="AS531" t="s">
        <v>10492</v>
      </c>
      <c r="AT531" t="s">
        <v>10370</v>
      </c>
      <c r="AU531">
        <v>2017</v>
      </c>
      <c r="AV531">
        <v>37</v>
      </c>
      <c r="AW531" t="s">
        <v>74</v>
      </c>
      <c r="AX531" t="s">
        <v>74</v>
      </c>
      <c r="AY531">
        <v>1</v>
      </c>
      <c r="AZ531" t="s">
        <v>74</v>
      </c>
      <c r="BA531" t="s">
        <v>74</v>
      </c>
      <c r="BB531">
        <v>1180</v>
      </c>
      <c r="BC531">
        <v>1198</v>
      </c>
      <c r="BD531" t="s">
        <v>74</v>
      </c>
      <c r="BE531" t="s">
        <v>10511</v>
      </c>
      <c r="BF531" t="str">
        <f>HYPERLINK("http://dx.doi.org/10.1002/joc.5074","http://dx.doi.org/10.1002/joc.5074")</f>
        <v>http://dx.doi.org/10.1002/joc.5074</v>
      </c>
      <c r="BG531" t="s">
        <v>74</v>
      </c>
      <c r="BH531" t="s">
        <v>74</v>
      </c>
      <c r="BI531">
        <v>19</v>
      </c>
      <c r="BJ531" t="s">
        <v>162</v>
      </c>
      <c r="BK531" t="s">
        <v>101</v>
      </c>
      <c r="BL531" t="s">
        <v>162</v>
      </c>
      <c r="BM531" t="s">
        <v>10494</v>
      </c>
      <c r="BN531" t="s">
        <v>74</v>
      </c>
      <c r="BO531" t="s">
        <v>74</v>
      </c>
      <c r="BP531" t="s">
        <v>74</v>
      </c>
      <c r="BQ531" t="s">
        <v>74</v>
      </c>
      <c r="BR531" t="s">
        <v>105</v>
      </c>
      <c r="BS531" t="s">
        <v>10512</v>
      </c>
      <c r="BT531" t="str">
        <f>HYPERLINK("https%3A%2F%2Fwww.webofscience.com%2Fwos%2Fwoscc%2Ffull-record%2FWOS:000417298600079","View Full Record in Web of Science")</f>
        <v>View Full Record in Web of Science</v>
      </c>
    </row>
    <row r="532" spans="1:72" x14ac:dyDescent="0.15">
      <c r="A532" t="s">
        <v>72</v>
      </c>
      <c r="B532" t="s">
        <v>10513</v>
      </c>
      <c r="C532" t="s">
        <v>74</v>
      </c>
      <c r="D532" t="s">
        <v>74</v>
      </c>
      <c r="E532" t="s">
        <v>74</v>
      </c>
      <c r="F532" t="s">
        <v>10514</v>
      </c>
      <c r="G532" t="s">
        <v>74</v>
      </c>
      <c r="H532" t="s">
        <v>74</v>
      </c>
      <c r="I532" t="s">
        <v>10515</v>
      </c>
      <c r="J532" t="s">
        <v>2927</v>
      </c>
      <c r="K532" t="s">
        <v>74</v>
      </c>
      <c r="L532" t="s">
        <v>74</v>
      </c>
      <c r="M532" t="s">
        <v>78</v>
      </c>
      <c r="N532" t="s">
        <v>79</v>
      </c>
      <c r="O532" t="s">
        <v>74</v>
      </c>
      <c r="P532" t="s">
        <v>74</v>
      </c>
      <c r="Q532" t="s">
        <v>74</v>
      </c>
      <c r="R532" t="s">
        <v>74</v>
      </c>
      <c r="S532" t="s">
        <v>74</v>
      </c>
      <c r="T532" t="s">
        <v>10516</v>
      </c>
      <c r="U532" t="s">
        <v>10517</v>
      </c>
      <c r="V532" t="s">
        <v>10518</v>
      </c>
      <c r="W532" t="s">
        <v>10519</v>
      </c>
      <c r="X532" t="s">
        <v>10520</v>
      </c>
      <c r="Y532" t="s">
        <v>10521</v>
      </c>
      <c r="Z532" t="s">
        <v>10522</v>
      </c>
      <c r="AA532" t="s">
        <v>10523</v>
      </c>
      <c r="AB532" t="s">
        <v>10524</v>
      </c>
      <c r="AC532" t="s">
        <v>10525</v>
      </c>
      <c r="AD532" t="s">
        <v>10526</v>
      </c>
      <c r="AE532" t="s">
        <v>10527</v>
      </c>
      <c r="AF532" t="s">
        <v>74</v>
      </c>
      <c r="AG532">
        <v>107</v>
      </c>
      <c r="AH532">
        <v>72</v>
      </c>
      <c r="AI532">
        <v>73</v>
      </c>
      <c r="AJ532">
        <v>1</v>
      </c>
      <c r="AK532">
        <v>29</v>
      </c>
      <c r="AL532" t="s">
        <v>208</v>
      </c>
      <c r="AM532" t="s">
        <v>209</v>
      </c>
      <c r="AN532" t="s">
        <v>210</v>
      </c>
      <c r="AO532" t="s">
        <v>2939</v>
      </c>
      <c r="AP532" t="s">
        <v>2940</v>
      </c>
      <c r="AQ532" t="s">
        <v>74</v>
      </c>
      <c r="AR532" t="s">
        <v>2941</v>
      </c>
      <c r="AS532" t="s">
        <v>2942</v>
      </c>
      <c r="AT532" t="s">
        <v>10370</v>
      </c>
      <c r="AU532">
        <v>2017</v>
      </c>
      <c r="AV532">
        <v>49</v>
      </c>
      <c r="AW532">
        <v>3</v>
      </c>
      <c r="AX532" t="s">
        <v>74</v>
      </c>
      <c r="AY532" t="s">
        <v>74</v>
      </c>
      <c r="AZ532" t="s">
        <v>1188</v>
      </c>
      <c r="BA532" t="s">
        <v>74</v>
      </c>
      <c r="BB532">
        <v>957</v>
      </c>
      <c r="BC532">
        <v>982</v>
      </c>
      <c r="BD532" t="s">
        <v>74</v>
      </c>
      <c r="BE532" t="s">
        <v>10528</v>
      </c>
      <c r="BF532" t="str">
        <f>HYPERLINK("http://dx.doi.org/10.1007/s00382-015-2787-7","http://dx.doi.org/10.1007/s00382-015-2787-7")</f>
        <v>http://dx.doi.org/10.1007/s00382-015-2787-7</v>
      </c>
      <c r="BG532" t="s">
        <v>74</v>
      </c>
      <c r="BH532" t="s">
        <v>74</v>
      </c>
      <c r="BI532">
        <v>26</v>
      </c>
      <c r="BJ532" t="s">
        <v>162</v>
      </c>
      <c r="BK532" t="s">
        <v>101</v>
      </c>
      <c r="BL532" t="s">
        <v>162</v>
      </c>
      <c r="BM532" t="s">
        <v>10529</v>
      </c>
      <c r="BN532" t="s">
        <v>74</v>
      </c>
      <c r="BO532" t="s">
        <v>74</v>
      </c>
      <c r="BP532" t="s">
        <v>74</v>
      </c>
      <c r="BQ532" t="s">
        <v>74</v>
      </c>
      <c r="BR532" t="s">
        <v>105</v>
      </c>
      <c r="BS532" t="s">
        <v>10530</v>
      </c>
      <c r="BT532" t="str">
        <f>HYPERLINK("https%3A%2F%2Fwww.webofscience.com%2Fwos%2Fwoscc%2Ffull-record%2FWOS:000407244700013","View Full Record in Web of Science")</f>
        <v>View Full Record in Web of Science</v>
      </c>
    </row>
    <row r="533" spans="1:72" x14ac:dyDescent="0.15">
      <c r="A533" t="s">
        <v>72</v>
      </c>
      <c r="B533" t="s">
        <v>10531</v>
      </c>
      <c r="C533" t="s">
        <v>74</v>
      </c>
      <c r="D533" t="s">
        <v>74</v>
      </c>
      <c r="E533" t="s">
        <v>74</v>
      </c>
      <c r="F533" t="s">
        <v>10532</v>
      </c>
      <c r="G533" t="s">
        <v>74</v>
      </c>
      <c r="H533" t="s">
        <v>74</v>
      </c>
      <c r="I533" t="s">
        <v>10533</v>
      </c>
      <c r="J533" t="s">
        <v>1261</v>
      </c>
      <c r="K533" t="s">
        <v>74</v>
      </c>
      <c r="L533" t="s">
        <v>74</v>
      </c>
      <c r="M533" t="s">
        <v>78</v>
      </c>
      <c r="N533" t="s">
        <v>79</v>
      </c>
      <c r="O533" t="s">
        <v>74</v>
      </c>
      <c r="P533" t="s">
        <v>74</v>
      </c>
      <c r="Q533" t="s">
        <v>74</v>
      </c>
      <c r="R533" t="s">
        <v>74</v>
      </c>
      <c r="S533" t="s">
        <v>74</v>
      </c>
      <c r="T533" t="s">
        <v>10534</v>
      </c>
      <c r="U533" t="s">
        <v>10535</v>
      </c>
      <c r="V533" t="s">
        <v>10536</v>
      </c>
      <c r="W533" t="s">
        <v>10537</v>
      </c>
      <c r="X533" t="s">
        <v>10538</v>
      </c>
      <c r="Y533" t="s">
        <v>10539</v>
      </c>
      <c r="Z533" t="s">
        <v>10540</v>
      </c>
      <c r="AA533" t="s">
        <v>10541</v>
      </c>
      <c r="AB533" t="s">
        <v>10542</v>
      </c>
      <c r="AC533" t="s">
        <v>10543</v>
      </c>
      <c r="AD533" t="s">
        <v>10544</v>
      </c>
      <c r="AE533" t="s">
        <v>10545</v>
      </c>
      <c r="AF533" t="s">
        <v>74</v>
      </c>
      <c r="AG533">
        <v>43</v>
      </c>
      <c r="AH533">
        <v>15</v>
      </c>
      <c r="AI533">
        <v>16</v>
      </c>
      <c r="AJ533">
        <v>0</v>
      </c>
      <c r="AK533">
        <v>7</v>
      </c>
      <c r="AL533" t="s">
        <v>1270</v>
      </c>
      <c r="AM533" t="s">
        <v>286</v>
      </c>
      <c r="AN533" t="s">
        <v>1271</v>
      </c>
      <c r="AO533" t="s">
        <v>1272</v>
      </c>
      <c r="AP533" t="s">
        <v>1273</v>
      </c>
      <c r="AQ533" t="s">
        <v>74</v>
      </c>
      <c r="AR533" t="s">
        <v>1274</v>
      </c>
      <c r="AS533" t="s">
        <v>1275</v>
      </c>
      <c r="AT533" t="s">
        <v>10370</v>
      </c>
      <c r="AU533">
        <v>2017</v>
      </c>
      <c r="AV533">
        <v>63</v>
      </c>
      <c r="AW533">
        <v>240</v>
      </c>
      <c r="AX533" t="s">
        <v>74</v>
      </c>
      <c r="AY533" t="s">
        <v>74</v>
      </c>
      <c r="AZ533" t="s">
        <v>74</v>
      </c>
      <c r="BA533" t="s">
        <v>74</v>
      </c>
      <c r="BB533">
        <v>573</v>
      </c>
      <c r="BC533">
        <v>580</v>
      </c>
      <c r="BD533" t="s">
        <v>74</v>
      </c>
      <c r="BE533" t="s">
        <v>10546</v>
      </c>
      <c r="BF533" t="str">
        <f>HYPERLINK("http://dx.doi.org/10.1017/jog.2017.15","http://dx.doi.org/10.1017/jog.2017.15")</f>
        <v>http://dx.doi.org/10.1017/jog.2017.15</v>
      </c>
      <c r="BG533" t="s">
        <v>74</v>
      </c>
      <c r="BH533" t="s">
        <v>74</v>
      </c>
      <c r="BI533">
        <v>8</v>
      </c>
      <c r="BJ533" t="s">
        <v>319</v>
      </c>
      <c r="BK533" t="s">
        <v>101</v>
      </c>
      <c r="BL533" t="s">
        <v>320</v>
      </c>
      <c r="BM533" t="s">
        <v>10547</v>
      </c>
      <c r="BN533" t="s">
        <v>74</v>
      </c>
      <c r="BO533" t="s">
        <v>1278</v>
      </c>
      <c r="BP533" t="s">
        <v>74</v>
      </c>
      <c r="BQ533" t="s">
        <v>74</v>
      </c>
      <c r="BR533" t="s">
        <v>105</v>
      </c>
      <c r="BS533" t="s">
        <v>10548</v>
      </c>
      <c r="BT533" t="str">
        <f>HYPERLINK("https%3A%2F%2Fwww.webofscience.com%2Fwos%2Fwoscc%2Ffull-record%2FWOS:000415869500001","View Full Record in Web of Science")</f>
        <v>View Full Record in Web of Science</v>
      </c>
    </row>
    <row r="534" spans="1:72" x14ac:dyDescent="0.15">
      <c r="A534" t="s">
        <v>72</v>
      </c>
      <c r="B534" t="s">
        <v>10549</v>
      </c>
      <c r="C534" t="s">
        <v>74</v>
      </c>
      <c r="D534" t="s">
        <v>74</v>
      </c>
      <c r="E534" t="s">
        <v>74</v>
      </c>
      <c r="F534" t="s">
        <v>10550</v>
      </c>
      <c r="G534" t="s">
        <v>74</v>
      </c>
      <c r="H534" t="s">
        <v>74</v>
      </c>
      <c r="I534" t="s">
        <v>10551</v>
      </c>
      <c r="J534" t="s">
        <v>1261</v>
      </c>
      <c r="K534" t="s">
        <v>74</v>
      </c>
      <c r="L534" t="s">
        <v>74</v>
      </c>
      <c r="M534" t="s">
        <v>78</v>
      </c>
      <c r="N534" t="s">
        <v>79</v>
      </c>
      <c r="O534" t="s">
        <v>74</v>
      </c>
      <c r="P534" t="s">
        <v>74</v>
      </c>
      <c r="Q534" t="s">
        <v>74</v>
      </c>
      <c r="R534" t="s">
        <v>74</v>
      </c>
      <c r="S534" t="s">
        <v>74</v>
      </c>
      <c r="T534" t="s">
        <v>10552</v>
      </c>
      <c r="U534" t="s">
        <v>10553</v>
      </c>
      <c r="V534" t="s">
        <v>10554</v>
      </c>
      <c r="W534" t="s">
        <v>10555</v>
      </c>
      <c r="X534" t="s">
        <v>10556</v>
      </c>
      <c r="Y534" t="s">
        <v>10557</v>
      </c>
      <c r="Z534" t="s">
        <v>10558</v>
      </c>
      <c r="AA534" t="s">
        <v>10559</v>
      </c>
      <c r="AB534" t="s">
        <v>10560</v>
      </c>
      <c r="AC534" t="s">
        <v>10561</v>
      </c>
      <c r="AD534" t="s">
        <v>10562</v>
      </c>
      <c r="AE534" t="s">
        <v>10563</v>
      </c>
      <c r="AF534" t="s">
        <v>74</v>
      </c>
      <c r="AG534">
        <v>55</v>
      </c>
      <c r="AH534">
        <v>17</v>
      </c>
      <c r="AI534">
        <v>17</v>
      </c>
      <c r="AJ534">
        <v>1</v>
      </c>
      <c r="AK534">
        <v>3</v>
      </c>
      <c r="AL534" t="s">
        <v>1270</v>
      </c>
      <c r="AM534" t="s">
        <v>286</v>
      </c>
      <c r="AN534" t="s">
        <v>1271</v>
      </c>
      <c r="AO534" t="s">
        <v>1272</v>
      </c>
      <c r="AP534" t="s">
        <v>1273</v>
      </c>
      <c r="AQ534" t="s">
        <v>74</v>
      </c>
      <c r="AR534" t="s">
        <v>1274</v>
      </c>
      <c r="AS534" t="s">
        <v>1275</v>
      </c>
      <c r="AT534" t="s">
        <v>10370</v>
      </c>
      <c r="AU534">
        <v>2017</v>
      </c>
      <c r="AV534">
        <v>63</v>
      </c>
      <c r="AW534">
        <v>240</v>
      </c>
      <c r="AX534" t="s">
        <v>74</v>
      </c>
      <c r="AY534" t="s">
        <v>74</v>
      </c>
      <c r="AZ534" t="s">
        <v>74</v>
      </c>
      <c r="BA534" t="s">
        <v>74</v>
      </c>
      <c r="BB534">
        <v>603</v>
      </c>
      <c r="BC534">
        <v>617</v>
      </c>
      <c r="BD534" t="s">
        <v>74</v>
      </c>
      <c r="BE534" t="s">
        <v>10564</v>
      </c>
      <c r="BF534" t="str">
        <f>HYPERLINK("http://dx.doi.org/10.1017/jog.2017.20","http://dx.doi.org/10.1017/jog.2017.20")</f>
        <v>http://dx.doi.org/10.1017/jog.2017.20</v>
      </c>
      <c r="BG534" t="s">
        <v>74</v>
      </c>
      <c r="BH534" t="s">
        <v>74</v>
      </c>
      <c r="BI534">
        <v>15</v>
      </c>
      <c r="BJ534" t="s">
        <v>319</v>
      </c>
      <c r="BK534" t="s">
        <v>101</v>
      </c>
      <c r="BL534" t="s">
        <v>320</v>
      </c>
      <c r="BM534" t="s">
        <v>10547</v>
      </c>
      <c r="BN534" t="s">
        <v>74</v>
      </c>
      <c r="BO534" t="s">
        <v>1278</v>
      </c>
      <c r="BP534" t="s">
        <v>74</v>
      </c>
      <c r="BQ534" t="s">
        <v>74</v>
      </c>
      <c r="BR534" t="s">
        <v>105</v>
      </c>
      <c r="BS534" t="s">
        <v>10565</v>
      </c>
      <c r="BT534" t="str">
        <f>HYPERLINK("https%3A%2F%2Fwww.webofscience.com%2Fwos%2Fwoscc%2Ffull-record%2FWOS:000415869500004","View Full Record in Web of Science")</f>
        <v>View Full Record in Web of Science</v>
      </c>
    </row>
    <row r="535" spans="1:72" x14ac:dyDescent="0.15">
      <c r="A535" t="s">
        <v>72</v>
      </c>
      <c r="B535" t="s">
        <v>10566</v>
      </c>
      <c r="C535" t="s">
        <v>74</v>
      </c>
      <c r="D535" t="s">
        <v>74</v>
      </c>
      <c r="E535" t="s">
        <v>74</v>
      </c>
      <c r="F535" t="s">
        <v>10567</v>
      </c>
      <c r="G535" t="s">
        <v>74</v>
      </c>
      <c r="H535" t="s">
        <v>74</v>
      </c>
      <c r="I535" t="s">
        <v>10568</v>
      </c>
      <c r="J535" t="s">
        <v>1261</v>
      </c>
      <c r="K535" t="s">
        <v>74</v>
      </c>
      <c r="L535" t="s">
        <v>74</v>
      </c>
      <c r="M535" t="s">
        <v>78</v>
      </c>
      <c r="N535" t="s">
        <v>79</v>
      </c>
      <c r="O535" t="s">
        <v>74</v>
      </c>
      <c r="P535" t="s">
        <v>74</v>
      </c>
      <c r="Q535" t="s">
        <v>74</v>
      </c>
      <c r="R535" t="s">
        <v>74</v>
      </c>
      <c r="S535" t="s">
        <v>74</v>
      </c>
      <c r="T535" t="s">
        <v>10569</v>
      </c>
      <c r="U535" t="s">
        <v>10570</v>
      </c>
      <c r="V535" t="s">
        <v>10571</v>
      </c>
      <c r="W535" t="s">
        <v>10572</v>
      </c>
      <c r="X535" t="s">
        <v>10573</v>
      </c>
      <c r="Y535" t="s">
        <v>10574</v>
      </c>
      <c r="Z535" t="s">
        <v>10575</v>
      </c>
      <c r="AA535" t="s">
        <v>10576</v>
      </c>
      <c r="AB535" t="s">
        <v>10577</v>
      </c>
      <c r="AC535" t="s">
        <v>10578</v>
      </c>
      <c r="AD535" t="s">
        <v>10578</v>
      </c>
      <c r="AE535" t="s">
        <v>10579</v>
      </c>
      <c r="AF535" t="s">
        <v>74</v>
      </c>
      <c r="AG535">
        <v>49</v>
      </c>
      <c r="AH535">
        <v>78</v>
      </c>
      <c r="AI535">
        <v>87</v>
      </c>
      <c r="AJ535">
        <v>1</v>
      </c>
      <c r="AK535">
        <v>12</v>
      </c>
      <c r="AL535" t="s">
        <v>1270</v>
      </c>
      <c r="AM535" t="s">
        <v>286</v>
      </c>
      <c r="AN535" t="s">
        <v>1271</v>
      </c>
      <c r="AO535" t="s">
        <v>1272</v>
      </c>
      <c r="AP535" t="s">
        <v>1273</v>
      </c>
      <c r="AQ535" t="s">
        <v>74</v>
      </c>
      <c r="AR535" t="s">
        <v>1274</v>
      </c>
      <c r="AS535" t="s">
        <v>1275</v>
      </c>
      <c r="AT535" t="s">
        <v>10370</v>
      </c>
      <c r="AU535">
        <v>2017</v>
      </c>
      <c r="AV535">
        <v>63</v>
      </c>
      <c r="AW535">
        <v>240</v>
      </c>
      <c r="AX535" t="s">
        <v>74</v>
      </c>
      <c r="AY535" t="s">
        <v>74</v>
      </c>
      <c r="AZ535" t="s">
        <v>74</v>
      </c>
      <c r="BA535" t="s">
        <v>74</v>
      </c>
      <c r="BB535">
        <v>691</v>
      </c>
      <c r="BC535">
        <v>702</v>
      </c>
      <c r="BD535" t="s">
        <v>74</v>
      </c>
      <c r="BE535" t="s">
        <v>10580</v>
      </c>
      <c r="BF535" t="str">
        <f>HYPERLINK("http://dx.doi.org/10.1017/jog.2017.41","http://dx.doi.org/10.1017/jog.2017.41")</f>
        <v>http://dx.doi.org/10.1017/jog.2017.41</v>
      </c>
      <c r="BG535" t="s">
        <v>74</v>
      </c>
      <c r="BH535" t="s">
        <v>74</v>
      </c>
      <c r="BI535">
        <v>12</v>
      </c>
      <c r="BJ535" t="s">
        <v>319</v>
      </c>
      <c r="BK535" t="s">
        <v>101</v>
      </c>
      <c r="BL535" t="s">
        <v>320</v>
      </c>
      <c r="BM535" t="s">
        <v>10547</v>
      </c>
      <c r="BN535" t="s">
        <v>74</v>
      </c>
      <c r="BO535" t="s">
        <v>6500</v>
      </c>
      <c r="BP535" t="s">
        <v>74</v>
      </c>
      <c r="BQ535" t="s">
        <v>74</v>
      </c>
      <c r="BR535" t="s">
        <v>105</v>
      </c>
      <c r="BS535" t="s">
        <v>10581</v>
      </c>
      <c r="BT535" t="str">
        <f>HYPERLINK("https%3A%2F%2Fwww.webofscience.com%2Fwos%2Fwoscc%2Ffull-record%2FWOS:000415869500012","View Full Record in Web of Science")</f>
        <v>View Full Record in Web of Science</v>
      </c>
    </row>
    <row r="536" spans="1:72" x14ac:dyDescent="0.15">
      <c r="A536" t="s">
        <v>72</v>
      </c>
      <c r="B536" t="s">
        <v>10582</v>
      </c>
      <c r="C536" t="s">
        <v>74</v>
      </c>
      <c r="D536" t="s">
        <v>74</v>
      </c>
      <c r="E536" t="s">
        <v>74</v>
      </c>
      <c r="F536" t="s">
        <v>10583</v>
      </c>
      <c r="G536" t="s">
        <v>74</v>
      </c>
      <c r="H536" t="s">
        <v>74</v>
      </c>
      <c r="I536" t="s">
        <v>10584</v>
      </c>
      <c r="J536" t="s">
        <v>1261</v>
      </c>
      <c r="K536" t="s">
        <v>74</v>
      </c>
      <c r="L536" t="s">
        <v>74</v>
      </c>
      <c r="M536" t="s">
        <v>78</v>
      </c>
      <c r="N536" t="s">
        <v>79</v>
      </c>
      <c r="O536" t="s">
        <v>74</v>
      </c>
      <c r="P536" t="s">
        <v>74</v>
      </c>
      <c r="Q536" t="s">
        <v>74</v>
      </c>
      <c r="R536" t="s">
        <v>74</v>
      </c>
      <c r="S536" t="s">
        <v>74</v>
      </c>
      <c r="T536" t="s">
        <v>10585</v>
      </c>
      <c r="U536" t="s">
        <v>10586</v>
      </c>
      <c r="V536" t="s">
        <v>10587</v>
      </c>
      <c r="W536" t="s">
        <v>10588</v>
      </c>
      <c r="X536" t="s">
        <v>10589</v>
      </c>
      <c r="Y536" t="s">
        <v>2516</v>
      </c>
      <c r="Z536" t="s">
        <v>2517</v>
      </c>
      <c r="AA536" t="s">
        <v>10590</v>
      </c>
      <c r="AB536" t="s">
        <v>10591</v>
      </c>
      <c r="AC536" t="s">
        <v>10592</v>
      </c>
      <c r="AD536" t="s">
        <v>10593</v>
      </c>
      <c r="AE536" t="s">
        <v>10594</v>
      </c>
      <c r="AF536" t="s">
        <v>74</v>
      </c>
      <c r="AG536">
        <v>39</v>
      </c>
      <c r="AH536">
        <v>9</v>
      </c>
      <c r="AI536">
        <v>11</v>
      </c>
      <c r="AJ536">
        <v>2</v>
      </c>
      <c r="AK536">
        <v>19</v>
      </c>
      <c r="AL536" t="s">
        <v>1270</v>
      </c>
      <c r="AM536" t="s">
        <v>286</v>
      </c>
      <c r="AN536" t="s">
        <v>1271</v>
      </c>
      <c r="AO536" t="s">
        <v>1272</v>
      </c>
      <c r="AP536" t="s">
        <v>1273</v>
      </c>
      <c r="AQ536" t="s">
        <v>74</v>
      </c>
      <c r="AR536" t="s">
        <v>1274</v>
      </c>
      <c r="AS536" t="s">
        <v>1275</v>
      </c>
      <c r="AT536" t="s">
        <v>10370</v>
      </c>
      <c r="AU536">
        <v>2017</v>
      </c>
      <c r="AV536">
        <v>63</v>
      </c>
      <c r="AW536">
        <v>240</v>
      </c>
      <c r="AX536" t="s">
        <v>74</v>
      </c>
      <c r="AY536" t="s">
        <v>74</v>
      </c>
      <c r="AZ536" t="s">
        <v>74</v>
      </c>
      <c r="BA536" t="s">
        <v>74</v>
      </c>
      <c r="BB536">
        <v>703</v>
      </c>
      <c r="BC536">
        <v>715</v>
      </c>
      <c r="BD536" t="s">
        <v>74</v>
      </c>
      <c r="BE536" t="s">
        <v>10595</v>
      </c>
      <c r="BF536" t="str">
        <f>HYPERLINK("http://dx.doi.org/10.1017/jog.2017.37","http://dx.doi.org/10.1017/jog.2017.37")</f>
        <v>http://dx.doi.org/10.1017/jog.2017.37</v>
      </c>
      <c r="BG536" t="s">
        <v>74</v>
      </c>
      <c r="BH536" t="s">
        <v>74</v>
      </c>
      <c r="BI536">
        <v>13</v>
      </c>
      <c r="BJ536" t="s">
        <v>319</v>
      </c>
      <c r="BK536" t="s">
        <v>101</v>
      </c>
      <c r="BL536" t="s">
        <v>320</v>
      </c>
      <c r="BM536" t="s">
        <v>10547</v>
      </c>
      <c r="BN536" t="s">
        <v>74</v>
      </c>
      <c r="BO536" t="s">
        <v>1278</v>
      </c>
      <c r="BP536" t="s">
        <v>74</v>
      </c>
      <c r="BQ536" t="s">
        <v>74</v>
      </c>
      <c r="BR536" t="s">
        <v>105</v>
      </c>
      <c r="BS536" t="s">
        <v>10596</v>
      </c>
      <c r="BT536" t="str">
        <f>HYPERLINK("https%3A%2F%2Fwww.webofscience.com%2Fwos%2Fwoscc%2Ffull-record%2FWOS:000415869500013","View Full Record in Web of Science")</f>
        <v>View Full Record in Web of Science</v>
      </c>
    </row>
    <row r="537" spans="1:72" x14ac:dyDescent="0.15">
      <c r="A537" t="s">
        <v>72</v>
      </c>
      <c r="B537" t="s">
        <v>10597</v>
      </c>
      <c r="C537" t="s">
        <v>74</v>
      </c>
      <c r="D537" t="s">
        <v>74</v>
      </c>
      <c r="E537" t="s">
        <v>74</v>
      </c>
      <c r="F537" t="s">
        <v>10598</v>
      </c>
      <c r="G537" t="s">
        <v>74</v>
      </c>
      <c r="H537" t="s">
        <v>74</v>
      </c>
      <c r="I537" t="s">
        <v>10599</v>
      </c>
      <c r="J537" t="s">
        <v>1261</v>
      </c>
      <c r="K537" t="s">
        <v>74</v>
      </c>
      <c r="L537" t="s">
        <v>74</v>
      </c>
      <c r="M537" t="s">
        <v>78</v>
      </c>
      <c r="N537" t="s">
        <v>79</v>
      </c>
      <c r="O537" t="s">
        <v>74</v>
      </c>
      <c r="P537" t="s">
        <v>74</v>
      </c>
      <c r="Q537" t="s">
        <v>74</v>
      </c>
      <c r="R537" t="s">
        <v>74</v>
      </c>
      <c r="S537" t="s">
        <v>74</v>
      </c>
      <c r="T537" t="s">
        <v>10600</v>
      </c>
      <c r="U537" t="s">
        <v>10601</v>
      </c>
      <c r="V537" t="s">
        <v>10602</v>
      </c>
      <c r="W537" t="s">
        <v>10603</v>
      </c>
      <c r="X537" t="s">
        <v>10604</v>
      </c>
      <c r="Y537" t="s">
        <v>10605</v>
      </c>
      <c r="Z537" t="s">
        <v>10606</v>
      </c>
      <c r="AA537" t="s">
        <v>10607</v>
      </c>
      <c r="AB537" t="s">
        <v>10608</v>
      </c>
      <c r="AC537" t="s">
        <v>10609</v>
      </c>
      <c r="AD537" t="s">
        <v>10609</v>
      </c>
      <c r="AE537" t="s">
        <v>10610</v>
      </c>
      <c r="AF537" t="s">
        <v>74</v>
      </c>
      <c r="AG537">
        <v>59</v>
      </c>
      <c r="AH537">
        <v>11</v>
      </c>
      <c r="AI537">
        <v>13</v>
      </c>
      <c r="AJ537">
        <v>1</v>
      </c>
      <c r="AK537">
        <v>19</v>
      </c>
      <c r="AL537" t="s">
        <v>1270</v>
      </c>
      <c r="AM537" t="s">
        <v>286</v>
      </c>
      <c r="AN537" t="s">
        <v>1271</v>
      </c>
      <c r="AO537" t="s">
        <v>1272</v>
      </c>
      <c r="AP537" t="s">
        <v>1273</v>
      </c>
      <c r="AQ537" t="s">
        <v>74</v>
      </c>
      <c r="AR537" t="s">
        <v>1274</v>
      </c>
      <c r="AS537" t="s">
        <v>1275</v>
      </c>
      <c r="AT537" t="s">
        <v>10370</v>
      </c>
      <c r="AU537">
        <v>2017</v>
      </c>
      <c r="AV537">
        <v>63</v>
      </c>
      <c r="AW537">
        <v>240</v>
      </c>
      <c r="AX537" t="s">
        <v>74</v>
      </c>
      <c r="AY537" t="s">
        <v>74</v>
      </c>
      <c r="AZ537" t="s">
        <v>74</v>
      </c>
      <c r="BA537" t="s">
        <v>74</v>
      </c>
      <c r="BB537">
        <v>731</v>
      </c>
      <c r="BC537">
        <v>744</v>
      </c>
      <c r="BD537" t="s">
        <v>74</v>
      </c>
      <c r="BE537" t="s">
        <v>10611</v>
      </c>
      <c r="BF537" t="str">
        <f>HYPERLINK("http://dx.doi.org/10.1017/jog.2017.42","http://dx.doi.org/10.1017/jog.2017.42")</f>
        <v>http://dx.doi.org/10.1017/jog.2017.42</v>
      </c>
      <c r="BG537" t="s">
        <v>74</v>
      </c>
      <c r="BH537" t="s">
        <v>74</v>
      </c>
      <c r="BI537">
        <v>14</v>
      </c>
      <c r="BJ537" t="s">
        <v>319</v>
      </c>
      <c r="BK537" t="s">
        <v>101</v>
      </c>
      <c r="BL537" t="s">
        <v>320</v>
      </c>
      <c r="BM537" t="s">
        <v>10547</v>
      </c>
      <c r="BN537" t="s">
        <v>74</v>
      </c>
      <c r="BO537" t="s">
        <v>3771</v>
      </c>
      <c r="BP537" t="s">
        <v>74</v>
      </c>
      <c r="BQ537" t="s">
        <v>74</v>
      </c>
      <c r="BR537" t="s">
        <v>105</v>
      </c>
      <c r="BS537" t="s">
        <v>10612</v>
      </c>
      <c r="BT537" t="str">
        <f>HYPERLINK("https%3A%2F%2Fwww.webofscience.com%2Fwos%2Fwoscc%2Ffull-record%2FWOS:000415869500015","View Full Record in Web of Science")</f>
        <v>View Full Record in Web of Science</v>
      </c>
    </row>
    <row r="538" spans="1:72" x14ac:dyDescent="0.15">
      <c r="A538" t="s">
        <v>72</v>
      </c>
      <c r="B538" t="s">
        <v>10613</v>
      </c>
      <c r="C538" t="s">
        <v>74</v>
      </c>
      <c r="D538" t="s">
        <v>74</v>
      </c>
      <c r="E538" t="s">
        <v>74</v>
      </c>
      <c r="F538" t="s">
        <v>10614</v>
      </c>
      <c r="G538" t="s">
        <v>74</v>
      </c>
      <c r="H538" t="s">
        <v>74</v>
      </c>
      <c r="I538" t="s">
        <v>10615</v>
      </c>
      <c r="J538" t="s">
        <v>10616</v>
      </c>
      <c r="K538" t="s">
        <v>74</v>
      </c>
      <c r="L538" t="s">
        <v>74</v>
      </c>
      <c r="M538" t="s">
        <v>78</v>
      </c>
      <c r="N538" t="s">
        <v>79</v>
      </c>
      <c r="O538" t="s">
        <v>74</v>
      </c>
      <c r="P538" t="s">
        <v>74</v>
      </c>
      <c r="Q538" t="s">
        <v>74</v>
      </c>
      <c r="R538" t="s">
        <v>74</v>
      </c>
      <c r="S538" t="s">
        <v>74</v>
      </c>
      <c r="T538" t="s">
        <v>10617</v>
      </c>
      <c r="U538" t="s">
        <v>10618</v>
      </c>
      <c r="V538" t="s">
        <v>10619</v>
      </c>
      <c r="W538" t="s">
        <v>10620</v>
      </c>
      <c r="X538" t="s">
        <v>4340</v>
      </c>
      <c r="Y538" t="s">
        <v>10621</v>
      </c>
      <c r="Z538" t="s">
        <v>10622</v>
      </c>
      <c r="AA538" t="s">
        <v>10623</v>
      </c>
      <c r="AB538" t="s">
        <v>10624</v>
      </c>
      <c r="AC538" t="s">
        <v>10625</v>
      </c>
      <c r="AD538" t="s">
        <v>10626</v>
      </c>
      <c r="AE538" t="s">
        <v>10627</v>
      </c>
      <c r="AF538" t="s">
        <v>74</v>
      </c>
      <c r="AG538">
        <v>43</v>
      </c>
      <c r="AH538">
        <v>5</v>
      </c>
      <c r="AI538">
        <v>5</v>
      </c>
      <c r="AJ538">
        <v>1</v>
      </c>
      <c r="AK538">
        <v>17</v>
      </c>
      <c r="AL538" t="s">
        <v>208</v>
      </c>
      <c r="AM538" t="s">
        <v>209</v>
      </c>
      <c r="AN538" t="s">
        <v>210</v>
      </c>
      <c r="AO538" t="s">
        <v>10628</v>
      </c>
      <c r="AP538" t="s">
        <v>74</v>
      </c>
      <c r="AQ538" t="s">
        <v>74</v>
      </c>
      <c r="AR538" t="s">
        <v>10629</v>
      </c>
      <c r="AS538" t="s">
        <v>10630</v>
      </c>
      <c r="AT538" t="s">
        <v>10370</v>
      </c>
      <c r="AU538">
        <v>2017</v>
      </c>
      <c r="AV538">
        <v>45</v>
      </c>
      <c r="AW538">
        <v>2</v>
      </c>
      <c r="AX538" t="s">
        <v>74</v>
      </c>
      <c r="AY538" t="s">
        <v>74</v>
      </c>
      <c r="AZ538" t="s">
        <v>74</v>
      </c>
      <c r="BA538" t="s">
        <v>74</v>
      </c>
      <c r="BB538">
        <v>253</v>
      </c>
      <c r="BC538">
        <v>260</v>
      </c>
      <c r="BD538" t="s">
        <v>74</v>
      </c>
      <c r="BE538" t="s">
        <v>10631</v>
      </c>
      <c r="BF538" t="str">
        <f>HYPERLINK("http://dx.doi.org/10.1007/s40857-017-0103-x","http://dx.doi.org/10.1007/s40857-017-0103-x")</f>
        <v>http://dx.doi.org/10.1007/s40857-017-0103-x</v>
      </c>
      <c r="BG538" t="s">
        <v>74</v>
      </c>
      <c r="BH538" t="s">
        <v>74</v>
      </c>
      <c r="BI538">
        <v>8</v>
      </c>
      <c r="BJ538" t="s">
        <v>10632</v>
      </c>
      <c r="BK538" t="s">
        <v>101</v>
      </c>
      <c r="BL538" t="s">
        <v>10632</v>
      </c>
      <c r="BM538" t="s">
        <v>10633</v>
      </c>
      <c r="BN538" t="s">
        <v>74</v>
      </c>
      <c r="BO538" t="s">
        <v>74</v>
      </c>
      <c r="BP538" t="s">
        <v>74</v>
      </c>
      <c r="BQ538" t="s">
        <v>74</v>
      </c>
      <c r="BR538" t="s">
        <v>105</v>
      </c>
      <c r="BS538" t="s">
        <v>10634</v>
      </c>
      <c r="BT538" t="str">
        <f>HYPERLINK("https%3A%2F%2Fwww.webofscience.com%2Fwos%2Fwoscc%2Ffull-record%2FWOS:000415005000008","View Full Record in Web of Science")</f>
        <v>View Full Record in Web of Science</v>
      </c>
    </row>
    <row r="539" spans="1:72" x14ac:dyDescent="0.15">
      <c r="A539" t="s">
        <v>72</v>
      </c>
      <c r="B539" t="s">
        <v>9002</v>
      </c>
      <c r="C539" t="s">
        <v>74</v>
      </c>
      <c r="D539" t="s">
        <v>74</v>
      </c>
      <c r="E539" t="s">
        <v>74</v>
      </c>
      <c r="F539" t="s">
        <v>9003</v>
      </c>
      <c r="G539" t="s">
        <v>74</v>
      </c>
      <c r="H539" t="s">
        <v>74</v>
      </c>
      <c r="I539" t="s">
        <v>10635</v>
      </c>
      <c r="J539" t="s">
        <v>10616</v>
      </c>
      <c r="K539" t="s">
        <v>74</v>
      </c>
      <c r="L539" t="s">
        <v>74</v>
      </c>
      <c r="M539" t="s">
        <v>78</v>
      </c>
      <c r="N539" t="s">
        <v>79</v>
      </c>
      <c r="O539" t="s">
        <v>74</v>
      </c>
      <c r="P539" t="s">
        <v>74</v>
      </c>
      <c r="Q539" t="s">
        <v>74</v>
      </c>
      <c r="R539" t="s">
        <v>74</v>
      </c>
      <c r="S539" t="s">
        <v>74</v>
      </c>
      <c r="T539" t="s">
        <v>10636</v>
      </c>
      <c r="U539" t="s">
        <v>10637</v>
      </c>
      <c r="V539" t="s">
        <v>10638</v>
      </c>
      <c r="W539" t="s">
        <v>10639</v>
      </c>
      <c r="X539" t="s">
        <v>10640</v>
      </c>
      <c r="Y539" t="s">
        <v>10641</v>
      </c>
      <c r="Z539" t="s">
        <v>9012</v>
      </c>
      <c r="AA539" t="s">
        <v>9013</v>
      </c>
      <c r="AB539" t="s">
        <v>9014</v>
      </c>
      <c r="AC539" t="s">
        <v>10642</v>
      </c>
      <c r="AD539" t="s">
        <v>10643</v>
      </c>
      <c r="AE539" t="s">
        <v>10644</v>
      </c>
      <c r="AF539" t="s">
        <v>74</v>
      </c>
      <c r="AG539">
        <v>97</v>
      </c>
      <c r="AH539">
        <v>7</v>
      </c>
      <c r="AI539">
        <v>7</v>
      </c>
      <c r="AJ539">
        <v>1</v>
      </c>
      <c r="AK539">
        <v>9</v>
      </c>
      <c r="AL539" t="s">
        <v>208</v>
      </c>
      <c r="AM539" t="s">
        <v>209</v>
      </c>
      <c r="AN539" t="s">
        <v>210</v>
      </c>
      <c r="AO539" t="s">
        <v>10628</v>
      </c>
      <c r="AP539" t="s">
        <v>74</v>
      </c>
      <c r="AQ539" t="s">
        <v>74</v>
      </c>
      <c r="AR539" t="s">
        <v>10629</v>
      </c>
      <c r="AS539" t="s">
        <v>10630</v>
      </c>
      <c r="AT539" t="s">
        <v>10370</v>
      </c>
      <c r="AU539">
        <v>2017</v>
      </c>
      <c r="AV539">
        <v>45</v>
      </c>
      <c r="AW539">
        <v>2</v>
      </c>
      <c r="AX539" t="s">
        <v>74</v>
      </c>
      <c r="AY539" t="s">
        <v>74</v>
      </c>
      <c r="AZ539" t="s">
        <v>74</v>
      </c>
      <c r="BA539" t="s">
        <v>74</v>
      </c>
      <c r="BB539">
        <v>363</v>
      </c>
      <c r="BC539">
        <v>380</v>
      </c>
      <c r="BD539" t="s">
        <v>74</v>
      </c>
      <c r="BE539" t="s">
        <v>10645</v>
      </c>
      <c r="BF539" t="str">
        <f>HYPERLINK("http://dx.doi.org/10.1007/s40857-017-0100-0","http://dx.doi.org/10.1007/s40857-017-0100-0")</f>
        <v>http://dx.doi.org/10.1007/s40857-017-0100-0</v>
      </c>
      <c r="BG539" t="s">
        <v>74</v>
      </c>
      <c r="BH539" t="s">
        <v>74</v>
      </c>
      <c r="BI539">
        <v>18</v>
      </c>
      <c r="BJ539" t="s">
        <v>10632</v>
      </c>
      <c r="BK539" t="s">
        <v>101</v>
      </c>
      <c r="BL539" t="s">
        <v>10632</v>
      </c>
      <c r="BM539" t="s">
        <v>10633</v>
      </c>
      <c r="BN539" t="s">
        <v>74</v>
      </c>
      <c r="BO539" t="s">
        <v>74</v>
      </c>
      <c r="BP539" t="s">
        <v>74</v>
      </c>
      <c r="BQ539" t="s">
        <v>74</v>
      </c>
      <c r="BR539" t="s">
        <v>105</v>
      </c>
      <c r="BS539" t="s">
        <v>10646</v>
      </c>
      <c r="BT539" t="str">
        <f>HYPERLINK("https%3A%2F%2Fwww.webofscience.com%2Fwos%2Fwoscc%2Ffull-record%2FWOS:000415005000019","View Full Record in Web of Science")</f>
        <v>View Full Record in Web of Science</v>
      </c>
    </row>
    <row r="540" spans="1:72" x14ac:dyDescent="0.15">
      <c r="A540" t="s">
        <v>72</v>
      </c>
      <c r="B540" t="s">
        <v>10647</v>
      </c>
      <c r="C540" t="s">
        <v>74</v>
      </c>
      <c r="D540" t="s">
        <v>74</v>
      </c>
      <c r="E540" t="s">
        <v>74</v>
      </c>
      <c r="F540" t="s">
        <v>10648</v>
      </c>
      <c r="G540" t="s">
        <v>74</v>
      </c>
      <c r="H540" t="s">
        <v>74</v>
      </c>
      <c r="I540" t="s">
        <v>10649</v>
      </c>
      <c r="J540" t="s">
        <v>1798</v>
      </c>
      <c r="K540" t="s">
        <v>74</v>
      </c>
      <c r="L540" t="s">
        <v>74</v>
      </c>
      <c r="M540" t="s">
        <v>78</v>
      </c>
      <c r="N540" t="s">
        <v>79</v>
      </c>
      <c r="O540" t="s">
        <v>74</v>
      </c>
      <c r="P540" t="s">
        <v>74</v>
      </c>
      <c r="Q540" t="s">
        <v>74</v>
      </c>
      <c r="R540" t="s">
        <v>74</v>
      </c>
      <c r="S540" t="s">
        <v>74</v>
      </c>
      <c r="T540" t="s">
        <v>10650</v>
      </c>
      <c r="U540" t="s">
        <v>10651</v>
      </c>
      <c r="V540" t="s">
        <v>10652</v>
      </c>
      <c r="W540" t="s">
        <v>10653</v>
      </c>
      <c r="X540" t="s">
        <v>10654</v>
      </c>
      <c r="Y540" t="s">
        <v>10655</v>
      </c>
      <c r="Z540" t="s">
        <v>10656</v>
      </c>
      <c r="AA540" t="s">
        <v>10657</v>
      </c>
      <c r="AB540" t="s">
        <v>10658</v>
      </c>
      <c r="AC540" t="s">
        <v>10659</v>
      </c>
      <c r="AD540" t="s">
        <v>10659</v>
      </c>
      <c r="AE540" t="s">
        <v>10660</v>
      </c>
      <c r="AF540" t="s">
        <v>74</v>
      </c>
      <c r="AG540">
        <v>17</v>
      </c>
      <c r="AH540">
        <v>8</v>
      </c>
      <c r="AI540">
        <v>11</v>
      </c>
      <c r="AJ540">
        <v>2</v>
      </c>
      <c r="AK540">
        <v>27</v>
      </c>
      <c r="AL540" t="s">
        <v>1809</v>
      </c>
      <c r="AM540" t="s">
        <v>182</v>
      </c>
      <c r="AN540" t="s">
        <v>1810</v>
      </c>
      <c r="AO540" t="s">
        <v>1811</v>
      </c>
      <c r="AP540" t="s">
        <v>1812</v>
      </c>
      <c r="AQ540" t="s">
        <v>74</v>
      </c>
      <c r="AR540" t="s">
        <v>1813</v>
      </c>
      <c r="AS540" t="s">
        <v>1814</v>
      </c>
      <c r="AT540" t="s">
        <v>10661</v>
      </c>
      <c r="AU540">
        <v>2017</v>
      </c>
      <c r="AV540">
        <v>13</v>
      </c>
      <c r="AW540">
        <v>8</v>
      </c>
      <c r="AX540" t="s">
        <v>74</v>
      </c>
      <c r="AY540" t="s">
        <v>74</v>
      </c>
      <c r="AZ540" t="s">
        <v>74</v>
      </c>
      <c r="BA540" t="s">
        <v>74</v>
      </c>
      <c r="BB540" t="s">
        <v>74</v>
      </c>
      <c r="BC540" t="s">
        <v>74</v>
      </c>
      <c r="BD540">
        <v>20170241</v>
      </c>
      <c r="BE540" t="s">
        <v>10662</v>
      </c>
      <c r="BF540" t="str">
        <f>HYPERLINK("http://dx.doi.org/10.1098/rsbl.2017.0241","http://dx.doi.org/10.1098/rsbl.2017.0241")</f>
        <v>http://dx.doi.org/10.1098/rsbl.2017.0241</v>
      </c>
      <c r="BG540" t="s">
        <v>74</v>
      </c>
      <c r="BH540" t="s">
        <v>74</v>
      </c>
      <c r="BI540">
        <v>5</v>
      </c>
      <c r="BJ540" t="s">
        <v>1817</v>
      </c>
      <c r="BK540" t="s">
        <v>101</v>
      </c>
      <c r="BL540" t="s">
        <v>1818</v>
      </c>
      <c r="BM540" t="s">
        <v>10663</v>
      </c>
      <c r="BN540">
        <v>28794274</v>
      </c>
      <c r="BO540" t="s">
        <v>10664</v>
      </c>
      <c r="BP540" t="s">
        <v>74</v>
      </c>
      <c r="BQ540" t="s">
        <v>74</v>
      </c>
      <c r="BR540" t="s">
        <v>105</v>
      </c>
      <c r="BS540" t="s">
        <v>10665</v>
      </c>
      <c r="BT540" t="str">
        <f>HYPERLINK("https%3A%2F%2Fwww.webofscience.com%2Fwos%2Fwoscc%2Ffull-record%2FWOS:000412162800004","View Full Record in Web of Science")</f>
        <v>View Full Record in Web of Science</v>
      </c>
    </row>
    <row r="541" spans="1:72" x14ac:dyDescent="0.15">
      <c r="A541" t="s">
        <v>72</v>
      </c>
      <c r="B541" t="s">
        <v>10666</v>
      </c>
      <c r="C541" t="s">
        <v>74</v>
      </c>
      <c r="D541" t="s">
        <v>74</v>
      </c>
      <c r="E541" t="s">
        <v>74</v>
      </c>
      <c r="F541" t="s">
        <v>10667</v>
      </c>
      <c r="G541" t="s">
        <v>74</v>
      </c>
      <c r="H541" t="s">
        <v>74</v>
      </c>
      <c r="I541" t="s">
        <v>10668</v>
      </c>
      <c r="J541" t="s">
        <v>10669</v>
      </c>
      <c r="K541" t="s">
        <v>74</v>
      </c>
      <c r="L541" t="s">
        <v>74</v>
      </c>
      <c r="M541" t="s">
        <v>78</v>
      </c>
      <c r="N541" t="s">
        <v>79</v>
      </c>
      <c r="O541" t="s">
        <v>74</v>
      </c>
      <c r="P541" t="s">
        <v>74</v>
      </c>
      <c r="Q541" t="s">
        <v>74</v>
      </c>
      <c r="R541" t="s">
        <v>74</v>
      </c>
      <c r="S541" t="s">
        <v>74</v>
      </c>
      <c r="T541" t="s">
        <v>74</v>
      </c>
      <c r="U541" t="s">
        <v>10670</v>
      </c>
      <c r="V541" t="s">
        <v>10671</v>
      </c>
      <c r="W541" t="s">
        <v>10672</v>
      </c>
      <c r="X541" t="s">
        <v>8812</v>
      </c>
      <c r="Y541" t="s">
        <v>10673</v>
      </c>
      <c r="Z541" t="s">
        <v>10674</v>
      </c>
      <c r="AA541" t="s">
        <v>10675</v>
      </c>
      <c r="AB541" t="s">
        <v>10676</v>
      </c>
      <c r="AC541" t="s">
        <v>74</v>
      </c>
      <c r="AD541" t="s">
        <v>74</v>
      </c>
      <c r="AE541" t="s">
        <v>74</v>
      </c>
      <c r="AF541" t="s">
        <v>74</v>
      </c>
      <c r="AG541">
        <v>61</v>
      </c>
      <c r="AH541">
        <v>11</v>
      </c>
      <c r="AI541">
        <v>12</v>
      </c>
      <c r="AJ541">
        <v>2</v>
      </c>
      <c r="AK541">
        <v>13</v>
      </c>
      <c r="AL541" t="s">
        <v>728</v>
      </c>
      <c r="AM541" t="s">
        <v>729</v>
      </c>
      <c r="AN541" t="s">
        <v>730</v>
      </c>
      <c r="AO541" t="s">
        <v>10677</v>
      </c>
      <c r="AP541" t="s">
        <v>10678</v>
      </c>
      <c r="AQ541" t="s">
        <v>74</v>
      </c>
      <c r="AR541" t="s">
        <v>10679</v>
      </c>
      <c r="AS541" t="s">
        <v>10680</v>
      </c>
      <c r="AT541" t="s">
        <v>10370</v>
      </c>
      <c r="AU541">
        <v>2017</v>
      </c>
      <c r="AV541">
        <v>25</v>
      </c>
      <c r="AW541" t="s">
        <v>74</v>
      </c>
      <c r="AX541" t="s">
        <v>74</v>
      </c>
      <c r="AY541" t="s">
        <v>74</v>
      </c>
      <c r="AZ541" t="s">
        <v>74</v>
      </c>
      <c r="BA541" t="s">
        <v>74</v>
      </c>
      <c r="BB541">
        <v>59</v>
      </c>
      <c r="BC541">
        <v>65</v>
      </c>
      <c r="BD541" t="s">
        <v>74</v>
      </c>
      <c r="BE541" t="s">
        <v>10681</v>
      </c>
      <c r="BF541" t="str">
        <f>HYPERLINK("http://dx.doi.org/10.1016/j.coviro.2017.07.011","http://dx.doi.org/10.1016/j.coviro.2017.07.011")</f>
        <v>http://dx.doi.org/10.1016/j.coviro.2017.07.011</v>
      </c>
      <c r="BG541" t="s">
        <v>74</v>
      </c>
      <c r="BH541" t="s">
        <v>74</v>
      </c>
      <c r="BI541">
        <v>7</v>
      </c>
      <c r="BJ541" t="s">
        <v>10682</v>
      </c>
      <c r="BK541" t="s">
        <v>101</v>
      </c>
      <c r="BL541" t="s">
        <v>10682</v>
      </c>
      <c r="BM541" t="s">
        <v>10683</v>
      </c>
      <c r="BN541">
        <v>28802203</v>
      </c>
      <c r="BO541" t="s">
        <v>2091</v>
      </c>
      <c r="BP541" t="s">
        <v>74</v>
      </c>
      <c r="BQ541" t="s">
        <v>74</v>
      </c>
      <c r="BR541" t="s">
        <v>105</v>
      </c>
      <c r="BS541" t="s">
        <v>10684</v>
      </c>
      <c r="BT541" t="str">
        <f>HYPERLINK("https%3A%2F%2Fwww.webofscience.com%2Fwos%2Fwoscc%2Ffull-record%2FWOS:000412866000011","View Full Record in Web of Science")</f>
        <v>View Full Record in Web of Science</v>
      </c>
    </row>
    <row r="542" spans="1:72" x14ac:dyDescent="0.15">
      <c r="A542" t="s">
        <v>72</v>
      </c>
      <c r="B542" t="s">
        <v>10685</v>
      </c>
      <c r="C542" t="s">
        <v>74</v>
      </c>
      <c r="D542" t="s">
        <v>74</v>
      </c>
      <c r="E542" t="s">
        <v>74</v>
      </c>
      <c r="F542" t="s">
        <v>10686</v>
      </c>
      <c r="G542" t="s">
        <v>74</v>
      </c>
      <c r="H542" t="s">
        <v>74</v>
      </c>
      <c r="I542" t="s">
        <v>10687</v>
      </c>
      <c r="J542" t="s">
        <v>1221</v>
      </c>
      <c r="K542" t="s">
        <v>74</v>
      </c>
      <c r="L542" t="s">
        <v>74</v>
      </c>
      <c r="M542" t="s">
        <v>78</v>
      </c>
      <c r="N542" t="s">
        <v>79</v>
      </c>
      <c r="O542" t="s">
        <v>74</v>
      </c>
      <c r="P542" t="s">
        <v>74</v>
      </c>
      <c r="Q542" t="s">
        <v>74</v>
      </c>
      <c r="R542" t="s">
        <v>74</v>
      </c>
      <c r="S542" t="s">
        <v>74</v>
      </c>
      <c r="T542" t="s">
        <v>10688</v>
      </c>
      <c r="U542" t="s">
        <v>10689</v>
      </c>
      <c r="V542" t="s">
        <v>10690</v>
      </c>
      <c r="W542" t="s">
        <v>10691</v>
      </c>
      <c r="X542" t="s">
        <v>10692</v>
      </c>
      <c r="Y542" t="s">
        <v>10693</v>
      </c>
      <c r="Z542" t="s">
        <v>10694</v>
      </c>
      <c r="AA542" t="s">
        <v>10695</v>
      </c>
      <c r="AB542" t="s">
        <v>10696</v>
      </c>
      <c r="AC542" t="s">
        <v>10697</v>
      </c>
      <c r="AD542" t="s">
        <v>10698</v>
      </c>
      <c r="AE542" t="s">
        <v>10699</v>
      </c>
      <c r="AF542" t="s">
        <v>74</v>
      </c>
      <c r="AG542">
        <v>41</v>
      </c>
      <c r="AH542">
        <v>37</v>
      </c>
      <c r="AI542">
        <v>39</v>
      </c>
      <c r="AJ542">
        <v>0</v>
      </c>
      <c r="AK542">
        <v>7</v>
      </c>
      <c r="AL542" t="s">
        <v>91</v>
      </c>
      <c r="AM542" t="s">
        <v>92</v>
      </c>
      <c r="AN542" t="s">
        <v>93</v>
      </c>
      <c r="AO542" t="s">
        <v>1233</v>
      </c>
      <c r="AP542" t="s">
        <v>1234</v>
      </c>
      <c r="AQ542" t="s">
        <v>74</v>
      </c>
      <c r="AR542" t="s">
        <v>1235</v>
      </c>
      <c r="AS542" t="s">
        <v>1236</v>
      </c>
      <c r="AT542" t="s">
        <v>10370</v>
      </c>
      <c r="AU542">
        <v>2017</v>
      </c>
      <c r="AV542">
        <v>122</v>
      </c>
      <c r="AW542">
        <v>8</v>
      </c>
      <c r="AX542" t="s">
        <v>74</v>
      </c>
      <c r="AY542" t="s">
        <v>74</v>
      </c>
      <c r="AZ542" t="s">
        <v>74</v>
      </c>
      <c r="BA542" t="s">
        <v>74</v>
      </c>
      <c r="BB542">
        <v>8096</v>
      </c>
      <c r="BC542">
        <v>8107</v>
      </c>
      <c r="BD542" t="s">
        <v>74</v>
      </c>
      <c r="BE542" t="s">
        <v>10700</v>
      </c>
      <c r="BF542" t="str">
        <f>HYPERLINK("http://dx.doi.org/10.1002/2017JA024067","http://dx.doi.org/10.1002/2017JA024067")</f>
        <v>http://dx.doi.org/10.1002/2017JA024067</v>
      </c>
      <c r="BG542" t="s">
        <v>74</v>
      </c>
      <c r="BH542" t="s">
        <v>74</v>
      </c>
      <c r="BI542">
        <v>12</v>
      </c>
      <c r="BJ542" t="s">
        <v>349</v>
      </c>
      <c r="BK542" t="s">
        <v>101</v>
      </c>
      <c r="BL542" t="s">
        <v>349</v>
      </c>
      <c r="BM542" t="s">
        <v>10701</v>
      </c>
      <c r="BN542" t="s">
        <v>74</v>
      </c>
      <c r="BO542" t="s">
        <v>1240</v>
      </c>
      <c r="BP542" t="s">
        <v>74</v>
      </c>
      <c r="BQ542" t="s">
        <v>74</v>
      </c>
      <c r="BR542" t="s">
        <v>105</v>
      </c>
      <c r="BS542" t="s">
        <v>10702</v>
      </c>
      <c r="BT542" t="str">
        <f>HYPERLINK("https%3A%2F%2Fwww.webofscience.com%2Fwos%2Fwoscc%2Ffull-record%2FWOS:000411788800018","View Full Record in Web of Science")</f>
        <v>View Full Record in Web of Science</v>
      </c>
    </row>
    <row r="543" spans="1:72" x14ac:dyDescent="0.15">
      <c r="A543" t="s">
        <v>72</v>
      </c>
      <c r="B543" t="s">
        <v>10703</v>
      </c>
      <c r="C543" t="s">
        <v>74</v>
      </c>
      <c r="D543" t="s">
        <v>74</v>
      </c>
      <c r="E543" t="s">
        <v>74</v>
      </c>
      <c r="F543" t="s">
        <v>10704</v>
      </c>
      <c r="G543" t="s">
        <v>74</v>
      </c>
      <c r="H543" t="s">
        <v>74</v>
      </c>
      <c r="I543" t="s">
        <v>10705</v>
      </c>
      <c r="J543" t="s">
        <v>1221</v>
      </c>
      <c r="K543" t="s">
        <v>74</v>
      </c>
      <c r="L543" t="s">
        <v>74</v>
      </c>
      <c r="M543" t="s">
        <v>78</v>
      </c>
      <c r="N543" t="s">
        <v>79</v>
      </c>
      <c r="O543" t="s">
        <v>74</v>
      </c>
      <c r="P543" t="s">
        <v>74</v>
      </c>
      <c r="Q543" t="s">
        <v>74</v>
      </c>
      <c r="R543" t="s">
        <v>74</v>
      </c>
      <c r="S543" t="s">
        <v>74</v>
      </c>
      <c r="T543" t="s">
        <v>10706</v>
      </c>
      <c r="U543" t="s">
        <v>10707</v>
      </c>
      <c r="V543" t="s">
        <v>10708</v>
      </c>
      <c r="W543" t="s">
        <v>10709</v>
      </c>
      <c r="X543" t="s">
        <v>10710</v>
      </c>
      <c r="Y543" t="s">
        <v>10711</v>
      </c>
      <c r="Z543" t="s">
        <v>10712</v>
      </c>
      <c r="AA543" t="s">
        <v>10713</v>
      </c>
      <c r="AB543" t="s">
        <v>10714</v>
      </c>
      <c r="AC543" t="s">
        <v>10715</v>
      </c>
      <c r="AD543" t="s">
        <v>10716</v>
      </c>
      <c r="AE543" t="s">
        <v>10717</v>
      </c>
      <c r="AF543" t="s">
        <v>74</v>
      </c>
      <c r="AG543">
        <v>70</v>
      </c>
      <c r="AH543">
        <v>18</v>
      </c>
      <c r="AI543">
        <v>18</v>
      </c>
      <c r="AJ543">
        <v>1</v>
      </c>
      <c r="AK543">
        <v>10</v>
      </c>
      <c r="AL543" t="s">
        <v>91</v>
      </c>
      <c r="AM543" t="s">
        <v>92</v>
      </c>
      <c r="AN543" t="s">
        <v>93</v>
      </c>
      <c r="AO543" t="s">
        <v>1233</v>
      </c>
      <c r="AP543" t="s">
        <v>1234</v>
      </c>
      <c r="AQ543" t="s">
        <v>74</v>
      </c>
      <c r="AR543" t="s">
        <v>1235</v>
      </c>
      <c r="AS543" t="s">
        <v>1236</v>
      </c>
      <c r="AT543" t="s">
        <v>10370</v>
      </c>
      <c r="AU543">
        <v>2017</v>
      </c>
      <c r="AV543">
        <v>122</v>
      </c>
      <c r="AW543">
        <v>8</v>
      </c>
      <c r="AX543" t="s">
        <v>74</v>
      </c>
      <c r="AY543" t="s">
        <v>74</v>
      </c>
      <c r="AZ543" t="s">
        <v>74</v>
      </c>
      <c r="BA543" t="s">
        <v>74</v>
      </c>
      <c r="BB543">
        <v>8108</v>
      </c>
      <c r="BC543">
        <v>8123</v>
      </c>
      <c r="BD543" t="s">
        <v>74</v>
      </c>
      <c r="BE543" t="s">
        <v>10718</v>
      </c>
      <c r="BF543" t="str">
        <f>HYPERLINK("http://dx.doi.org/10.1002/2017JA024084","http://dx.doi.org/10.1002/2017JA024084")</f>
        <v>http://dx.doi.org/10.1002/2017JA024084</v>
      </c>
      <c r="BG543" t="s">
        <v>74</v>
      </c>
      <c r="BH543" t="s">
        <v>74</v>
      </c>
      <c r="BI543">
        <v>16</v>
      </c>
      <c r="BJ543" t="s">
        <v>349</v>
      </c>
      <c r="BK543" t="s">
        <v>101</v>
      </c>
      <c r="BL543" t="s">
        <v>349</v>
      </c>
      <c r="BM543" t="s">
        <v>10701</v>
      </c>
      <c r="BN543" t="s">
        <v>74</v>
      </c>
      <c r="BO543" t="s">
        <v>1240</v>
      </c>
      <c r="BP543" t="s">
        <v>74</v>
      </c>
      <c r="BQ543" t="s">
        <v>74</v>
      </c>
      <c r="BR543" t="s">
        <v>105</v>
      </c>
      <c r="BS543" t="s">
        <v>10719</v>
      </c>
      <c r="BT543" t="str">
        <f>HYPERLINK("https%3A%2F%2Fwww.webofscience.com%2Fwos%2Fwoscc%2Ffull-record%2FWOS:000411788800019","View Full Record in Web of Science")</f>
        <v>View Full Record in Web of Science</v>
      </c>
    </row>
    <row r="544" spans="1:72" x14ac:dyDescent="0.15">
      <c r="A544" t="s">
        <v>72</v>
      </c>
      <c r="B544" t="s">
        <v>10720</v>
      </c>
      <c r="C544" t="s">
        <v>74</v>
      </c>
      <c r="D544" t="s">
        <v>74</v>
      </c>
      <c r="E544" t="s">
        <v>74</v>
      </c>
      <c r="F544" t="s">
        <v>10721</v>
      </c>
      <c r="G544" t="s">
        <v>74</v>
      </c>
      <c r="H544" t="s">
        <v>74</v>
      </c>
      <c r="I544" t="s">
        <v>10722</v>
      </c>
      <c r="J544" t="s">
        <v>1221</v>
      </c>
      <c r="K544" t="s">
        <v>74</v>
      </c>
      <c r="L544" t="s">
        <v>74</v>
      </c>
      <c r="M544" t="s">
        <v>78</v>
      </c>
      <c r="N544" t="s">
        <v>79</v>
      </c>
      <c r="O544" t="s">
        <v>74</v>
      </c>
      <c r="P544" t="s">
        <v>74</v>
      </c>
      <c r="Q544" t="s">
        <v>74</v>
      </c>
      <c r="R544" t="s">
        <v>74</v>
      </c>
      <c r="S544" t="s">
        <v>74</v>
      </c>
      <c r="T544" t="s">
        <v>10723</v>
      </c>
      <c r="U544" t="s">
        <v>5744</v>
      </c>
      <c r="V544" t="s">
        <v>10724</v>
      </c>
      <c r="W544" t="s">
        <v>10725</v>
      </c>
      <c r="X544" t="s">
        <v>10726</v>
      </c>
      <c r="Y544" t="s">
        <v>10727</v>
      </c>
      <c r="Z544" t="s">
        <v>10728</v>
      </c>
      <c r="AA544" t="s">
        <v>10729</v>
      </c>
      <c r="AB544" t="s">
        <v>10730</v>
      </c>
      <c r="AC544" t="s">
        <v>10731</v>
      </c>
      <c r="AD544" t="s">
        <v>4631</v>
      </c>
      <c r="AE544" t="s">
        <v>74</v>
      </c>
      <c r="AF544" t="s">
        <v>74</v>
      </c>
      <c r="AG544">
        <v>25</v>
      </c>
      <c r="AH544">
        <v>20</v>
      </c>
      <c r="AI544">
        <v>21</v>
      </c>
      <c r="AJ544">
        <v>0</v>
      </c>
      <c r="AK544">
        <v>7</v>
      </c>
      <c r="AL544" t="s">
        <v>91</v>
      </c>
      <c r="AM544" t="s">
        <v>92</v>
      </c>
      <c r="AN544" t="s">
        <v>93</v>
      </c>
      <c r="AO544" t="s">
        <v>1233</v>
      </c>
      <c r="AP544" t="s">
        <v>1234</v>
      </c>
      <c r="AQ544" t="s">
        <v>74</v>
      </c>
      <c r="AR544" t="s">
        <v>1235</v>
      </c>
      <c r="AS544" t="s">
        <v>1236</v>
      </c>
      <c r="AT544" t="s">
        <v>10370</v>
      </c>
      <c r="AU544">
        <v>2017</v>
      </c>
      <c r="AV544">
        <v>122</v>
      </c>
      <c r="AW544">
        <v>8</v>
      </c>
      <c r="AX544" t="s">
        <v>74</v>
      </c>
      <c r="AY544" t="s">
        <v>74</v>
      </c>
      <c r="AZ544" t="s">
        <v>74</v>
      </c>
      <c r="BA544" t="s">
        <v>74</v>
      </c>
      <c r="BB544">
        <v>8933</v>
      </c>
      <c r="BC544">
        <v>8946</v>
      </c>
      <c r="BD544" t="s">
        <v>74</v>
      </c>
      <c r="BE544" t="s">
        <v>10732</v>
      </c>
      <c r="BF544" t="str">
        <f>HYPERLINK("http://dx.doi.org/10.1002/2017JA024455","http://dx.doi.org/10.1002/2017JA024455")</f>
        <v>http://dx.doi.org/10.1002/2017JA024455</v>
      </c>
      <c r="BG544" t="s">
        <v>74</v>
      </c>
      <c r="BH544" t="s">
        <v>74</v>
      </c>
      <c r="BI544">
        <v>14</v>
      </c>
      <c r="BJ544" t="s">
        <v>349</v>
      </c>
      <c r="BK544" t="s">
        <v>101</v>
      </c>
      <c r="BL544" t="s">
        <v>349</v>
      </c>
      <c r="BM544" t="s">
        <v>10701</v>
      </c>
      <c r="BN544" t="s">
        <v>74</v>
      </c>
      <c r="BO544" t="s">
        <v>1240</v>
      </c>
      <c r="BP544" t="s">
        <v>74</v>
      </c>
      <c r="BQ544" t="s">
        <v>74</v>
      </c>
      <c r="BR544" t="s">
        <v>105</v>
      </c>
      <c r="BS544" t="s">
        <v>10733</v>
      </c>
      <c r="BT544" t="str">
        <f>HYPERLINK("https%3A%2F%2Fwww.webofscience.com%2Fwos%2Fwoscc%2Ffull-record%2FWOS:000411788800072","View Full Record in Web of Science")</f>
        <v>View Full Record in Web of Science</v>
      </c>
    </row>
    <row r="545" spans="1:72" x14ac:dyDescent="0.15">
      <c r="A545" t="s">
        <v>72</v>
      </c>
      <c r="B545" t="s">
        <v>10734</v>
      </c>
      <c r="C545" t="s">
        <v>74</v>
      </c>
      <c r="D545" t="s">
        <v>74</v>
      </c>
      <c r="E545" t="s">
        <v>74</v>
      </c>
      <c r="F545" t="s">
        <v>10735</v>
      </c>
      <c r="G545" t="s">
        <v>74</v>
      </c>
      <c r="H545" t="s">
        <v>74</v>
      </c>
      <c r="I545" t="s">
        <v>10736</v>
      </c>
      <c r="J545" t="s">
        <v>1221</v>
      </c>
      <c r="K545" t="s">
        <v>74</v>
      </c>
      <c r="L545" t="s">
        <v>74</v>
      </c>
      <c r="M545" t="s">
        <v>78</v>
      </c>
      <c r="N545" t="s">
        <v>5155</v>
      </c>
      <c r="O545" t="s">
        <v>74</v>
      </c>
      <c r="P545" t="s">
        <v>74</v>
      </c>
      <c r="Q545" t="s">
        <v>74</v>
      </c>
      <c r="R545" t="s">
        <v>74</v>
      </c>
      <c r="S545" t="s">
        <v>74</v>
      </c>
      <c r="T545" t="s">
        <v>10737</v>
      </c>
      <c r="U545" t="s">
        <v>10738</v>
      </c>
      <c r="V545" t="s">
        <v>10739</v>
      </c>
      <c r="W545" t="s">
        <v>10740</v>
      </c>
      <c r="X545" t="s">
        <v>9336</v>
      </c>
      <c r="Y545" t="s">
        <v>9337</v>
      </c>
      <c r="Z545" t="s">
        <v>9338</v>
      </c>
      <c r="AA545" t="s">
        <v>10741</v>
      </c>
      <c r="AB545" t="s">
        <v>10742</v>
      </c>
      <c r="AC545" t="s">
        <v>10743</v>
      </c>
      <c r="AD545" t="s">
        <v>10744</v>
      </c>
      <c r="AE545" t="s">
        <v>10745</v>
      </c>
      <c r="AF545" t="s">
        <v>74</v>
      </c>
      <c r="AG545">
        <v>43</v>
      </c>
      <c r="AH545">
        <v>21</v>
      </c>
      <c r="AI545">
        <v>23</v>
      </c>
      <c r="AJ545">
        <v>1</v>
      </c>
      <c r="AK545">
        <v>41</v>
      </c>
      <c r="AL545" t="s">
        <v>91</v>
      </c>
      <c r="AM545" t="s">
        <v>92</v>
      </c>
      <c r="AN545" t="s">
        <v>93</v>
      </c>
      <c r="AO545" t="s">
        <v>1233</v>
      </c>
      <c r="AP545" t="s">
        <v>1234</v>
      </c>
      <c r="AQ545" t="s">
        <v>74</v>
      </c>
      <c r="AR545" t="s">
        <v>1235</v>
      </c>
      <c r="AS545" t="s">
        <v>1236</v>
      </c>
      <c r="AT545" t="s">
        <v>10370</v>
      </c>
      <c r="AU545">
        <v>2017</v>
      </c>
      <c r="AV545">
        <v>122</v>
      </c>
      <c r="AW545">
        <v>8</v>
      </c>
      <c r="AX545" t="s">
        <v>74</v>
      </c>
      <c r="AY545" t="s">
        <v>74</v>
      </c>
      <c r="AZ545" t="s">
        <v>74</v>
      </c>
      <c r="BA545" t="s">
        <v>74</v>
      </c>
      <c r="BB545">
        <v>9080</v>
      </c>
      <c r="BC545">
        <v>9088</v>
      </c>
      <c r="BD545" t="s">
        <v>74</v>
      </c>
      <c r="BE545" t="s">
        <v>10746</v>
      </c>
      <c r="BF545" t="str">
        <f>HYPERLINK("http://dx.doi.org/10.1002/2017JA024446","http://dx.doi.org/10.1002/2017JA024446")</f>
        <v>http://dx.doi.org/10.1002/2017JA024446</v>
      </c>
      <c r="BG545" t="s">
        <v>74</v>
      </c>
      <c r="BH545" t="s">
        <v>74</v>
      </c>
      <c r="BI545">
        <v>9</v>
      </c>
      <c r="BJ545" t="s">
        <v>349</v>
      </c>
      <c r="BK545" t="s">
        <v>101</v>
      </c>
      <c r="BL545" t="s">
        <v>349</v>
      </c>
      <c r="BM545" t="s">
        <v>10701</v>
      </c>
      <c r="BN545" t="s">
        <v>74</v>
      </c>
      <c r="BO545" t="s">
        <v>74</v>
      </c>
      <c r="BP545" t="s">
        <v>74</v>
      </c>
      <c r="BQ545" t="s">
        <v>74</v>
      </c>
      <c r="BR545" t="s">
        <v>105</v>
      </c>
      <c r="BS545" t="s">
        <v>10747</v>
      </c>
      <c r="BT545" t="str">
        <f>HYPERLINK("https%3A%2F%2Fwww.webofscience.com%2Fwos%2Fwoscc%2Ffull-record%2FWOS:000411788800083","View Full Record in Web of Science")</f>
        <v>View Full Record in Web of Science</v>
      </c>
    </row>
    <row r="546" spans="1:72" x14ac:dyDescent="0.15">
      <c r="A546" t="s">
        <v>72</v>
      </c>
      <c r="B546" t="s">
        <v>10748</v>
      </c>
      <c r="C546" t="s">
        <v>74</v>
      </c>
      <c r="D546" t="s">
        <v>74</v>
      </c>
      <c r="E546" t="s">
        <v>74</v>
      </c>
      <c r="F546" t="s">
        <v>10749</v>
      </c>
      <c r="G546" t="s">
        <v>74</v>
      </c>
      <c r="H546" t="s">
        <v>74</v>
      </c>
      <c r="I546" t="s">
        <v>10750</v>
      </c>
      <c r="J546" t="s">
        <v>10751</v>
      </c>
      <c r="K546" t="s">
        <v>74</v>
      </c>
      <c r="L546" t="s">
        <v>74</v>
      </c>
      <c r="M546" t="s">
        <v>78</v>
      </c>
      <c r="N546" t="s">
        <v>52</v>
      </c>
      <c r="O546" t="s">
        <v>74</v>
      </c>
      <c r="P546" t="s">
        <v>74</v>
      </c>
      <c r="Q546" t="s">
        <v>74</v>
      </c>
      <c r="R546" t="s">
        <v>74</v>
      </c>
      <c r="S546" t="s">
        <v>74</v>
      </c>
      <c r="T546" t="s">
        <v>74</v>
      </c>
      <c r="U546" t="s">
        <v>74</v>
      </c>
      <c r="V546" t="s">
        <v>74</v>
      </c>
      <c r="W546" t="s">
        <v>10752</v>
      </c>
      <c r="X546" t="s">
        <v>10753</v>
      </c>
      <c r="Y546" t="s">
        <v>74</v>
      </c>
      <c r="Z546" t="s">
        <v>10754</v>
      </c>
      <c r="AA546" t="s">
        <v>10755</v>
      </c>
      <c r="AB546" t="s">
        <v>10756</v>
      </c>
      <c r="AC546" t="s">
        <v>74</v>
      </c>
      <c r="AD546" t="s">
        <v>74</v>
      </c>
      <c r="AE546" t="s">
        <v>74</v>
      </c>
      <c r="AF546" t="s">
        <v>74</v>
      </c>
      <c r="AG546">
        <v>0</v>
      </c>
      <c r="AH546">
        <v>0</v>
      </c>
      <c r="AI546">
        <v>0</v>
      </c>
      <c r="AJ546">
        <v>0</v>
      </c>
      <c r="AK546">
        <v>2</v>
      </c>
      <c r="AL546" t="s">
        <v>10757</v>
      </c>
      <c r="AM546" t="s">
        <v>2796</v>
      </c>
      <c r="AN546" t="s">
        <v>10758</v>
      </c>
      <c r="AO546" t="s">
        <v>10759</v>
      </c>
      <c r="AP546" t="s">
        <v>74</v>
      </c>
      <c r="AQ546" t="s">
        <v>74</v>
      </c>
      <c r="AR546" t="s">
        <v>10751</v>
      </c>
      <c r="AS546" t="s">
        <v>10760</v>
      </c>
      <c r="AT546" t="s">
        <v>10370</v>
      </c>
      <c r="AU546">
        <v>2017</v>
      </c>
      <c r="AV546">
        <v>56</v>
      </c>
      <c r="AW546">
        <v>4</v>
      </c>
      <c r="AX546" t="s">
        <v>74</v>
      </c>
      <c r="AY546" t="s">
        <v>10761</v>
      </c>
      <c r="AZ546" t="s">
        <v>74</v>
      </c>
      <c r="BA546">
        <v>42</v>
      </c>
      <c r="BB546">
        <v>22</v>
      </c>
      <c r="BC546">
        <v>23</v>
      </c>
      <c r="BD546" t="s">
        <v>74</v>
      </c>
      <c r="BE546" t="s">
        <v>74</v>
      </c>
      <c r="BF546" t="s">
        <v>74</v>
      </c>
      <c r="BG546" t="s">
        <v>74</v>
      </c>
      <c r="BH546" t="s">
        <v>74</v>
      </c>
      <c r="BI546">
        <v>2</v>
      </c>
      <c r="BJ546" t="s">
        <v>10762</v>
      </c>
      <c r="BK546" t="s">
        <v>101</v>
      </c>
      <c r="BL546" t="s">
        <v>10762</v>
      </c>
      <c r="BM546" t="s">
        <v>10763</v>
      </c>
      <c r="BN546" t="s">
        <v>74</v>
      </c>
      <c r="BO546" t="s">
        <v>74</v>
      </c>
      <c r="BP546" t="s">
        <v>74</v>
      </c>
      <c r="BQ546" t="s">
        <v>74</v>
      </c>
      <c r="BR546" t="s">
        <v>105</v>
      </c>
      <c r="BS546" t="s">
        <v>10764</v>
      </c>
      <c r="BT546" t="str">
        <f>HYPERLINK("https%3A%2F%2Fwww.webofscience.com%2Fwos%2Fwoscc%2Ffull-record%2FWOS:000412892000043","View Full Record in Web of Science")</f>
        <v>View Full Record in Web of Science</v>
      </c>
    </row>
    <row r="547" spans="1:72" x14ac:dyDescent="0.15">
      <c r="A547" t="s">
        <v>72</v>
      </c>
      <c r="B547" t="s">
        <v>10765</v>
      </c>
      <c r="C547" t="s">
        <v>74</v>
      </c>
      <c r="D547" t="s">
        <v>74</v>
      </c>
      <c r="E547" t="s">
        <v>74</v>
      </c>
      <c r="F547" t="s">
        <v>10766</v>
      </c>
      <c r="G547" t="s">
        <v>74</v>
      </c>
      <c r="H547" t="s">
        <v>74</v>
      </c>
      <c r="I547" t="s">
        <v>10767</v>
      </c>
      <c r="J547" t="s">
        <v>10751</v>
      </c>
      <c r="K547" t="s">
        <v>74</v>
      </c>
      <c r="L547" t="s">
        <v>74</v>
      </c>
      <c r="M547" t="s">
        <v>78</v>
      </c>
      <c r="N547" t="s">
        <v>52</v>
      </c>
      <c r="O547" t="s">
        <v>74</v>
      </c>
      <c r="P547" t="s">
        <v>74</v>
      </c>
      <c r="Q547" t="s">
        <v>74</v>
      </c>
      <c r="R547" t="s">
        <v>74</v>
      </c>
      <c r="S547" t="s">
        <v>74</v>
      </c>
      <c r="T547" t="s">
        <v>74</v>
      </c>
      <c r="U547" t="s">
        <v>74</v>
      </c>
      <c r="V547" t="s">
        <v>74</v>
      </c>
      <c r="W547" t="s">
        <v>10768</v>
      </c>
      <c r="X547" t="s">
        <v>7714</v>
      </c>
      <c r="Y547" t="s">
        <v>74</v>
      </c>
      <c r="Z547" t="s">
        <v>10769</v>
      </c>
      <c r="AA547" t="s">
        <v>10770</v>
      </c>
      <c r="AB547" t="s">
        <v>74</v>
      </c>
      <c r="AC547" t="s">
        <v>74</v>
      </c>
      <c r="AD547" t="s">
        <v>74</v>
      </c>
      <c r="AE547" t="s">
        <v>74</v>
      </c>
      <c r="AF547" t="s">
        <v>74</v>
      </c>
      <c r="AG547">
        <v>0</v>
      </c>
      <c r="AH547">
        <v>0</v>
      </c>
      <c r="AI547">
        <v>0</v>
      </c>
      <c r="AJ547">
        <v>0</v>
      </c>
      <c r="AK547">
        <v>7</v>
      </c>
      <c r="AL547" t="s">
        <v>10757</v>
      </c>
      <c r="AM547" t="s">
        <v>2796</v>
      </c>
      <c r="AN547" t="s">
        <v>10758</v>
      </c>
      <c r="AO547" t="s">
        <v>10759</v>
      </c>
      <c r="AP547" t="s">
        <v>74</v>
      </c>
      <c r="AQ547" t="s">
        <v>74</v>
      </c>
      <c r="AR547" t="s">
        <v>10751</v>
      </c>
      <c r="AS547" t="s">
        <v>10760</v>
      </c>
      <c r="AT547" t="s">
        <v>10370</v>
      </c>
      <c r="AU547">
        <v>2017</v>
      </c>
      <c r="AV547">
        <v>56</v>
      </c>
      <c r="AW547">
        <v>4</v>
      </c>
      <c r="AX547" t="s">
        <v>74</v>
      </c>
      <c r="AY547" t="s">
        <v>10761</v>
      </c>
      <c r="AZ547" t="s">
        <v>74</v>
      </c>
      <c r="BA547">
        <v>289</v>
      </c>
      <c r="BB547">
        <v>137</v>
      </c>
      <c r="BC547">
        <v>137</v>
      </c>
      <c r="BD547" t="s">
        <v>74</v>
      </c>
      <c r="BE547" t="s">
        <v>74</v>
      </c>
      <c r="BF547" t="s">
        <v>74</v>
      </c>
      <c r="BG547" t="s">
        <v>74</v>
      </c>
      <c r="BH547" t="s">
        <v>74</v>
      </c>
      <c r="BI547">
        <v>1</v>
      </c>
      <c r="BJ547" t="s">
        <v>10762</v>
      </c>
      <c r="BK547" t="s">
        <v>101</v>
      </c>
      <c r="BL547" t="s">
        <v>10762</v>
      </c>
      <c r="BM547" t="s">
        <v>10763</v>
      </c>
      <c r="BN547" t="s">
        <v>74</v>
      </c>
      <c r="BO547" t="s">
        <v>74</v>
      </c>
      <c r="BP547" t="s">
        <v>74</v>
      </c>
      <c r="BQ547" t="s">
        <v>74</v>
      </c>
      <c r="BR547" t="s">
        <v>105</v>
      </c>
      <c r="BS547" t="s">
        <v>10771</v>
      </c>
      <c r="BT547" t="str">
        <f>HYPERLINK("https%3A%2F%2Fwww.webofscience.com%2Fwos%2Fwoscc%2Ffull-record%2FWOS:000412892000290","View Full Record in Web of Science")</f>
        <v>View Full Record in Web of Science</v>
      </c>
    </row>
    <row r="548" spans="1:72" x14ac:dyDescent="0.15">
      <c r="A548" t="s">
        <v>72</v>
      </c>
      <c r="B548" t="s">
        <v>10772</v>
      </c>
      <c r="C548" t="s">
        <v>74</v>
      </c>
      <c r="D548" t="s">
        <v>74</v>
      </c>
      <c r="E548" t="s">
        <v>74</v>
      </c>
      <c r="F548" t="s">
        <v>10773</v>
      </c>
      <c r="G548" t="s">
        <v>74</v>
      </c>
      <c r="H548" t="s">
        <v>74</v>
      </c>
      <c r="I548" t="s">
        <v>10774</v>
      </c>
      <c r="J548" t="s">
        <v>10751</v>
      </c>
      <c r="K548" t="s">
        <v>74</v>
      </c>
      <c r="L548" t="s">
        <v>74</v>
      </c>
      <c r="M548" t="s">
        <v>78</v>
      </c>
      <c r="N548" t="s">
        <v>52</v>
      </c>
      <c r="O548" t="s">
        <v>74</v>
      </c>
      <c r="P548" t="s">
        <v>74</v>
      </c>
      <c r="Q548" t="s">
        <v>74</v>
      </c>
      <c r="R548" t="s">
        <v>74</v>
      </c>
      <c r="S548" t="s">
        <v>74</v>
      </c>
      <c r="T548" t="s">
        <v>74</v>
      </c>
      <c r="U548" t="s">
        <v>74</v>
      </c>
      <c r="V548" t="s">
        <v>74</v>
      </c>
      <c r="W548" t="s">
        <v>10775</v>
      </c>
      <c r="X548" t="s">
        <v>10776</v>
      </c>
      <c r="Y548" t="s">
        <v>74</v>
      </c>
      <c r="Z548" t="s">
        <v>10777</v>
      </c>
      <c r="AA548" t="s">
        <v>74</v>
      </c>
      <c r="AB548" t="s">
        <v>74</v>
      </c>
      <c r="AC548" t="s">
        <v>74</v>
      </c>
      <c r="AD548" t="s">
        <v>74</v>
      </c>
      <c r="AE548" t="s">
        <v>74</v>
      </c>
      <c r="AF548" t="s">
        <v>74</v>
      </c>
      <c r="AG548">
        <v>0</v>
      </c>
      <c r="AH548">
        <v>0</v>
      </c>
      <c r="AI548">
        <v>0</v>
      </c>
      <c r="AJ548">
        <v>0</v>
      </c>
      <c r="AK548">
        <v>7</v>
      </c>
      <c r="AL548" t="s">
        <v>10757</v>
      </c>
      <c r="AM548" t="s">
        <v>2796</v>
      </c>
      <c r="AN548" t="s">
        <v>10758</v>
      </c>
      <c r="AO548" t="s">
        <v>10759</v>
      </c>
      <c r="AP548" t="s">
        <v>74</v>
      </c>
      <c r="AQ548" t="s">
        <v>74</v>
      </c>
      <c r="AR548" t="s">
        <v>10751</v>
      </c>
      <c r="AS548" t="s">
        <v>10760</v>
      </c>
      <c r="AT548" t="s">
        <v>10370</v>
      </c>
      <c r="AU548">
        <v>2017</v>
      </c>
      <c r="AV548">
        <v>56</v>
      </c>
      <c r="AW548">
        <v>4</v>
      </c>
      <c r="AX548" t="s">
        <v>74</v>
      </c>
      <c r="AY548" t="s">
        <v>10761</v>
      </c>
      <c r="AZ548" t="s">
        <v>74</v>
      </c>
      <c r="BA548">
        <v>310</v>
      </c>
      <c r="BB548">
        <v>147</v>
      </c>
      <c r="BC548">
        <v>148</v>
      </c>
      <c r="BD548" t="s">
        <v>74</v>
      </c>
      <c r="BE548" t="s">
        <v>74</v>
      </c>
      <c r="BF548" t="s">
        <v>74</v>
      </c>
      <c r="BG548" t="s">
        <v>74</v>
      </c>
      <c r="BH548" t="s">
        <v>74</v>
      </c>
      <c r="BI548">
        <v>2</v>
      </c>
      <c r="BJ548" t="s">
        <v>10762</v>
      </c>
      <c r="BK548" t="s">
        <v>101</v>
      </c>
      <c r="BL548" t="s">
        <v>10762</v>
      </c>
      <c r="BM548" t="s">
        <v>10763</v>
      </c>
      <c r="BN548" t="s">
        <v>74</v>
      </c>
      <c r="BO548" t="s">
        <v>74</v>
      </c>
      <c r="BP548" t="s">
        <v>74</v>
      </c>
      <c r="BQ548" t="s">
        <v>74</v>
      </c>
      <c r="BR548" t="s">
        <v>105</v>
      </c>
      <c r="BS548" t="s">
        <v>10778</v>
      </c>
      <c r="BT548" t="str">
        <f>HYPERLINK("https%3A%2F%2Fwww.webofscience.com%2Fwos%2Fwoscc%2Ffull-record%2FWOS:000412892000311","View Full Record in Web of Science")</f>
        <v>View Full Record in Web of Science</v>
      </c>
    </row>
    <row r="549" spans="1:72" x14ac:dyDescent="0.15">
      <c r="A549" t="s">
        <v>72</v>
      </c>
      <c r="B549" t="s">
        <v>10779</v>
      </c>
      <c r="C549" t="s">
        <v>74</v>
      </c>
      <c r="D549" t="s">
        <v>74</v>
      </c>
      <c r="E549" t="s">
        <v>74</v>
      </c>
      <c r="F549" t="s">
        <v>10780</v>
      </c>
      <c r="G549" t="s">
        <v>74</v>
      </c>
      <c r="H549" t="s">
        <v>74</v>
      </c>
      <c r="I549" t="s">
        <v>10781</v>
      </c>
      <c r="J549" t="s">
        <v>10782</v>
      </c>
      <c r="K549" t="s">
        <v>74</v>
      </c>
      <c r="L549" t="s">
        <v>74</v>
      </c>
      <c r="M549" t="s">
        <v>78</v>
      </c>
      <c r="N549" t="s">
        <v>79</v>
      </c>
      <c r="O549" t="s">
        <v>74</v>
      </c>
      <c r="P549" t="s">
        <v>74</v>
      </c>
      <c r="Q549" t="s">
        <v>74</v>
      </c>
      <c r="R549" t="s">
        <v>74</v>
      </c>
      <c r="S549" t="s">
        <v>74</v>
      </c>
      <c r="T549" t="s">
        <v>10783</v>
      </c>
      <c r="U549" t="s">
        <v>10784</v>
      </c>
      <c r="V549" t="s">
        <v>10785</v>
      </c>
      <c r="W549" t="s">
        <v>10786</v>
      </c>
      <c r="X549" t="s">
        <v>10787</v>
      </c>
      <c r="Y549" t="s">
        <v>10788</v>
      </c>
      <c r="Z549" t="s">
        <v>10789</v>
      </c>
      <c r="AA549" t="s">
        <v>10790</v>
      </c>
      <c r="AB549" t="s">
        <v>10791</v>
      </c>
      <c r="AC549" t="s">
        <v>10792</v>
      </c>
      <c r="AD549" t="s">
        <v>10793</v>
      </c>
      <c r="AE549" t="s">
        <v>10794</v>
      </c>
      <c r="AF549" t="s">
        <v>74</v>
      </c>
      <c r="AG549">
        <v>56</v>
      </c>
      <c r="AH549">
        <v>2</v>
      </c>
      <c r="AI549">
        <v>2</v>
      </c>
      <c r="AJ549">
        <v>0</v>
      </c>
      <c r="AK549">
        <v>11</v>
      </c>
      <c r="AL549" t="s">
        <v>6650</v>
      </c>
      <c r="AM549" t="s">
        <v>6651</v>
      </c>
      <c r="AN549" t="s">
        <v>6652</v>
      </c>
      <c r="AO549" t="s">
        <v>10795</v>
      </c>
      <c r="AP549" t="s">
        <v>74</v>
      </c>
      <c r="AQ549" t="s">
        <v>74</v>
      </c>
      <c r="AR549" t="s">
        <v>10782</v>
      </c>
      <c r="AS549" t="s">
        <v>2802</v>
      </c>
      <c r="AT549" t="s">
        <v>10370</v>
      </c>
      <c r="AU549">
        <v>2017</v>
      </c>
      <c r="AV549">
        <v>123</v>
      </c>
      <c r="AW549" t="s">
        <v>74</v>
      </c>
      <c r="AX549" t="s">
        <v>74</v>
      </c>
      <c r="AY549" t="s">
        <v>74</v>
      </c>
      <c r="AZ549" t="s">
        <v>74</v>
      </c>
      <c r="BA549" t="s">
        <v>74</v>
      </c>
      <c r="BB549">
        <v>37</v>
      </c>
      <c r="BC549">
        <v>45</v>
      </c>
      <c r="BD549" t="s">
        <v>74</v>
      </c>
      <c r="BE549" t="s">
        <v>10796</v>
      </c>
      <c r="BF549" t="str">
        <f>HYPERLINK("http://dx.doi.org/10.1016/j.zool.2017.05.008","http://dx.doi.org/10.1016/j.zool.2017.05.008")</f>
        <v>http://dx.doi.org/10.1016/j.zool.2017.05.008</v>
      </c>
      <c r="BG549" t="s">
        <v>74</v>
      </c>
      <c r="BH549" t="s">
        <v>74</v>
      </c>
      <c r="BI549">
        <v>9</v>
      </c>
      <c r="BJ549" t="s">
        <v>2802</v>
      </c>
      <c r="BK549" t="s">
        <v>101</v>
      </c>
      <c r="BL549" t="s">
        <v>2802</v>
      </c>
      <c r="BM549" t="s">
        <v>10797</v>
      </c>
      <c r="BN549">
        <v>28760682</v>
      </c>
      <c r="BO549" t="s">
        <v>74</v>
      </c>
      <c r="BP549" t="s">
        <v>74</v>
      </c>
      <c r="BQ549" t="s">
        <v>74</v>
      </c>
      <c r="BR549" t="s">
        <v>105</v>
      </c>
      <c r="BS549" t="s">
        <v>10798</v>
      </c>
      <c r="BT549" t="str">
        <f>HYPERLINK("https%3A%2F%2Fwww.webofscience.com%2Fwos%2Fwoscc%2Ffull-record%2FWOS:000412377800005","View Full Record in Web of Science")</f>
        <v>View Full Record in Web of Science</v>
      </c>
    </row>
    <row r="550" spans="1:72" x14ac:dyDescent="0.15">
      <c r="A550" t="s">
        <v>72</v>
      </c>
      <c r="B550" t="s">
        <v>10799</v>
      </c>
      <c r="C550" t="s">
        <v>74</v>
      </c>
      <c r="D550" t="s">
        <v>74</v>
      </c>
      <c r="E550" t="s">
        <v>74</v>
      </c>
      <c r="F550" t="s">
        <v>10800</v>
      </c>
      <c r="G550" t="s">
        <v>74</v>
      </c>
      <c r="H550" t="s">
        <v>74</v>
      </c>
      <c r="I550" t="s">
        <v>10801</v>
      </c>
      <c r="J550" t="s">
        <v>1441</v>
      </c>
      <c r="K550" t="s">
        <v>74</v>
      </c>
      <c r="L550" t="s">
        <v>74</v>
      </c>
      <c r="M550" t="s">
        <v>78</v>
      </c>
      <c r="N550" t="s">
        <v>79</v>
      </c>
      <c r="O550" t="s">
        <v>74</v>
      </c>
      <c r="P550" t="s">
        <v>74</v>
      </c>
      <c r="Q550" t="s">
        <v>74</v>
      </c>
      <c r="R550" t="s">
        <v>74</v>
      </c>
      <c r="S550" t="s">
        <v>74</v>
      </c>
      <c r="T550" t="s">
        <v>10802</v>
      </c>
      <c r="U550" t="s">
        <v>10803</v>
      </c>
      <c r="V550" t="s">
        <v>10804</v>
      </c>
      <c r="W550" t="s">
        <v>10805</v>
      </c>
      <c r="X550" t="s">
        <v>10806</v>
      </c>
      <c r="Y550" t="s">
        <v>10807</v>
      </c>
      <c r="Z550" t="s">
        <v>10808</v>
      </c>
      <c r="AA550" t="s">
        <v>10809</v>
      </c>
      <c r="AB550" t="s">
        <v>10810</v>
      </c>
      <c r="AC550" t="s">
        <v>10811</v>
      </c>
      <c r="AD550" t="s">
        <v>10812</v>
      </c>
      <c r="AE550" t="s">
        <v>10813</v>
      </c>
      <c r="AF550" t="s">
        <v>74</v>
      </c>
      <c r="AG550">
        <v>68</v>
      </c>
      <c r="AH550">
        <v>30</v>
      </c>
      <c r="AI550">
        <v>33</v>
      </c>
      <c r="AJ550">
        <v>1</v>
      </c>
      <c r="AK550">
        <v>17</v>
      </c>
      <c r="AL550" t="s">
        <v>91</v>
      </c>
      <c r="AM550" t="s">
        <v>92</v>
      </c>
      <c r="AN550" t="s">
        <v>93</v>
      </c>
      <c r="AO550" t="s">
        <v>1454</v>
      </c>
      <c r="AP550" t="s">
        <v>1455</v>
      </c>
      <c r="AQ550" t="s">
        <v>74</v>
      </c>
      <c r="AR550" t="s">
        <v>1456</v>
      </c>
      <c r="AS550" t="s">
        <v>1457</v>
      </c>
      <c r="AT550" t="s">
        <v>10370</v>
      </c>
      <c r="AU550">
        <v>2017</v>
      </c>
      <c r="AV550">
        <v>122</v>
      </c>
      <c r="AW550">
        <v>8</v>
      </c>
      <c r="AX550" t="s">
        <v>74</v>
      </c>
      <c r="AY550" t="s">
        <v>74</v>
      </c>
      <c r="AZ550" t="s">
        <v>74</v>
      </c>
      <c r="BA550" t="s">
        <v>74</v>
      </c>
      <c r="BB550">
        <v>6180</v>
      </c>
      <c r="BC550">
        <v>6195</v>
      </c>
      <c r="BD550" t="s">
        <v>74</v>
      </c>
      <c r="BE550" t="s">
        <v>10814</v>
      </c>
      <c r="BF550" t="str">
        <f>HYPERLINK("http://dx.doi.org/10.1002/2016JC012538","http://dx.doi.org/10.1002/2016JC012538")</f>
        <v>http://dx.doi.org/10.1002/2016JC012538</v>
      </c>
      <c r="BG550" t="s">
        <v>74</v>
      </c>
      <c r="BH550" t="s">
        <v>74</v>
      </c>
      <c r="BI550">
        <v>16</v>
      </c>
      <c r="BJ550" t="s">
        <v>1459</v>
      </c>
      <c r="BK550" t="s">
        <v>101</v>
      </c>
      <c r="BL550" t="s">
        <v>1459</v>
      </c>
      <c r="BM550" t="s">
        <v>10815</v>
      </c>
      <c r="BN550" t="s">
        <v>74</v>
      </c>
      <c r="BO550" t="s">
        <v>74</v>
      </c>
      <c r="BP550" t="s">
        <v>74</v>
      </c>
      <c r="BQ550" t="s">
        <v>74</v>
      </c>
      <c r="BR550" t="s">
        <v>105</v>
      </c>
      <c r="BS550" t="s">
        <v>10816</v>
      </c>
      <c r="BT550" t="str">
        <f>HYPERLINK("https%3A%2F%2Fwww.webofscience.com%2Fwos%2Fwoscc%2Ffull-record%2FWOS:000410790600008","View Full Record in Web of Science")</f>
        <v>View Full Record in Web of Science</v>
      </c>
    </row>
    <row r="551" spans="1:72" x14ac:dyDescent="0.15">
      <c r="A551" t="s">
        <v>72</v>
      </c>
      <c r="B551" t="s">
        <v>10817</v>
      </c>
      <c r="C551" t="s">
        <v>74</v>
      </c>
      <c r="D551" t="s">
        <v>74</v>
      </c>
      <c r="E551" t="s">
        <v>74</v>
      </c>
      <c r="F551" t="s">
        <v>10818</v>
      </c>
      <c r="G551" t="s">
        <v>74</v>
      </c>
      <c r="H551" t="s">
        <v>74</v>
      </c>
      <c r="I551" t="s">
        <v>10819</v>
      </c>
      <c r="J551" t="s">
        <v>1441</v>
      </c>
      <c r="K551" t="s">
        <v>74</v>
      </c>
      <c r="L551" t="s">
        <v>74</v>
      </c>
      <c r="M551" t="s">
        <v>78</v>
      </c>
      <c r="N551" t="s">
        <v>79</v>
      </c>
      <c r="O551" t="s">
        <v>74</v>
      </c>
      <c r="P551" t="s">
        <v>74</v>
      </c>
      <c r="Q551" t="s">
        <v>74</v>
      </c>
      <c r="R551" t="s">
        <v>74</v>
      </c>
      <c r="S551" t="s">
        <v>74</v>
      </c>
      <c r="T551" t="s">
        <v>10820</v>
      </c>
      <c r="U551" t="s">
        <v>10821</v>
      </c>
      <c r="V551" t="s">
        <v>10822</v>
      </c>
      <c r="W551" t="s">
        <v>10823</v>
      </c>
      <c r="X551" t="s">
        <v>10824</v>
      </c>
      <c r="Y551" t="s">
        <v>10825</v>
      </c>
      <c r="Z551" t="s">
        <v>10826</v>
      </c>
      <c r="AA551" t="s">
        <v>74</v>
      </c>
      <c r="AB551" t="s">
        <v>10827</v>
      </c>
      <c r="AC551" t="s">
        <v>10828</v>
      </c>
      <c r="AD551" t="s">
        <v>10829</v>
      </c>
      <c r="AE551" t="s">
        <v>10830</v>
      </c>
      <c r="AF551" t="s">
        <v>74</v>
      </c>
      <c r="AG551">
        <v>36</v>
      </c>
      <c r="AH551">
        <v>25</v>
      </c>
      <c r="AI551">
        <v>27</v>
      </c>
      <c r="AJ551">
        <v>1</v>
      </c>
      <c r="AK551">
        <v>14</v>
      </c>
      <c r="AL551" t="s">
        <v>91</v>
      </c>
      <c r="AM551" t="s">
        <v>92</v>
      </c>
      <c r="AN551" t="s">
        <v>93</v>
      </c>
      <c r="AO551" t="s">
        <v>1454</v>
      </c>
      <c r="AP551" t="s">
        <v>1455</v>
      </c>
      <c r="AQ551" t="s">
        <v>74</v>
      </c>
      <c r="AR551" t="s">
        <v>1456</v>
      </c>
      <c r="AS551" t="s">
        <v>1457</v>
      </c>
      <c r="AT551" t="s">
        <v>10370</v>
      </c>
      <c r="AU551">
        <v>2017</v>
      </c>
      <c r="AV551">
        <v>122</v>
      </c>
      <c r="AW551">
        <v>8</v>
      </c>
      <c r="AX551" t="s">
        <v>74</v>
      </c>
      <c r="AY551" t="s">
        <v>74</v>
      </c>
      <c r="AZ551" t="s">
        <v>74</v>
      </c>
      <c r="BA551" t="s">
        <v>74</v>
      </c>
      <c r="BB551">
        <v>6238</v>
      </c>
      <c r="BC551">
        <v>6253</v>
      </c>
      <c r="BD551" t="s">
        <v>74</v>
      </c>
      <c r="BE551" t="s">
        <v>10831</v>
      </c>
      <c r="BF551" t="str">
        <f>HYPERLINK("http://dx.doi.org/10.1002/2017JC012911","http://dx.doi.org/10.1002/2017JC012911")</f>
        <v>http://dx.doi.org/10.1002/2017JC012911</v>
      </c>
      <c r="BG551" t="s">
        <v>74</v>
      </c>
      <c r="BH551" t="s">
        <v>74</v>
      </c>
      <c r="BI551">
        <v>16</v>
      </c>
      <c r="BJ551" t="s">
        <v>1459</v>
      </c>
      <c r="BK551" t="s">
        <v>101</v>
      </c>
      <c r="BL551" t="s">
        <v>1459</v>
      </c>
      <c r="BM551" t="s">
        <v>10815</v>
      </c>
      <c r="BN551" t="s">
        <v>74</v>
      </c>
      <c r="BO551" t="s">
        <v>1240</v>
      </c>
      <c r="BP551" t="s">
        <v>74</v>
      </c>
      <c r="BQ551" t="s">
        <v>74</v>
      </c>
      <c r="BR551" t="s">
        <v>105</v>
      </c>
      <c r="BS551" t="s">
        <v>10832</v>
      </c>
      <c r="BT551" t="str">
        <f>HYPERLINK("https%3A%2F%2Fwww.webofscience.com%2Fwos%2Fwoscc%2Ffull-record%2FWOS:000410790600011","View Full Record in Web of Science")</f>
        <v>View Full Record in Web of Science</v>
      </c>
    </row>
    <row r="552" spans="1:72" x14ac:dyDescent="0.15">
      <c r="A552" t="s">
        <v>72</v>
      </c>
      <c r="B552" t="s">
        <v>10833</v>
      </c>
      <c r="C552" t="s">
        <v>74</v>
      </c>
      <c r="D552" t="s">
        <v>74</v>
      </c>
      <c r="E552" t="s">
        <v>74</v>
      </c>
      <c r="F552" t="s">
        <v>10834</v>
      </c>
      <c r="G552" t="s">
        <v>74</v>
      </c>
      <c r="H552" t="s">
        <v>74</v>
      </c>
      <c r="I552" t="s">
        <v>10835</v>
      </c>
      <c r="J552" t="s">
        <v>1441</v>
      </c>
      <c r="K552" t="s">
        <v>74</v>
      </c>
      <c r="L552" t="s">
        <v>74</v>
      </c>
      <c r="M552" t="s">
        <v>78</v>
      </c>
      <c r="N552" t="s">
        <v>79</v>
      </c>
      <c r="O552" t="s">
        <v>74</v>
      </c>
      <c r="P552" t="s">
        <v>74</v>
      </c>
      <c r="Q552" t="s">
        <v>74</v>
      </c>
      <c r="R552" t="s">
        <v>74</v>
      </c>
      <c r="S552" t="s">
        <v>74</v>
      </c>
      <c r="T552" t="s">
        <v>10836</v>
      </c>
      <c r="U552" t="s">
        <v>10837</v>
      </c>
      <c r="V552" t="s">
        <v>10838</v>
      </c>
      <c r="W552" t="s">
        <v>10839</v>
      </c>
      <c r="X552" t="s">
        <v>10840</v>
      </c>
      <c r="Y552" t="s">
        <v>10841</v>
      </c>
      <c r="Z552" t="s">
        <v>10842</v>
      </c>
      <c r="AA552" t="s">
        <v>10843</v>
      </c>
      <c r="AB552" t="s">
        <v>10844</v>
      </c>
      <c r="AC552" t="s">
        <v>10845</v>
      </c>
      <c r="AD552" t="s">
        <v>10846</v>
      </c>
      <c r="AE552" t="s">
        <v>10847</v>
      </c>
      <c r="AF552" t="s">
        <v>74</v>
      </c>
      <c r="AG552">
        <v>88</v>
      </c>
      <c r="AH552">
        <v>21</v>
      </c>
      <c r="AI552">
        <v>22</v>
      </c>
      <c r="AJ552">
        <v>1</v>
      </c>
      <c r="AK552">
        <v>27</v>
      </c>
      <c r="AL552" t="s">
        <v>91</v>
      </c>
      <c r="AM552" t="s">
        <v>92</v>
      </c>
      <c r="AN552" t="s">
        <v>93</v>
      </c>
      <c r="AO552" t="s">
        <v>1454</v>
      </c>
      <c r="AP552" t="s">
        <v>1455</v>
      </c>
      <c r="AQ552" t="s">
        <v>74</v>
      </c>
      <c r="AR552" t="s">
        <v>1456</v>
      </c>
      <c r="AS552" t="s">
        <v>1457</v>
      </c>
      <c r="AT552" t="s">
        <v>10370</v>
      </c>
      <c r="AU552">
        <v>2017</v>
      </c>
      <c r="AV552">
        <v>122</v>
      </c>
      <c r="AW552">
        <v>8</v>
      </c>
      <c r="AX552" t="s">
        <v>74</v>
      </c>
      <c r="AY552" t="s">
        <v>74</v>
      </c>
      <c r="AZ552" t="s">
        <v>74</v>
      </c>
      <c r="BA552" t="s">
        <v>74</v>
      </c>
      <c r="BB552">
        <v>6371</v>
      </c>
      <c r="BC552">
        <v>6393</v>
      </c>
      <c r="BD552" t="s">
        <v>74</v>
      </c>
      <c r="BE552" t="s">
        <v>10848</v>
      </c>
      <c r="BF552" t="str">
        <f>HYPERLINK("http://dx.doi.org/10.1002/2017JC013068","http://dx.doi.org/10.1002/2017JC013068")</f>
        <v>http://dx.doi.org/10.1002/2017JC013068</v>
      </c>
      <c r="BG552" t="s">
        <v>74</v>
      </c>
      <c r="BH552" t="s">
        <v>74</v>
      </c>
      <c r="BI552">
        <v>23</v>
      </c>
      <c r="BJ552" t="s">
        <v>1459</v>
      </c>
      <c r="BK552" t="s">
        <v>101</v>
      </c>
      <c r="BL552" t="s">
        <v>1459</v>
      </c>
      <c r="BM552" t="s">
        <v>10815</v>
      </c>
      <c r="BN552" t="s">
        <v>74</v>
      </c>
      <c r="BO552" t="s">
        <v>1170</v>
      </c>
      <c r="BP552" t="s">
        <v>74</v>
      </c>
      <c r="BQ552" t="s">
        <v>74</v>
      </c>
      <c r="BR552" t="s">
        <v>105</v>
      </c>
      <c r="BS552" t="s">
        <v>10849</v>
      </c>
      <c r="BT552" t="str">
        <f>HYPERLINK("https%3A%2F%2Fwww.webofscience.com%2Fwos%2Fwoscc%2Ffull-record%2FWOS:000410790600019","View Full Record in Web of Science")</f>
        <v>View Full Record in Web of Science</v>
      </c>
    </row>
    <row r="553" spans="1:72" x14ac:dyDescent="0.15">
      <c r="A553" t="s">
        <v>72</v>
      </c>
      <c r="B553" t="s">
        <v>10850</v>
      </c>
      <c r="C553" t="s">
        <v>74</v>
      </c>
      <c r="D553" t="s">
        <v>74</v>
      </c>
      <c r="E553" t="s">
        <v>74</v>
      </c>
      <c r="F553" t="s">
        <v>10851</v>
      </c>
      <c r="G553" t="s">
        <v>74</v>
      </c>
      <c r="H553" t="s">
        <v>74</v>
      </c>
      <c r="I553" t="s">
        <v>10852</v>
      </c>
      <c r="J553" t="s">
        <v>1441</v>
      </c>
      <c r="K553" t="s">
        <v>74</v>
      </c>
      <c r="L553" t="s">
        <v>74</v>
      </c>
      <c r="M553" t="s">
        <v>78</v>
      </c>
      <c r="N553" t="s">
        <v>79</v>
      </c>
      <c r="O553" t="s">
        <v>74</v>
      </c>
      <c r="P553" t="s">
        <v>74</v>
      </c>
      <c r="Q553" t="s">
        <v>74</v>
      </c>
      <c r="R553" t="s">
        <v>74</v>
      </c>
      <c r="S553" t="s">
        <v>74</v>
      </c>
      <c r="T553" t="s">
        <v>10853</v>
      </c>
      <c r="U553" t="s">
        <v>10854</v>
      </c>
      <c r="V553" t="s">
        <v>10855</v>
      </c>
      <c r="W553" t="s">
        <v>10856</v>
      </c>
      <c r="X553" t="s">
        <v>10857</v>
      </c>
      <c r="Y553" t="s">
        <v>10858</v>
      </c>
      <c r="Z553" t="s">
        <v>10859</v>
      </c>
      <c r="AA553" t="s">
        <v>10860</v>
      </c>
      <c r="AB553" t="s">
        <v>10861</v>
      </c>
      <c r="AC553" t="s">
        <v>10862</v>
      </c>
      <c r="AD553" t="s">
        <v>10863</v>
      </c>
      <c r="AE553" t="s">
        <v>10864</v>
      </c>
      <c r="AF553" t="s">
        <v>74</v>
      </c>
      <c r="AG553">
        <v>45</v>
      </c>
      <c r="AH553">
        <v>26</v>
      </c>
      <c r="AI553">
        <v>28</v>
      </c>
      <c r="AJ553">
        <v>0</v>
      </c>
      <c r="AK553">
        <v>8</v>
      </c>
      <c r="AL553" t="s">
        <v>91</v>
      </c>
      <c r="AM553" t="s">
        <v>92</v>
      </c>
      <c r="AN553" t="s">
        <v>93</v>
      </c>
      <c r="AO553" t="s">
        <v>1454</v>
      </c>
      <c r="AP553" t="s">
        <v>1455</v>
      </c>
      <c r="AQ553" t="s">
        <v>74</v>
      </c>
      <c r="AR553" t="s">
        <v>1456</v>
      </c>
      <c r="AS553" t="s">
        <v>1457</v>
      </c>
      <c r="AT553" t="s">
        <v>10370</v>
      </c>
      <c r="AU553">
        <v>2017</v>
      </c>
      <c r="AV553">
        <v>122</v>
      </c>
      <c r="AW553">
        <v>8</v>
      </c>
      <c r="AX553" t="s">
        <v>74</v>
      </c>
      <c r="AY553" t="s">
        <v>74</v>
      </c>
      <c r="AZ553" t="s">
        <v>74</v>
      </c>
      <c r="BA553" t="s">
        <v>74</v>
      </c>
      <c r="BB553">
        <v>6437</v>
      </c>
      <c r="BC553">
        <v>6453</v>
      </c>
      <c r="BD553" t="s">
        <v>74</v>
      </c>
      <c r="BE553" t="s">
        <v>10865</v>
      </c>
      <c r="BF553" t="str">
        <f>HYPERLINK("http://dx.doi.org/10.1002/2017JC012916","http://dx.doi.org/10.1002/2017JC012916")</f>
        <v>http://dx.doi.org/10.1002/2017JC012916</v>
      </c>
      <c r="BG553" t="s">
        <v>74</v>
      </c>
      <c r="BH553" t="s">
        <v>74</v>
      </c>
      <c r="BI553">
        <v>17</v>
      </c>
      <c r="BJ553" t="s">
        <v>1459</v>
      </c>
      <c r="BK553" t="s">
        <v>101</v>
      </c>
      <c r="BL553" t="s">
        <v>1459</v>
      </c>
      <c r="BM553" t="s">
        <v>10815</v>
      </c>
      <c r="BN553" t="s">
        <v>74</v>
      </c>
      <c r="BO553" t="s">
        <v>74</v>
      </c>
      <c r="BP553" t="s">
        <v>74</v>
      </c>
      <c r="BQ553" t="s">
        <v>74</v>
      </c>
      <c r="BR553" t="s">
        <v>105</v>
      </c>
      <c r="BS553" t="s">
        <v>10866</v>
      </c>
      <c r="BT553" t="str">
        <f>HYPERLINK("https%3A%2F%2Fwww.webofscience.com%2Fwos%2Fwoscc%2Ffull-record%2FWOS:000410790600022","View Full Record in Web of Science")</f>
        <v>View Full Record in Web of Science</v>
      </c>
    </row>
    <row r="554" spans="1:72" x14ac:dyDescent="0.15">
      <c r="A554" t="s">
        <v>72</v>
      </c>
      <c r="B554" t="s">
        <v>10867</v>
      </c>
      <c r="C554" t="s">
        <v>74</v>
      </c>
      <c r="D554" t="s">
        <v>74</v>
      </c>
      <c r="E554" t="s">
        <v>74</v>
      </c>
      <c r="F554" t="s">
        <v>10868</v>
      </c>
      <c r="G554" t="s">
        <v>74</v>
      </c>
      <c r="H554" t="s">
        <v>74</v>
      </c>
      <c r="I554" t="s">
        <v>10869</v>
      </c>
      <c r="J554" t="s">
        <v>1441</v>
      </c>
      <c r="K554" t="s">
        <v>74</v>
      </c>
      <c r="L554" t="s">
        <v>74</v>
      </c>
      <c r="M554" t="s">
        <v>78</v>
      </c>
      <c r="N554" t="s">
        <v>79</v>
      </c>
      <c r="O554" t="s">
        <v>74</v>
      </c>
      <c r="P554" t="s">
        <v>74</v>
      </c>
      <c r="Q554" t="s">
        <v>74</v>
      </c>
      <c r="R554" t="s">
        <v>74</v>
      </c>
      <c r="S554" t="s">
        <v>74</v>
      </c>
      <c r="T554" t="s">
        <v>74</v>
      </c>
      <c r="U554" t="s">
        <v>10870</v>
      </c>
      <c r="V554" t="s">
        <v>10871</v>
      </c>
      <c r="W554" t="s">
        <v>10872</v>
      </c>
      <c r="X554" t="s">
        <v>10873</v>
      </c>
      <c r="Y554" t="s">
        <v>10874</v>
      </c>
      <c r="Z554" t="s">
        <v>10875</v>
      </c>
      <c r="AA554" t="s">
        <v>10876</v>
      </c>
      <c r="AB554" t="s">
        <v>10524</v>
      </c>
      <c r="AC554" t="s">
        <v>10877</v>
      </c>
      <c r="AD554" t="s">
        <v>5783</v>
      </c>
      <c r="AE554" t="s">
        <v>10878</v>
      </c>
      <c r="AF554" t="s">
        <v>74</v>
      </c>
      <c r="AG554">
        <v>54</v>
      </c>
      <c r="AH554">
        <v>5</v>
      </c>
      <c r="AI554">
        <v>6</v>
      </c>
      <c r="AJ554">
        <v>0</v>
      </c>
      <c r="AK554">
        <v>10</v>
      </c>
      <c r="AL554" t="s">
        <v>91</v>
      </c>
      <c r="AM554" t="s">
        <v>92</v>
      </c>
      <c r="AN554" t="s">
        <v>93</v>
      </c>
      <c r="AO554" t="s">
        <v>1454</v>
      </c>
      <c r="AP554" t="s">
        <v>1455</v>
      </c>
      <c r="AQ554" t="s">
        <v>74</v>
      </c>
      <c r="AR554" t="s">
        <v>1456</v>
      </c>
      <c r="AS554" t="s">
        <v>1457</v>
      </c>
      <c r="AT554" t="s">
        <v>10370</v>
      </c>
      <c r="AU554">
        <v>2017</v>
      </c>
      <c r="AV554">
        <v>122</v>
      </c>
      <c r="AW554">
        <v>8</v>
      </c>
      <c r="AX554" t="s">
        <v>74</v>
      </c>
      <c r="AY554" t="s">
        <v>74</v>
      </c>
      <c r="AZ554" t="s">
        <v>74</v>
      </c>
      <c r="BA554" t="s">
        <v>74</v>
      </c>
      <c r="BB554">
        <v>6512</v>
      </c>
      <c r="BC554">
        <v>6532</v>
      </c>
      <c r="BD554" t="s">
        <v>74</v>
      </c>
      <c r="BE554" t="s">
        <v>10879</v>
      </c>
      <c r="BF554" t="str">
        <f>HYPERLINK("http://dx.doi.org/10.1002/2017JC013061","http://dx.doi.org/10.1002/2017JC013061")</f>
        <v>http://dx.doi.org/10.1002/2017JC013061</v>
      </c>
      <c r="BG554" t="s">
        <v>74</v>
      </c>
      <c r="BH554" t="s">
        <v>74</v>
      </c>
      <c r="BI554">
        <v>21</v>
      </c>
      <c r="BJ554" t="s">
        <v>1459</v>
      </c>
      <c r="BK554" t="s">
        <v>101</v>
      </c>
      <c r="BL554" t="s">
        <v>1459</v>
      </c>
      <c r="BM554" t="s">
        <v>10815</v>
      </c>
      <c r="BN554" t="s">
        <v>74</v>
      </c>
      <c r="BO554" t="s">
        <v>74</v>
      </c>
      <c r="BP554" t="s">
        <v>74</v>
      </c>
      <c r="BQ554" t="s">
        <v>74</v>
      </c>
      <c r="BR554" t="s">
        <v>105</v>
      </c>
      <c r="BS554" t="s">
        <v>10880</v>
      </c>
      <c r="BT554" t="str">
        <f>HYPERLINK("https%3A%2F%2Fwww.webofscience.com%2Fwos%2Fwoscc%2Ffull-record%2FWOS:000410790600027","View Full Record in Web of Science")</f>
        <v>View Full Record in Web of Science</v>
      </c>
    </row>
    <row r="555" spans="1:72" x14ac:dyDescent="0.15">
      <c r="A555" t="s">
        <v>72</v>
      </c>
      <c r="B555" t="s">
        <v>10881</v>
      </c>
      <c r="C555" t="s">
        <v>74</v>
      </c>
      <c r="D555" t="s">
        <v>74</v>
      </c>
      <c r="E555" t="s">
        <v>74</v>
      </c>
      <c r="F555" t="s">
        <v>10882</v>
      </c>
      <c r="G555" t="s">
        <v>74</v>
      </c>
      <c r="H555" t="s">
        <v>74</v>
      </c>
      <c r="I555" t="s">
        <v>10883</v>
      </c>
      <c r="J555" t="s">
        <v>1441</v>
      </c>
      <c r="K555" t="s">
        <v>74</v>
      </c>
      <c r="L555" t="s">
        <v>74</v>
      </c>
      <c r="M555" t="s">
        <v>78</v>
      </c>
      <c r="N555" t="s">
        <v>79</v>
      </c>
      <c r="O555" t="s">
        <v>74</v>
      </c>
      <c r="P555" t="s">
        <v>74</v>
      </c>
      <c r="Q555" t="s">
        <v>74</v>
      </c>
      <c r="R555" t="s">
        <v>74</v>
      </c>
      <c r="S555" t="s">
        <v>74</v>
      </c>
      <c r="T555" t="s">
        <v>74</v>
      </c>
      <c r="U555" t="s">
        <v>10884</v>
      </c>
      <c r="V555" t="s">
        <v>10885</v>
      </c>
      <c r="W555" t="s">
        <v>10886</v>
      </c>
      <c r="X555" t="s">
        <v>10887</v>
      </c>
      <c r="Y555" t="s">
        <v>10888</v>
      </c>
      <c r="Z555" t="s">
        <v>10889</v>
      </c>
      <c r="AA555" t="s">
        <v>10890</v>
      </c>
      <c r="AB555" t="s">
        <v>10891</v>
      </c>
      <c r="AC555" t="s">
        <v>10892</v>
      </c>
      <c r="AD555" t="s">
        <v>10893</v>
      </c>
      <c r="AE555" t="s">
        <v>10894</v>
      </c>
      <c r="AF555" t="s">
        <v>74</v>
      </c>
      <c r="AG555">
        <v>59</v>
      </c>
      <c r="AH555">
        <v>6</v>
      </c>
      <c r="AI555">
        <v>7</v>
      </c>
      <c r="AJ555">
        <v>0</v>
      </c>
      <c r="AK555">
        <v>16</v>
      </c>
      <c r="AL555" t="s">
        <v>91</v>
      </c>
      <c r="AM555" t="s">
        <v>92</v>
      </c>
      <c r="AN555" t="s">
        <v>93</v>
      </c>
      <c r="AO555" t="s">
        <v>1454</v>
      </c>
      <c r="AP555" t="s">
        <v>1455</v>
      </c>
      <c r="AQ555" t="s">
        <v>74</v>
      </c>
      <c r="AR555" t="s">
        <v>1456</v>
      </c>
      <c r="AS555" t="s">
        <v>1457</v>
      </c>
      <c r="AT555" t="s">
        <v>10370</v>
      </c>
      <c r="AU555">
        <v>2017</v>
      </c>
      <c r="AV555">
        <v>122</v>
      </c>
      <c r="AW555">
        <v>8</v>
      </c>
      <c r="AX555" t="s">
        <v>74</v>
      </c>
      <c r="AY555" t="s">
        <v>74</v>
      </c>
      <c r="AZ555" t="s">
        <v>74</v>
      </c>
      <c r="BA555" t="s">
        <v>74</v>
      </c>
      <c r="BB555">
        <v>6547</v>
      </c>
      <c r="BC555">
        <v>6564</v>
      </c>
      <c r="BD555" t="s">
        <v>74</v>
      </c>
      <c r="BE555" t="s">
        <v>10895</v>
      </c>
      <c r="BF555" t="str">
        <f>HYPERLINK("http://dx.doi.org/10.1002/2016JC012281","http://dx.doi.org/10.1002/2016JC012281")</f>
        <v>http://dx.doi.org/10.1002/2016JC012281</v>
      </c>
      <c r="BG555" t="s">
        <v>74</v>
      </c>
      <c r="BH555" t="s">
        <v>74</v>
      </c>
      <c r="BI555">
        <v>18</v>
      </c>
      <c r="BJ555" t="s">
        <v>1459</v>
      </c>
      <c r="BK555" t="s">
        <v>101</v>
      </c>
      <c r="BL555" t="s">
        <v>1459</v>
      </c>
      <c r="BM555" t="s">
        <v>10815</v>
      </c>
      <c r="BN555" t="s">
        <v>74</v>
      </c>
      <c r="BO555" t="s">
        <v>1170</v>
      </c>
      <c r="BP555" t="s">
        <v>74</v>
      </c>
      <c r="BQ555" t="s">
        <v>74</v>
      </c>
      <c r="BR555" t="s">
        <v>105</v>
      </c>
      <c r="BS555" t="s">
        <v>10896</v>
      </c>
      <c r="BT555" t="str">
        <f>HYPERLINK("https%3A%2F%2Fwww.webofscience.com%2Fwos%2Fwoscc%2Ffull-record%2FWOS:000410790600029","View Full Record in Web of Science")</f>
        <v>View Full Record in Web of Science</v>
      </c>
    </row>
    <row r="556" spans="1:72" x14ac:dyDescent="0.15">
      <c r="A556" t="s">
        <v>72</v>
      </c>
      <c r="B556" t="s">
        <v>10897</v>
      </c>
      <c r="C556" t="s">
        <v>74</v>
      </c>
      <c r="D556" t="s">
        <v>74</v>
      </c>
      <c r="E556" t="s">
        <v>74</v>
      </c>
      <c r="F556" t="s">
        <v>10898</v>
      </c>
      <c r="G556" t="s">
        <v>74</v>
      </c>
      <c r="H556" t="s">
        <v>74</v>
      </c>
      <c r="I556" t="s">
        <v>10899</v>
      </c>
      <c r="J556" t="s">
        <v>1441</v>
      </c>
      <c r="K556" t="s">
        <v>74</v>
      </c>
      <c r="L556" t="s">
        <v>74</v>
      </c>
      <c r="M556" t="s">
        <v>78</v>
      </c>
      <c r="N556" t="s">
        <v>79</v>
      </c>
      <c r="O556" t="s">
        <v>74</v>
      </c>
      <c r="P556" t="s">
        <v>74</v>
      </c>
      <c r="Q556" t="s">
        <v>74</v>
      </c>
      <c r="R556" t="s">
        <v>74</v>
      </c>
      <c r="S556" t="s">
        <v>74</v>
      </c>
      <c r="T556" t="s">
        <v>74</v>
      </c>
      <c r="U556" t="s">
        <v>10900</v>
      </c>
      <c r="V556" t="s">
        <v>10901</v>
      </c>
      <c r="W556" t="s">
        <v>10902</v>
      </c>
      <c r="X556" t="s">
        <v>10903</v>
      </c>
      <c r="Y556" t="s">
        <v>10904</v>
      </c>
      <c r="Z556" t="s">
        <v>10905</v>
      </c>
      <c r="AA556" t="s">
        <v>10906</v>
      </c>
      <c r="AB556" t="s">
        <v>10907</v>
      </c>
      <c r="AC556" t="s">
        <v>10908</v>
      </c>
      <c r="AD556" t="s">
        <v>10909</v>
      </c>
      <c r="AE556" t="s">
        <v>10910</v>
      </c>
      <c r="AF556" t="s">
        <v>74</v>
      </c>
      <c r="AG556">
        <v>45</v>
      </c>
      <c r="AH556">
        <v>71</v>
      </c>
      <c r="AI556">
        <v>74</v>
      </c>
      <c r="AJ556">
        <v>4</v>
      </c>
      <c r="AK556">
        <v>25</v>
      </c>
      <c r="AL556" t="s">
        <v>91</v>
      </c>
      <c r="AM556" t="s">
        <v>92</v>
      </c>
      <c r="AN556" t="s">
        <v>93</v>
      </c>
      <c r="AO556" t="s">
        <v>1454</v>
      </c>
      <c r="AP556" t="s">
        <v>1455</v>
      </c>
      <c r="AQ556" t="s">
        <v>74</v>
      </c>
      <c r="AR556" t="s">
        <v>1456</v>
      </c>
      <c r="AS556" t="s">
        <v>1457</v>
      </c>
      <c r="AT556" t="s">
        <v>10370</v>
      </c>
      <c r="AU556">
        <v>2017</v>
      </c>
      <c r="AV556">
        <v>122</v>
      </c>
      <c r="AW556">
        <v>8</v>
      </c>
      <c r="AX556" t="s">
        <v>74</v>
      </c>
      <c r="AY556" t="s">
        <v>74</v>
      </c>
      <c r="AZ556" t="s">
        <v>74</v>
      </c>
      <c r="BA556" t="s">
        <v>74</v>
      </c>
      <c r="BB556">
        <v>6583</v>
      </c>
      <c r="BC556">
        <v>6593</v>
      </c>
      <c r="BD556" t="s">
        <v>74</v>
      </c>
      <c r="BE556" t="s">
        <v>10911</v>
      </c>
      <c r="BF556" t="str">
        <f>HYPERLINK("http://dx.doi.org/10.1002/2017JC012844","http://dx.doi.org/10.1002/2017JC012844")</f>
        <v>http://dx.doi.org/10.1002/2017JC012844</v>
      </c>
      <c r="BG556" t="s">
        <v>74</v>
      </c>
      <c r="BH556" t="s">
        <v>74</v>
      </c>
      <c r="BI556">
        <v>11</v>
      </c>
      <c r="BJ556" t="s">
        <v>1459</v>
      </c>
      <c r="BK556" t="s">
        <v>101</v>
      </c>
      <c r="BL556" t="s">
        <v>1459</v>
      </c>
      <c r="BM556" t="s">
        <v>10815</v>
      </c>
      <c r="BN556" t="s">
        <v>74</v>
      </c>
      <c r="BO556" t="s">
        <v>1691</v>
      </c>
      <c r="BP556" t="s">
        <v>74</v>
      </c>
      <c r="BQ556" t="s">
        <v>74</v>
      </c>
      <c r="BR556" t="s">
        <v>105</v>
      </c>
      <c r="BS556" t="s">
        <v>10912</v>
      </c>
      <c r="BT556" t="str">
        <f>HYPERLINK("https%3A%2F%2Fwww.webofscience.com%2Fwos%2Fwoscc%2Ffull-record%2FWOS:000410790600031","View Full Record in Web of Science")</f>
        <v>View Full Record in Web of Science</v>
      </c>
    </row>
    <row r="557" spans="1:72" x14ac:dyDescent="0.15">
      <c r="A557" t="s">
        <v>72</v>
      </c>
      <c r="B557" t="s">
        <v>10913</v>
      </c>
      <c r="C557" t="s">
        <v>74</v>
      </c>
      <c r="D557" t="s">
        <v>74</v>
      </c>
      <c r="E557" t="s">
        <v>74</v>
      </c>
      <c r="F557" t="s">
        <v>10914</v>
      </c>
      <c r="G557" t="s">
        <v>74</v>
      </c>
      <c r="H557" t="s">
        <v>74</v>
      </c>
      <c r="I557" t="s">
        <v>10915</v>
      </c>
      <c r="J557" t="s">
        <v>1441</v>
      </c>
      <c r="K557" t="s">
        <v>74</v>
      </c>
      <c r="L557" t="s">
        <v>74</v>
      </c>
      <c r="M557" t="s">
        <v>78</v>
      </c>
      <c r="N557" t="s">
        <v>79</v>
      </c>
      <c r="O557" t="s">
        <v>74</v>
      </c>
      <c r="P557" t="s">
        <v>74</v>
      </c>
      <c r="Q557" t="s">
        <v>74</v>
      </c>
      <c r="R557" t="s">
        <v>74</v>
      </c>
      <c r="S557" t="s">
        <v>74</v>
      </c>
      <c r="T557" t="s">
        <v>74</v>
      </c>
      <c r="U557" t="s">
        <v>10916</v>
      </c>
      <c r="V557" t="s">
        <v>10917</v>
      </c>
      <c r="W557" t="s">
        <v>10918</v>
      </c>
      <c r="X557" t="s">
        <v>10919</v>
      </c>
      <c r="Y557" t="s">
        <v>10920</v>
      </c>
      <c r="Z557" t="s">
        <v>10921</v>
      </c>
      <c r="AA557" t="s">
        <v>10922</v>
      </c>
      <c r="AB557" t="s">
        <v>10923</v>
      </c>
      <c r="AC557" t="s">
        <v>10924</v>
      </c>
      <c r="AD557" t="s">
        <v>10925</v>
      </c>
      <c r="AE557" t="s">
        <v>10926</v>
      </c>
      <c r="AF557" t="s">
        <v>74</v>
      </c>
      <c r="AG557">
        <v>70</v>
      </c>
      <c r="AH557">
        <v>51</v>
      </c>
      <c r="AI557">
        <v>55</v>
      </c>
      <c r="AJ557">
        <v>0</v>
      </c>
      <c r="AK557">
        <v>19</v>
      </c>
      <c r="AL557" t="s">
        <v>91</v>
      </c>
      <c r="AM557" t="s">
        <v>92</v>
      </c>
      <c r="AN557" t="s">
        <v>93</v>
      </c>
      <c r="AO557" t="s">
        <v>1454</v>
      </c>
      <c r="AP557" t="s">
        <v>1455</v>
      </c>
      <c r="AQ557" t="s">
        <v>74</v>
      </c>
      <c r="AR557" t="s">
        <v>1456</v>
      </c>
      <c r="AS557" t="s">
        <v>1457</v>
      </c>
      <c r="AT557" t="s">
        <v>10370</v>
      </c>
      <c r="AU557">
        <v>2017</v>
      </c>
      <c r="AV557">
        <v>122</v>
      </c>
      <c r="AW557">
        <v>8</v>
      </c>
      <c r="AX557" t="s">
        <v>74</v>
      </c>
      <c r="AY557" t="s">
        <v>74</v>
      </c>
      <c r="AZ557" t="s">
        <v>74</v>
      </c>
      <c r="BA557" t="s">
        <v>74</v>
      </c>
      <c r="BB557">
        <v>6668</v>
      </c>
      <c r="BC557">
        <v>6683</v>
      </c>
      <c r="BD557" t="s">
        <v>74</v>
      </c>
      <c r="BE557" t="s">
        <v>10927</v>
      </c>
      <c r="BF557" t="str">
        <f>HYPERLINK("http://dx.doi.org/10.1002/2017JC012839","http://dx.doi.org/10.1002/2017JC012839")</f>
        <v>http://dx.doi.org/10.1002/2017JC012839</v>
      </c>
      <c r="BG557" t="s">
        <v>74</v>
      </c>
      <c r="BH557" t="s">
        <v>74</v>
      </c>
      <c r="BI557">
        <v>16</v>
      </c>
      <c r="BJ557" t="s">
        <v>1459</v>
      </c>
      <c r="BK557" t="s">
        <v>101</v>
      </c>
      <c r="BL557" t="s">
        <v>1459</v>
      </c>
      <c r="BM557" t="s">
        <v>10815</v>
      </c>
      <c r="BN557" t="s">
        <v>74</v>
      </c>
      <c r="BO557" t="s">
        <v>529</v>
      </c>
      <c r="BP557" t="s">
        <v>74</v>
      </c>
      <c r="BQ557" t="s">
        <v>74</v>
      </c>
      <c r="BR557" t="s">
        <v>105</v>
      </c>
      <c r="BS557" t="s">
        <v>10928</v>
      </c>
      <c r="BT557" t="str">
        <f>HYPERLINK("https%3A%2F%2Fwww.webofscience.com%2Fwos%2Fwoscc%2Ffull-record%2FWOS:000410790600036","View Full Record in Web of Science")</f>
        <v>View Full Record in Web of Science</v>
      </c>
    </row>
    <row r="558" spans="1:72" x14ac:dyDescent="0.15">
      <c r="A558" t="s">
        <v>72</v>
      </c>
      <c r="B558" t="s">
        <v>10929</v>
      </c>
      <c r="C558" t="s">
        <v>74</v>
      </c>
      <c r="D558" t="s">
        <v>74</v>
      </c>
      <c r="E558" t="s">
        <v>74</v>
      </c>
      <c r="F558" t="s">
        <v>10930</v>
      </c>
      <c r="G558" t="s">
        <v>74</v>
      </c>
      <c r="H558" t="s">
        <v>74</v>
      </c>
      <c r="I558" t="s">
        <v>10931</v>
      </c>
      <c r="J558" t="s">
        <v>1441</v>
      </c>
      <c r="K558" t="s">
        <v>74</v>
      </c>
      <c r="L558" t="s">
        <v>74</v>
      </c>
      <c r="M558" t="s">
        <v>78</v>
      </c>
      <c r="N558" t="s">
        <v>79</v>
      </c>
      <c r="O558" t="s">
        <v>74</v>
      </c>
      <c r="P558" t="s">
        <v>74</v>
      </c>
      <c r="Q558" t="s">
        <v>74</v>
      </c>
      <c r="R558" t="s">
        <v>74</v>
      </c>
      <c r="S558" t="s">
        <v>74</v>
      </c>
      <c r="T558" t="s">
        <v>74</v>
      </c>
      <c r="U558" t="s">
        <v>10932</v>
      </c>
      <c r="V558" t="s">
        <v>10933</v>
      </c>
      <c r="W558" t="s">
        <v>10934</v>
      </c>
      <c r="X558" t="s">
        <v>10935</v>
      </c>
      <c r="Y558" t="s">
        <v>10936</v>
      </c>
      <c r="Z558" t="s">
        <v>10937</v>
      </c>
      <c r="AA558" t="s">
        <v>10938</v>
      </c>
      <c r="AB558" t="s">
        <v>10939</v>
      </c>
      <c r="AC558" t="s">
        <v>10940</v>
      </c>
      <c r="AD558" t="s">
        <v>10941</v>
      </c>
      <c r="AE558" t="s">
        <v>10942</v>
      </c>
      <c r="AF558" t="s">
        <v>74</v>
      </c>
      <c r="AG558">
        <v>76</v>
      </c>
      <c r="AH558">
        <v>21</v>
      </c>
      <c r="AI558">
        <v>22</v>
      </c>
      <c r="AJ558">
        <v>2</v>
      </c>
      <c r="AK558">
        <v>27</v>
      </c>
      <c r="AL558" t="s">
        <v>91</v>
      </c>
      <c r="AM558" t="s">
        <v>92</v>
      </c>
      <c r="AN558" t="s">
        <v>93</v>
      </c>
      <c r="AO558" t="s">
        <v>1454</v>
      </c>
      <c r="AP558" t="s">
        <v>1455</v>
      </c>
      <c r="AQ558" t="s">
        <v>74</v>
      </c>
      <c r="AR558" t="s">
        <v>1456</v>
      </c>
      <c r="AS558" t="s">
        <v>1457</v>
      </c>
      <c r="AT558" t="s">
        <v>10370</v>
      </c>
      <c r="AU558">
        <v>2017</v>
      </c>
      <c r="AV558">
        <v>122</v>
      </c>
      <c r="AW558">
        <v>8</v>
      </c>
      <c r="AX558" t="s">
        <v>74</v>
      </c>
      <c r="AY558" t="s">
        <v>74</v>
      </c>
      <c r="AZ558" t="s">
        <v>74</v>
      </c>
      <c r="BA558" t="s">
        <v>74</v>
      </c>
      <c r="BB558">
        <v>6725</v>
      </c>
      <c r="BC558">
        <v>6745</v>
      </c>
      <c r="BD558" t="s">
        <v>74</v>
      </c>
      <c r="BE558" t="s">
        <v>10943</v>
      </c>
      <c r="BF558" t="str">
        <f>HYPERLINK("http://dx.doi.org/10.1002/2017JC012910","http://dx.doi.org/10.1002/2017JC012910")</f>
        <v>http://dx.doi.org/10.1002/2017JC012910</v>
      </c>
      <c r="BG558" t="s">
        <v>74</v>
      </c>
      <c r="BH558" t="s">
        <v>74</v>
      </c>
      <c r="BI558">
        <v>21</v>
      </c>
      <c r="BJ558" t="s">
        <v>1459</v>
      </c>
      <c r="BK558" t="s">
        <v>101</v>
      </c>
      <c r="BL558" t="s">
        <v>1459</v>
      </c>
      <c r="BM558" t="s">
        <v>10815</v>
      </c>
      <c r="BN558" t="s">
        <v>74</v>
      </c>
      <c r="BO558" t="s">
        <v>351</v>
      </c>
      <c r="BP558" t="s">
        <v>74</v>
      </c>
      <c r="BQ558" t="s">
        <v>74</v>
      </c>
      <c r="BR558" t="s">
        <v>105</v>
      </c>
      <c r="BS558" t="s">
        <v>10944</v>
      </c>
      <c r="BT558" t="str">
        <f>HYPERLINK("https%3A%2F%2Fwww.webofscience.com%2Fwos%2Fwoscc%2Ffull-record%2FWOS:000410790600040","View Full Record in Web of Science")</f>
        <v>View Full Record in Web of Science</v>
      </c>
    </row>
    <row r="559" spans="1:72" x14ac:dyDescent="0.15">
      <c r="A559" t="s">
        <v>72</v>
      </c>
      <c r="B559" t="s">
        <v>10945</v>
      </c>
      <c r="C559" t="s">
        <v>74</v>
      </c>
      <c r="D559" t="s">
        <v>74</v>
      </c>
      <c r="E559" t="s">
        <v>74</v>
      </c>
      <c r="F559" t="s">
        <v>10946</v>
      </c>
      <c r="G559" t="s">
        <v>74</v>
      </c>
      <c r="H559" t="s">
        <v>74</v>
      </c>
      <c r="I559" t="s">
        <v>10947</v>
      </c>
      <c r="J559" t="s">
        <v>1441</v>
      </c>
      <c r="K559" t="s">
        <v>74</v>
      </c>
      <c r="L559" t="s">
        <v>74</v>
      </c>
      <c r="M559" t="s">
        <v>78</v>
      </c>
      <c r="N559" t="s">
        <v>79</v>
      </c>
      <c r="O559" t="s">
        <v>74</v>
      </c>
      <c r="P559" t="s">
        <v>74</v>
      </c>
      <c r="Q559" t="s">
        <v>74</v>
      </c>
      <c r="R559" t="s">
        <v>74</v>
      </c>
      <c r="S559" t="s">
        <v>74</v>
      </c>
      <c r="T559" t="s">
        <v>74</v>
      </c>
      <c r="U559" t="s">
        <v>10948</v>
      </c>
      <c r="V559" t="s">
        <v>10949</v>
      </c>
      <c r="W559" t="s">
        <v>10950</v>
      </c>
      <c r="X559" t="s">
        <v>10951</v>
      </c>
      <c r="Y559" t="s">
        <v>10952</v>
      </c>
      <c r="Z559" t="s">
        <v>10953</v>
      </c>
      <c r="AA559" t="s">
        <v>74</v>
      </c>
      <c r="AB559" t="s">
        <v>10954</v>
      </c>
      <c r="AC559" t="s">
        <v>10955</v>
      </c>
      <c r="AD559" t="s">
        <v>10956</v>
      </c>
      <c r="AE559" t="s">
        <v>10957</v>
      </c>
      <c r="AF559" t="s">
        <v>74</v>
      </c>
      <c r="AG559">
        <v>48</v>
      </c>
      <c r="AH559">
        <v>23</v>
      </c>
      <c r="AI559">
        <v>26</v>
      </c>
      <c r="AJ559">
        <v>2</v>
      </c>
      <c r="AK559">
        <v>11</v>
      </c>
      <c r="AL559" t="s">
        <v>91</v>
      </c>
      <c r="AM559" t="s">
        <v>92</v>
      </c>
      <c r="AN559" t="s">
        <v>93</v>
      </c>
      <c r="AO559" t="s">
        <v>1454</v>
      </c>
      <c r="AP559" t="s">
        <v>1455</v>
      </c>
      <c r="AQ559" t="s">
        <v>74</v>
      </c>
      <c r="AR559" t="s">
        <v>1456</v>
      </c>
      <c r="AS559" t="s">
        <v>1457</v>
      </c>
      <c r="AT559" t="s">
        <v>10370</v>
      </c>
      <c r="AU559">
        <v>2017</v>
      </c>
      <c r="AV559">
        <v>122</v>
      </c>
      <c r="AW559">
        <v>8</v>
      </c>
      <c r="AX559" t="s">
        <v>74</v>
      </c>
      <c r="AY559" t="s">
        <v>74</v>
      </c>
      <c r="AZ559" t="s">
        <v>74</v>
      </c>
      <c r="BA559" t="s">
        <v>74</v>
      </c>
      <c r="BB559">
        <v>6947</v>
      </c>
      <c r="BC559">
        <v>6964</v>
      </c>
      <c r="BD559" t="s">
        <v>74</v>
      </c>
      <c r="BE559" t="s">
        <v>10958</v>
      </c>
      <c r="BF559" t="str">
        <f>HYPERLINK("http://dx.doi.org/10.1002/2017JC012837","http://dx.doi.org/10.1002/2017JC012837")</f>
        <v>http://dx.doi.org/10.1002/2017JC012837</v>
      </c>
      <c r="BG559" t="s">
        <v>74</v>
      </c>
      <c r="BH559" t="s">
        <v>74</v>
      </c>
      <c r="BI559">
        <v>18</v>
      </c>
      <c r="BJ559" t="s">
        <v>1459</v>
      </c>
      <c r="BK559" t="s">
        <v>101</v>
      </c>
      <c r="BL559" t="s">
        <v>1459</v>
      </c>
      <c r="BM559" t="s">
        <v>10815</v>
      </c>
      <c r="BN559" t="s">
        <v>74</v>
      </c>
      <c r="BO559" t="s">
        <v>10959</v>
      </c>
      <c r="BP559" t="s">
        <v>74</v>
      </c>
      <c r="BQ559" t="s">
        <v>74</v>
      </c>
      <c r="BR559" t="s">
        <v>105</v>
      </c>
      <c r="BS559" t="s">
        <v>10960</v>
      </c>
      <c r="BT559" t="str">
        <f>HYPERLINK("https%3A%2F%2Fwww.webofscience.com%2Fwos%2Fwoscc%2Ffull-record%2FWOS:000410790600052","View Full Record in Web of Science")</f>
        <v>View Full Record in Web of Science</v>
      </c>
    </row>
    <row r="560" spans="1:72" x14ac:dyDescent="0.15">
      <c r="A560" t="s">
        <v>72</v>
      </c>
      <c r="B560" t="s">
        <v>10961</v>
      </c>
      <c r="C560" t="s">
        <v>74</v>
      </c>
      <c r="D560" t="s">
        <v>74</v>
      </c>
      <c r="E560" t="s">
        <v>74</v>
      </c>
      <c r="F560" t="s">
        <v>10962</v>
      </c>
      <c r="G560" t="s">
        <v>74</v>
      </c>
      <c r="H560" t="s">
        <v>74</v>
      </c>
      <c r="I560" t="s">
        <v>10963</v>
      </c>
      <c r="J560" t="s">
        <v>8680</v>
      </c>
      <c r="K560" t="s">
        <v>74</v>
      </c>
      <c r="L560" t="s">
        <v>74</v>
      </c>
      <c r="M560" t="s">
        <v>78</v>
      </c>
      <c r="N560" t="s">
        <v>273</v>
      </c>
      <c r="O560" t="s">
        <v>74</v>
      </c>
      <c r="P560" t="s">
        <v>74</v>
      </c>
      <c r="Q560" t="s">
        <v>74</v>
      </c>
      <c r="R560" t="s">
        <v>74</v>
      </c>
      <c r="S560" t="s">
        <v>74</v>
      </c>
      <c r="T560" t="s">
        <v>10964</v>
      </c>
      <c r="U560" t="s">
        <v>10965</v>
      </c>
      <c r="V560" t="s">
        <v>10966</v>
      </c>
      <c r="W560" t="s">
        <v>10967</v>
      </c>
      <c r="X560" t="s">
        <v>10968</v>
      </c>
      <c r="Y560" t="s">
        <v>10969</v>
      </c>
      <c r="Z560" t="s">
        <v>10970</v>
      </c>
      <c r="AA560" t="s">
        <v>10971</v>
      </c>
      <c r="AB560" t="s">
        <v>10972</v>
      </c>
      <c r="AC560" t="s">
        <v>10973</v>
      </c>
      <c r="AD560" t="s">
        <v>10974</v>
      </c>
      <c r="AE560" t="s">
        <v>10975</v>
      </c>
      <c r="AF560" t="s">
        <v>74</v>
      </c>
      <c r="AG560">
        <v>92</v>
      </c>
      <c r="AH560">
        <v>25</v>
      </c>
      <c r="AI560">
        <v>26</v>
      </c>
      <c r="AJ560">
        <v>0</v>
      </c>
      <c r="AK560">
        <v>16</v>
      </c>
      <c r="AL560" t="s">
        <v>1981</v>
      </c>
      <c r="AM560" t="s">
        <v>729</v>
      </c>
      <c r="AN560" t="s">
        <v>1982</v>
      </c>
      <c r="AO560" t="s">
        <v>8693</v>
      </c>
      <c r="AP560" t="s">
        <v>10976</v>
      </c>
      <c r="AQ560" t="s">
        <v>74</v>
      </c>
      <c r="AR560" t="s">
        <v>8694</v>
      </c>
      <c r="AS560" t="s">
        <v>8695</v>
      </c>
      <c r="AT560" t="s">
        <v>10370</v>
      </c>
      <c r="AU560">
        <v>2017</v>
      </c>
      <c r="AV560">
        <v>156</v>
      </c>
      <c r="AW560" t="s">
        <v>74</v>
      </c>
      <c r="AX560" t="s">
        <v>74</v>
      </c>
      <c r="AY560" t="s">
        <v>74</v>
      </c>
      <c r="AZ560" t="s">
        <v>74</v>
      </c>
      <c r="BA560" t="s">
        <v>74</v>
      </c>
      <c r="BB560">
        <v>276</v>
      </c>
      <c r="BC560">
        <v>289</v>
      </c>
      <c r="BD560" t="s">
        <v>74</v>
      </c>
      <c r="BE560" t="s">
        <v>10977</v>
      </c>
      <c r="BF560" t="str">
        <f>HYPERLINK("http://dx.doi.org/10.1016/j.pocean.2017.06.004","http://dx.doi.org/10.1016/j.pocean.2017.06.004")</f>
        <v>http://dx.doi.org/10.1016/j.pocean.2017.06.004</v>
      </c>
      <c r="BG560" t="s">
        <v>74</v>
      </c>
      <c r="BH560" t="s">
        <v>74</v>
      </c>
      <c r="BI560">
        <v>14</v>
      </c>
      <c r="BJ560" t="s">
        <v>1459</v>
      </c>
      <c r="BK560" t="s">
        <v>101</v>
      </c>
      <c r="BL560" t="s">
        <v>1459</v>
      </c>
      <c r="BM560" t="s">
        <v>10978</v>
      </c>
      <c r="BN560" t="s">
        <v>74</v>
      </c>
      <c r="BO560" t="s">
        <v>2091</v>
      </c>
      <c r="BP560" t="s">
        <v>74</v>
      </c>
      <c r="BQ560" t="s">
        <v>74</v>
      </c>
      <c r="BR560" t="s">
        <v>105</v>
      </c>
      <c r="BS560" t="s">
        <v>10979</v>
      </c>
      <c r="BT560" t="str">
        <f>HYPERLINK("https%3A%2F%2Fwww.webofscience.com%2Fwos%2Fwoscc%2Ffull-record%2FWOS:000411770600017","View Full Record in Web of Science")</f>
        <v>View Full Record in Web of Science</v>
      </c>
    </row>
    <row r="561" spans="1:72" x14ac:dyDescent="0.15">
      <c r="A561" t="s">
        <v>72</v>
      </c>
      <c r="B561" t="s">
        <v>10980</v>
      </c>
      <c r="C561" t="s">
        <v>74</v>
      </c>
      <c r="D561" t="s">
        <v>74</v>
      </c>
      <c r="E561" t="s">
        <v>74</v>
      </c>
      <c r="F561" t="s">
        <v>10981</v>
      </c>
      <c r="G561" t="s">
        <v>74</v>
      </c>
      <c r="H561" t="s">
        <v>74</v>
      </c>
      <c r="I561" t="s">
        <v>10982</v>
      </c>
      <c r="J561" t="s">
        <v>10983</v>
      </c>
      <c r="K561" t="s">
        <v>74</v>
      </c>
      <c r="L561" t="s">
        <v>74</v>
      </c>
      <c r="M561" t="s">
        <v>78</v>
      </c>
      <c r="N561" t="s">
        <v>79</v>
      </c>
      <c r="O561" t="s">
        <v>74</v>
      </c>
      <c r="P561" t="s">
        <v>74</v>
      </c>
      <c r="Q561" t="s">
        <v>74</v>
      </c>
      <c r="R561" t="s">
        <v>74</v>
      </c>
      <c r="S561" t="s">
        <v>74</v>
      </c>
      <c r="T561" t="s">
        <v>74</v>
      </c>
      <c r="U561" t="s">
        <v>10984</v>
      </c>
      <c r="V561" t="s">
        <v>10985</v>
      </c>
      <c r="W561" t="s">
        <v>10986</v>
      </c>
      <c r="X561" t="s">
        <v>10987</v>
      </c>
      <c r="Y561" t="s">
        <v>10988</v>
      </c>
      <c r="Z561" t="s">
        <v>10989</v>
      </c>
      <c r="AA561" t="s">
        <v>10990</v>
      </c>
      <c r="AB561" t="s">
        <v>10991</v>
      </c>
      <c r="AC561" t="s">
        <v>10992</v>
      </c>
      <c r="AD561" t="s">
        <v>10993</v>
      </c>
      <c r="AE561" t="s">
        <v>10994</v>
      </c>
      <c r="AF561" t="s">
        <v>74</v>
      </c>
      <c r="AG561">
        <v>51</v>
      </c>
      <c r="AH561">
        <v>17</v>
      </c>
      <c r="AI561">
        <v>19</v>
      </c>
      <c r="AJ561">
        <v>0</v>
      </c>
      <c r="AK561">
        <v>6</v>
      </c>
      <c r="AL561" t="s">
        <v>91</v>
      </c>
      <c r="AM561" t="s">
        <v>92</v>
      </c>
      <c r="AN561" t="s">
        <v>93</v>
      </c>
      <c r="AO561" t="s">
        <v>10995</v>
      </c>
      <c r="AP561" t="s">
        <v>74</v>
      </c>
      <c r="AQ561" t="s">
        <v>74</v>
      </c>
      <c r="AR561" t="s">
        <v>10996</v>
      </c>
      <c r="AS561" t="s">
        <v>10997</v>
      </c>
      <c r="AT561" t="s">
        <v>10370</v>
      </c>
      <c r="AU561">
        <v>2017</v>
      </c>
      <c r="AV561">
        <v>9</v>
      </c>
      <c r="AW561">
        <v>4</v>
      </c>
      <c r="AX561" t="s">
        <v>74</v>
      </c>
      <c r="AY561" t="s">
        <v>74</v>
      </c>
      <c r="AZ561" t="s">
        <v>74</v>
      </c>
      <c r="BA561" t="s">
        <v>74</v>
      </c>
      <c r="BB561">
        <v>1948</v>
      </c>
      <c r="BC561">
        <v>1972</v>
      </c>
      <c r="BD561" t="s">
        <v>74</v>
      </c>
      <c r="BE561" t="s">
        <v>10998</v>
      </c>
      <c r="BF561" t="str">
        <f>HYPERLINK("http://dx.doi.org/10.1002/2017MS001002","http://dx.doi.org/10.1002/2017MS001002")</f>
        <v>http://dx.doi.org/10.1002/2017MS001002</v>
      </c>
      <c r="BG561" t="s">
        <v>74</v>
      </c>
      <c r="BH561" t="s">
        <v>74</v>
      </c>
      <c r="BI561">
        <v>25</v>
      </c>
      <c r="BJ561" t="s">
        <v>162</v>
      </c>
      <c r="BK561" t="s">
        <v>101</v>
      </c>
      <c r="BL561" t="s">
        <v>162</v>
      </c>
      <c r="BM561" t="s">
        <v>10999</v>
      </c>
      <c r="BN561" t="s">
        <v>74</v>
      </c>
      <c r="BO561" t="s">
        <v>1278</v>
      </c>
      <c r="BP561" t="s">
        <v>74</v>
      </c>
      <c r="BQ561" t="s">
        <v>74</v>
      </c>
      <c r="BR561" t="s">
        <v>105</v>
      </c>
      <c r="BS561" t="s">
        <v>11000</v>
      </c>
      <c r="BT561" t="str">
        <f>HYPERLINK("https%3A%2F%2Fwww.webofscience.com%2Fwos%2Fwoscc%2Ffull-record%2FWOS:000411384800011","View Full Record in Web of Science")</f>
        <v>View Full Record in Web of Science</v>
      </c>
    </row>
    <row r="562" spans="1:72" x14ac:dyDescent="0.15">
      <c r="A562" t="s">
        <v>72</v>
      </c>
      <c r="B562" t="s">
        <v>11001</v>
      </c>
      <c r="C562" t="s">
        <v>74</v>
      </c>
      <c r="D562" t="s">
        <v>74</v>
      </c>
      <c r="E562" t="s">
        <v>74</v>
      </c>
      <c r="F562" t="s">
        <v>11002</v>
      </c>
      <c r="G562" t="s">
        <v>74</v>
      </c>
      <c r="H562" t="s">
        <v>74</v>
      </c>
      <c r="I562" t="s">
        <v>11003</v>
      </c>
      <c r="J562" t="s">
        <v>11004</v>
      </c>
      <c r="K562" t="s">
        <v>74</v>
      </c>
      <c r="L562" t="s">
        <v>74</v>
      </c>
      <c r="M562" t="s">
        <v>10446</v>
      </c>
      <c r="N562" t="s">
        <v>79</v>
      </c>
      <c r="O562" t="s">
        <v>74</v>
      </c>
      <c r="P562" t="s">
        <v>74</v>
      </c>
      <c r="Q562" t="s">
        <v>74</v>
      </c>
      <c r="R562" t="s">
        <v>74</v>
      </c>
      <c r="S562" t="s">
        <v>74</v>
      </c>
      <c r="T562" t="s">
        <v>11005</v>
      </c>
      <c r="U562" t="s">
        <v>74</v>
      </c>
      <c r="V562" t="s">
        <v>11006</v>
      </c>
      <c r="W562" t="s">
        <v>11007</v>
      </c>
      <c r="X562" t="s">
        <v>74</v>
      </c>
      <c r="Y562" t="s">
        <v>11008</v>
      </c>
      <c r="Z562" t="s">
        <v>11009</v>
      </c>
      <c r="AA562" t="s">
        <v>74</v>
      </c>
      <c r="AB562" t="s">
        <v>74</v>
      </c>
      <c r="AC562" t="s">
        <v>74</v>
      </c>
      <c r="AD562" t="s">
        <v>74</v>
      </c>
      <c r="AE562" t="s">
        <v>74</v>
      </c>
      <c r="AF562" t="s">
        <v>74</v>
      </c>
      <c r="AG562">
        <v>19</v>
      </c>
      <c r="AH562">
        <v>2</v>
      </c>
      <c r="AI562">
        <v>2</v>
      </c>
      <c r="AJ562">
        <v>0</v>
      </c>
      <c r="AK562">
        <v>6</v>
      </c>
      <c r="AL562" t="s">
        <v>11010</v>
      </c>
      <c r="AM562" t="s">
        <v>6006</v>
      </c>
      <c r="AN562" t="s">
        <v>11011</v>
      </c>
      <c r="AO562" t="s">
        <v>11012</v>
      </c>
      <c r="AP562" t="s">
        <v>11013</v>
      </c>
      <c r="AQ562" t="s">
        <v>74</v>
      </c>
      <c r="AR562" t="s">
        <v>11014</v>
      </c>
      <c r="AS562" t="s">
        <v>11015</v>
      </c>
      <c r="AT562" t="s">
        <v>10370</v>
      </c>
      <c r="AU562">
        <v>2017</v>
      </c>
      <c r="AV562">
        <v>28</v>
      </c>
      <c r="AW562">
        <v>4</v>
      </c>
      <c r="AX562" t="s">
        <v>74</v>
      </c>
      <c r="AY562" t="s">
        <v>74</v>
      </c>
      <c r="AZ562" t="s">
        <v>74</v>
      </c>
      <c r="BA562" t="s">
        <v>74</v>
      </c>
      <c r="BB562">
        <v>460</v>
      </c>
      <c r="BC562">
        <v>466</v>
      </c>
      <c r="BD562" t="s">
        <v>74</v>
      </c>
      <c r="BE562" t="s">
        <v>11016</v>
      </c>
      <c r="BF562" t="str">
        <f>HYPERLINK("http://dx.doi.org/10.14478/ace.2017.1044","http://dx.doi.org/10.14478/ace.2017.1044")</f>
        <v>http://dx.doi.org/10.14478/ace.2017.1044</v>
      </c>
      <c r="BG562" t="s">
        <v>74</v>
      </c>
      <c r="BH562" t="s">
        <v>74</v>
      </c>
      <c r="BI562">
        <v>7</v>
      </c>
      <c r="BJ562" t="s">
        <v>11017</v>
      </c>
      <c r="BK562" t="s">
        <v>3172</v>
      </c>
      <c r="BL562" t="s">
        <v>1556</v>
      </c>
      <c r="BM562" t="s">
        <v>11018</v>
      </c>
      <c r="BN562" t="s">
        <v>74</v>
      </c>
      <c r="BO562" t="s">
        <v>74</v>
      </c>
      <c r="BP562" t="s">
        <v>74</v>
      </c>
      <c r="BQ562" t="s">
        <v>74</v>
      </c>
      <c r="BR562" t="s">
        <v>105</v>
      </c>
      <c r="BS562" t="s">
        <v>11019</v>
      </c>
      <c r="BT562" t="str">
        <f>HYPERLINK("https%3A%2F%2Fwww.webofscience.com%2Fwos%2Fwoscc%2Ffull-record%2FWOS:000411024000013","View Full Record in Web of Science")</f>
        <v>View Full Record in Web of Science</v>
      </c>
    </row>
    <row r="563" spans="1:72" x14ac:dyDescent="0.15">
      <c r="A563" t="s">
        <v>72</v>
      </c>
      <c r="B563" t="s">
        <v>11020</v>
      </c>
      <c r="C563" t="s">
        <v>74</v>
      </c>
      <c r="D563" t="s">
        <v>74</v>
      </c>
      <c r="E563" t="s">
        <v>74</v>
      </c>
      <c r="F563" t="s">
        <v>11021</v>
      </c>
      <c r="G563" t="s">
        <v>74</v>
      </c>
      <c r="H563" t="s">
        <v>74</v>
      </c>
      <c r="I563" t="s">
        <v>11022</v>
      </c>
      <c r="J563" t="s">
        <v>11023</v>
      </c>
      <c r="K563" t="s">
        <v>74</v>
      </c>
      <c r="L563" t="s">
        <v>74</v>
      </c>
      <c r="M563" t="s">
        <v>78</v>
      </c>
      <c r="N563" t="s">
        <v>79</v>
      </c>
      <c r="O563" t="s">
        <v>74</v>
      </c>
      <c r="P563" t="s">
        <v>74</v>
      </c>
      <c r="Q563" t="s">
        <v>74</v>
      </c>
      <c r="R563" t="s">
        <v>74</v>
      </c>
      <c r="S563" t="s">
        <v>74</v>
      </c>
      <c r="T563" t="s">
        <v>11024</v>
      </c>
      <c r="U563" t="s">
        <v>11025</v>
      </c>
      <c r="V563" t="s">
        <v>11026</v>
      </c>
      <c r="W563" t="s">
        <v>11027</v>
      </c>
      <c r="X563" t="s">
        <v>11028</v>
      </c>
      <c r="Y563" t="s">
        <v>11029</v>
      </c>
      <c r="Z563" t="s">
        <v>11030</v>
      </c>
      <c r="AA563" t="s">
        <v>11031</v>
      </c>
      <c r="AB563" t="s">
        <v>74</v>
      </c>
      <c r="AC563" t="s">
        <v>11032</v>
      </c>
      <c r="AD563" t="s">
        <v>11033</v>
      </c>
      <c r="AE563" t="s">
        <v>11034</v>
      </c>
      <c r="AF563" t="s">
        <v>74</v>
      </c>
      <c r="AG563">
        <v>27</v>
      </c>
      <c r="AH563">
        <v>0</v>
      </c>
      <c r="AI563">
        <v>0</v>
      </c>
      <c r="AJ563">
        <v>0</v>
      </c>
      <c r="AK563">
        <v>11</v>
      </c>
      <c r="AL563" t="s">
        <v>2289</v>
      </c>
      <c r="AM563" t="s">
        <v>2290</v>
      </c>
      <c r="AN563" t="s">
        <v>2291</v>
      </c>
      <c r="AO563" t="s">
        <v>11035</v>
      </c>
      <c r="AP563" t="s">
        <v>74</v>
      </c>
      <c r="AQ563" t="s">
        <v>74</v>
      </c>
      <c r="AR563" t="s">
        <v>11036</v>
      </c>
      <c r="AS563" t="s">
        <v>11037</v>
      </c>
      <c r="AT563" t="s">
        <v>10370</v>
      </c>
      <c r="AU563">
        <v>2017</v>
      </c>
      <c r="AV563">
        <v>65</v>
      </c>
      <c r="AW563">
        <v>4</v>
      </c>
      <c r="AX563" t="s">
        <v>74</v>
      </c>
      <c r="AY563" t="s">
        <v>74</v>
      </c>
      <c r="AZ563" t="s">
        <v>74</v>
      </c>
      <c r="BA563" t="s">
        <v>74</v>
      </c>
      <c r="BB563">
        <v>635</v>
      </c>
      <c r="BC563">
        <v>644</v>
      </c>
      <c r="BD563" t="s">
        <v>74</v>
      </c>
      <c r="BE563" t="s">
        <v>11038</v>
      </c>
      <c r="BF563" t="str">
        <f>HYPERLINK("http://dx.doi.org/10.1007/s11600-017-0067-0","http://dx.doi.org/10.1007/s11600-017-0067-0")</f>
        <v>http://dx.doi.org/10.1007/s11600-017-0067-0</v>
      </c>
      <c r="BG563" t="s">
        <v>74</v>
      </c>
      <c r="BH563" t="s">
        <v>74</v>
      </c>
      <c r="BI563">
        <v>10</v>
      </c>
      <c r="BJ563" t="s">
        <v>509</v>
      </c>
      <c r="BK563" t="s">
        <v>101</v>
      </c>
      <c r="BL563" t="s">
        <v>509</v>
      </c>
      <c r="BM563" t="s">
        <v>11039</v>
      </c>
      <c r="BN563" t="s">
        <v>74</v>
      </c>
      <c r="BO563" t="s">
        <v>74</v>
      </c>
      <c r="BP563" t="s">
        <v>74</v>
      </c>
      <c r="BQ563" t="s">
        <v>74</v>
      </c>
      <c r="BR563" t="s">
        <v>105</v>
      </c>
      <c r="BS563" t="s">
        <v>11040</v>
      </c>
      <c r="BT563" t="str">
        <f>HYPERLINK("https%3A%2F%2Fwww.webofscience.com%2Fwos%2Fwoscc%2Ffull-record%2FWOS:000410725400005","View Full Record in Web of Science")</f>
        <v>View Full Record in Web of Science</v>
      </c>
    </row>
    <row r="564" spans="1:72" x14ac:dyDescent="0.15">
      <c r="A564" t="s">
        <v>72</v>
      </c>
      <c r="B564" t="s">
        <v>11041</v>
      </c>
      <c r="C564" t="s">
        <v>74</v>
      </c>
      <c r="D564" t="s">
        <v>74</v>
      </c>
      <c r="E564" t="s">
        <v>74</v>
      </c>
      <c r="F564" t="s">
        <v>11042</v>
      </c>
      <c r="G564" t="s">
        <v>74</v>
      </c>
      <c r="H564" t="s">
        <v>74</v>
      </c>
      <c r="I564" t="s">
        <v>11043</v>
      </c>
      <c r="J564" t="s">
        <v>11044</v>
      </c>
      <c r="K564" t="s">
        <v>74</v>
      </c>
      <c r="L564" t="s">
        <v>74</v>
      </c>
      <c r="M564" t="s">
        <v>78</v>
      </c>
      <c r="N564" t="s">
        <v>79</v>
      </c>
      <c r="O564" t="s">
        <v>74</v>
      </c>
      <c r="P564" t="s">
        <v>74</v>
      </c>
      <c r="Q564" t="s">
        <v>74</v>
      </c>
      <c r="R564" t="s">
        <v>74</v>
      </c>
      <c r="S564" t="s">
        <v>74</v>
      </c>
      <c r="T564" t="s">
        <v>11045</v>
      </c>
      <c r="U564" t="s">
        <v>11046</v>
      </c>
      <c r="V564" t="s">
        <v>11047</v>
      </c>
      <c r="W564" t="s">
        <v>11048</v>
      </c>
      <c r="X564" t="s">
        <v>11049</v>
      </c>
      <c r="Y564" t="s">
        <v>11050</v>
      </c>
      <c r="Z564" t="s">
        <v>11051</v>
      </c>
      <c r="AA564" t="s">
        <v>11052</v>
      </c>
      <c r="AB564" t="s">
        <v>11053</v>
      </c>
      <c r="AC564" t="s">
        <v>11054</v>
      </c>
      <c r="AD564" t="s">
        <v>11055</v>
      </c>
      <c r="AE564" t="s">
        <v>11056</v>
      </c>
      <c r="AF564" t="s">
        <v>74</v>
      </c>
      <c r="AG564">
        <v>64</v>
      </c>
      <c r="AH564">
        <v>22</v>
      </c>
      <c r="AI564">
        <v>24</v>
      </c>
      <c r="AJ564">
        <v>1</v>
      </c>
      <c r="AK564">
        <v>13</v>
      </c>
      <c r="AL564" t="s">
        <v>3485</v>
      </c>
      <c r="AM564" t="s">
        <v>3486</v>
      </c>
      <c r="AN564" t="s">
        <v>3487</v>
      </c>
      <c r="AO564" t="s">
        <v>74</v>
      </c>
      <c r="AP564" t="s">
        <v>11057</v>
      </c>
      <c r="AQ564" t="s">
        <v>74</v>
      </c>
      <c r="AR564" t="s">
        <v>11058</v>
      </c>
      <c r="AS564" t="s">
        <v>11059</v>
      </c>
      <c r="AT564" t="s">
        <v>10370</v>
      </c>
      <c r="AU564">
        <v>2017</v>
      </c>
      <c r="AV564">
        <v>18</v>
      </c>
      <c r="AW564">
        <v>8</v>
      </c>
      <c r="AX564" t="s">
        <v>74</v>
      </c>
      <c r="AY564" t="s">
        <v>74</v>
      </c>
      <c r="AZ564" t="s">
        <v>74</v>
      </c>
      <c r="BA564" t="s">
        <v>74</v>
      </c>
      <c r="BB564" t="s">
        <v>74</v>
      </c>
      <c r="BC564" t="s">
        <v>74</v>
      </c>
      <c r="BD564">
        <v>1643</v>
      </c>
      <c r="BE564" t="s">
        <v>11060</v>
      </c>
      <c r="BF564" t="str">
        <f>HYPERLINK("http://dx.doi.org/10.3390/ijms18081643","http://dx.doi.org/10.3390/ijms18081643")</f>
        <v>http://dx.doi.org/10.3390/ijms18081643</v>
      </c>
      <c r="BG564" t="s">
        <v>74</v>
      </c>
      <c r="BH564" t="s">
        <v>74</v>
      </c>
      <c r="BI564">
        <v>16</v>
      </c>
      <c r="BJ564" t="s">
        <v>11061</v>
      </c>
      <c r="BK564" t="s">
        <v>101</v>
      </c>
      <c r="BL564" t="s">
        <v>3311</v>
      </c>
      <c r="BM564" t="s">
        <v>11062</v>
      </c>
      <c r="BN564">
        <v>28788056</v>
      </c>
      <c r="BO564" t="s">
        <v>267</v>
      </c>
      <c r="BP564" t="s">
        <v>74</v>
      </c>
      <c r="BQ564" t="s">
        <v>74</v>
      </c>
      <c r="BR564" t="s">
        <v>105</v>
      </c>
      <c r="BS564" t="s">
        <v>11063</v>
      </c>
      <c r="BT564" t="str">
        <f>HYPERLINK("https%3A%2F%2Fwww.webofscience.com%2Fwos%2Fwoscc%2Ffull-record%2FWOS:000408897400044","View Full Record in Web of Science")</f>
        <v>View Full Record in Web of Science</v>
      </c>
    </row>
    <row r="565" spans="1:72" x14ac:dyDescent="0.15">
      <c r="A565" t="s">
        <v>72</v>
      </c>
      <c r="B565" t="s">
        <v>11064</v>
      </c>
      <c r="C565" t="s">
        <v>74</v>
      </c>
      <c r="D565" t="s">
        <v>74</v>
      </c>
      <c r="E565" t="s">
        <v>74</v>
      </c>
      <c r="F565" t="s">
        <v>11065</v>
      </c>
      <c r="G565" t="s">
        <v>74</v>
      </c>
      <c r="H565" t="s">
        <v>74</v>
      </c>
      <c r="I565" t="s">
        <v>11066</v>
      </c>
      <c r="J565" t="s">
        <v>11044</v>
      </c>
      <c r="K565" t="s">
        <v>74</v>
      </c>
      <c r="L565" t="s">
        <v>74</v>
      </c>
      <c r="M565" t="s">
        <v>78</v>
      </c>
      <c r="N565" t="s">
        <v>79</v>
      </c>
      <c r="O565" t="s">
        <v>74</v>
      </c>
      <c r="P565" t="s">
        <v>74</v>
      </c>
      <c r="Q565" t="s">
        <v>74</v>
      </c>
      <c r="R565" t="s">
        <v>74</v>
      </c>
      <c r="S565" t="s">
        <v>74</v>
      </c>
      <c r="T565" t="s">
        <v>11067</v>
      </c>
      <c r="U565" t="s">
        <v>11068</v>
      </c>
      <c r="V565" t="s">
        <v>11069</v>
      </c>
      <c r="W565" t="s">
        <v>11070</v>
      </c>
      <c r="X565" t="s">
        <v>11071</v>
      </c>
      <c r="Y565" t="s">
        <v>11072</v>
      </c>
      <c r="Z565" t="s">
        <v>11073</v>
      </c>
      <c r="AA565" t="s">
        <v>11074</v>
      </c>
      <c r="AB565" t="s">
        <v>11075</v>
      </c>
      <c r="AC565" t="s">
        <v>11076</v>
      </c>
      <c r="AD565" t="s">
        <v>11077</v>
      </c>
      <c r="AE565" t="s">
        <v>11078</v>
      </c>
      <c r="AF565" t="s">
        <v>74</v>
      </c>
      <c r="AG565">
        <v>47</v>
      </c>
      <c r="AH565">
        <v>0</v>
      </c>
      <c r="AI565">
        <v>0</v>
      </c>
      <c r="AJ565">
        <v>0</v>
      </c>
      <c r="AK565">
        <v>3</v>
      </c>
      <c r="AL565" t="s">
        <v>3485</v>
      </c>
      <c r="AM565" t="s">
        <v>3486</v>
      </c>
      <c r="AN565" t="s">
        <v>3487</v>
      </c>
      <c r="AO565" t="s">
        <v>74</v>
      </c>
      <c r="AP565" t="s">
        <v>11057</v>
      </c>
      <c r="AQ565" t="s">
        <v>74</v>
      </c>
      <c r="AR565" t="s">
        <v>11058</v>
      </c>
      <c r="AS565" t="s">
        <v>11059</v>
      </c>
      <c r="AT565" t="s">
        <v>10370</v>
      </c>
      <c r="AU565">
        <v>2017</v>
      </c>
      <c r="AV565">
        <v>18</v>
      </c>
      <c r="AW565">
        <v>8</v>
      </c>
      <c r="AX565" t="s">
        <v>74</v>
      </c>
      <c r="AY565" t="s">
        <v>74</v>
      </c>
      <c r="AZ565" t="s">
        <v>74</v>
      </c>
      <c r="BA565" t="s">
        <v>74</v>
      </c>
      <c r="BB565" t="s">
        <v>74</v>
      </c>
      <c r="BC565" t="s">
        <v>74</v>
      </c>
      <c r="BD565">
        <v>1605</v>
      </c>
      <c r="BE565" t="s">
        <v>11079</v>
      </c>
      <c r="BF565" t="str">
        <f>HYPERLINK("http://dx.doi.org/10.3390/ijms18081605","http://dx.doi.org/10.3390/ijms18081605")</f>
        <v>http://dx.doi.org/10.3390/ijms18081605</v>
      </c>
      <c r="BG565" t="s">
        <v>74</v>
      </c>
      <c r="BH565" t="s">
        <v>74</v>
      </c>
      <c r="BI565">
        <v>18</v>
      </c>
      <c r="BJ565" t="s">
        <v>11061</v>
      </c>
      <c r="BK565" t="s">
        <v>101</v>
      </c>
      <c r="BL565" t="s">
        <v>3311</v>
      </c>
      <c r="BM565" t="s">
        <v>11062</v>
      </c>
      <c r="BN565">
        <v>28757562</v>
      </c>
      <c r="BO565" t="s">
        <v>1112</v>
      </c>
      <c r="BP565" t="s">
        <v>74</v>
      </c>
      <c r="BQ565" t="s">
        <v>74</v>
      </c>
      <c r="BR565" t="s">
        <v>105</v>
      </c>
      <c r="BS565" t="s">
        <v>11080</v>
      </c>
      <c r="BT565" t="str">
        <f>HYPERLINK("https%3A%2F%2Fwww.webofscience.com%2Fwos%2Fwoscc%2Ffull-record%2FWOS:000408897400008","View Full Record in Web of Science")</f>
        <v>View Full Record in Web of Science</v>
      </c>
    </row>
    <row r="566" spans="1:72" x14ac:dyDescent="0.15">
      <c r="A566" t="s">
        <v>72</v>
      </c>
      <c r="B566" t="s">
        <v>11081</v>
      </c>
      <c r="C566" t="s">
        <v>74</v>
      </c>
      <c r="D566" t="s">
        <v>74</v>
      </c>
      <c r="E566" t="s">
        <v>74</v>
      </c>
      <c r="F566" t="s">
        <v>11082</v>
      </c>
      <c r="G566" t="s">
        <v>74</v>
      </c>
      <c r="H566" t="s">
        <v>74</v>
      </c>
      <c r="I566" t="s">
        <v>11083</v>
      </c>
      <c r="J566" t="s">
        <v>8379</v>
      </c>
      <c r="K566" t="s">
        <v>74</v>
      </c>
      <c r="L566" t="s">
        <v>74</v>
      </c>
      <c r="M566" t="s">
        <v>78</v>
      </c>
      <c r="N566" t="s">
        <v>79</v>
      </c>
      <c r="O566" t="s">
        <v>74</v>
      </c>
      <c r="P566" t="s">
        <v>74</v>
      </c>
      <c r="Q566" t="s">
        <v>74</v>
      </c>
      <c r="R566" t="s">
        <v>74</v>
      </c>
      <c r="S566" t="s">
        <v>74</v>
      </c>
      <c r="T566" t="s">
        <v>74</v>
      </c>
      <c r="U566" t="s">
        <v>11084</v>
      </c>
      <c r="V566" t="s">
        <v>11085</v>
      </c>
      <c r="W566" t="s">
        <v>11086</v>
      </c>
      <c r="X566" t="s">
        <v>11087</v>
      </c>
      <c r="Y566" t="s">
        <v>11088</v>
      </c>
      <c r="Z566" t="s">
        <v>11089</v>
      </c>
      <c r="AA566" t="s">
        <v>11090</v>
      </c>
      <c r="AB566" t="s">
        <v>11091</v>
      </c>
      <c r="AC566" t="s">
        <v>11092</v>
      </c>
      <c r="AD566" t="s">
        <v>11093</v>
      </c>
      <c r="AE566" t="s">
        <v>11094</v>
      </c>
      <c r="AF566" t="s">
        <v>74</v>
      </c>
      <c r="AG566">
        <v>88</v>
      </c>
      <c r="AH566">
        <v>4</v>
      </c>
      <c r="AI566">
        <v>5</v>
      </c>
      <c r="AJ566">
        <v>1</v>
      </c>
      <c r="AK566">
        <v>30</v>
      </c>
      <c r="AL566" t="s">
        <v>2520</v>
      </c>
      <c r="AM566" t="s">
        <v>2521</v>
      </c>
      <c r="AN566" t="s">
        <v>2522</v>
      </c>
      <c r="AO566" t="s">
        <v>8391</v>
      </c>
      <c r="AP566" t="s">
        <v>8392</v>
      </c>
      <c r="AQ566" t="s">
        <v>74</v>
      </c>
      <c r="AR566" t="s">
        <v>8393</v>
      </c>
      <c r="AS566" t="s">
        <v>8394</v>
      </c>
      <c r="AT566" t="s">
        <v>10370</v>
      </c>
      <c r="AU566">
        <v>2017</v>
      </c>
      <c r="AV566">
        <v>164</v>
      </c>
      <c r="AW566">
        <v>8</v>
      </c>
      <c r="AX566" t="s">
        <v>74</v>
      </c>
      <c r="AY566" t="s">
        <v>74</v>
      </c>
      <c r="AZ566" t="s">
        <v>74</v>
      </c>
      <c r="BA566" t="s">
        <v>74</v>
      </c>
      <c r="BB566" t="s">
        <v>74</v>
      </c>
      <c r="BC566" t="s">
        <v>74</v>
      </c>
      <c r="BD566" t="s">
        <v>74</v>
      </c>
      <c r="BE566" t="s">
        <v>11095</v>
      </c>
      <c r="BF566" t="str">
        <f>HYPERLINK("http://dx.doi.org/10.1007/s00227-017-3205-y","http://dx.doi.org/10.1007/s00227-017-3205-y")</f>
        <v>http://dx.doi.org/10.1007/s00227-017-3205-y</v>
      </c>
      <c r="BG566" t="s">
        <v>74</v>
      </c>
      <c r="BH566" t="s">
        <v>74</v>
      </c>
      <c r="BI566">
        <v>21</v>
      </c>
      <c r="BJ566" t="s">
        <v>5546</v>
      </c>
      <c r="BK566" t="s">
        <v>101</v>
      </c>
      <c r="BL566" t="s">
        <v>5546</v>
      </c>
      <c r="BM566" t="s">
        <v>11096</v>
      </c>
      <c r="BN566" t="s">
        <v>74</v>
      </c>
      <c r="BO566" t="s">
        <v>1240</v>
      </c>
      <c r="BP566" t="s">
        <v>74</v>
      </c>
      <c r="BQ566" t="s">
        <v>74</v>
      </c>
      <c r="BR566" t="s">
        <v>105</v>
      </c>
      <c r="BS566" t="s">
        <v>11097</v>
      </c>
      <c r="BT566" t="str">
        <f>HYPERLINK("https%3A%2F%2Fwww.webofscience.com%2Fwos%2Fwoscc%2Ffull-record%2FWOS:000410485700002","View Full Record in Web of Science")</f>
        <v>View Full Record in Web of Science</v>
      </c>
    </row>
    <row r="567" spans="1:72" x14ac:dyDescent="0.15">
      <c r="A567" t="s">
        <v>72</v>
      </c>
      <c r="B567" t="s">
        <v>11098</v>
      </c>
      <c r="C567" t="s">
        <v>74</v>
      </c>
      <c r="D567" t="s">
        <v>74</v>
      </c>
      <c r="E567" t="s">
        <v>74</v>
      </c>
      <c r="F567" t="s">
        <v>11099</v>
      </c>
      <c r="G567" t="s">
        <v>74</v>
      </c>
      <c r="H567" t="s">
        <v>74</v>
      </c>
      <c r="I567" t="s">
        <v>11100</v>
      </c>
      <c r="J567" t="s">
        <v>1844</v>
      </c>
      <c r="K567" t="s">
        <v>74</v>
      </c>
      <c r="L567" t="s">
        <v>74</v>
      </c>
      <c r="M567" t="s">
        <v>78</v>
      </c>
      <c r="N567" t="s">
        <v>79</v>
      </c>
      <c r="O567" t="s">
        <v>74</v>
      </c>
      <c r="P567" t="s">
        <v>74</v>
      </c>
      <c r="Q567" t="s">
        <v>74</v>
      </c>
      <c r="R567" t="s">
        <v>74</v>
      </c>
      <c r="S567" t="s">
        <v>74</v>
      </c>
      <c r="T567" t="s">
        <v>74</v>
      </c>
      <c r="U567" t="s">
        <v>11101</v>
      </c>
      <c r="V567" t="s">
        <v>11102</v>
      </c>
      <c r="W567" t="s">
        <v>74</v>
      </c>
      <c r="X567" t="s">
        <v>74</v>
      </c>
      <c r="Y567" t="s">
        <v>74</v>
      </c>
      <c r="Z567" t="s">
        <v>74</v>
      </c>
      <c r="AA567" t="s">
        <v>11103</v>
      </c>
      <c r="AB567" t="s">
        <v>11104</v>
      </c>
      <c r="AC567" t="s">
        <v>74</v>
      </c>
      <c r="AD567" t="s">
        <v>74</v>
      </c>
      <c r="AE567" t="s">
        <v>74</v>
      </c>
      <c r="AF567" t="s">
        <v>74</v>
      </c>
      <c r="AG567">
        <v>815</v>
      </c>
      <c r="AH567">
        <v>0</v>
      </c>
      <c r="AI567">
        <v>0</v>
      </c>
      <c r="AJ567">
        <v>3</v>
      </c>
      <c r="AK567">
        <v>39</v>
      </c>
      <c r="AL567" t="s">
        <v>1366</v>
      </c>
      <c r="AM567" t="s">
        <v>1367</v>
      </c>
      <c r="AN567" t="s">
        <v>1368</v>
      </c>
      <c r="AO567" t="s">
        <v>1853</v>
      </c>
      <c r="AP567" t="s">
        <v>1854</v>
      </c>
      <c r="AQ567" t="s">
        <v>74</v>
      </c>
      <c r="AR567" t="s">
        <v>1855</v>
      </c>
      <c r="AS567" t="s">
        <v>1856</v>
      </c>
      <c r="AT567" t="s">
        <v>10370</v>
      </c>
      <c r="AU567">
        <v>2017</v>
      </c>
      <c r="AV567">
        <v>98</v>
      </c>
      <c r="AW567">
        <v>8</v>
      </c>
      <c r="AX567" t="s">
        <v>74</v>
      </c>
      <c r="AY567" t="s">
        <v>74</v>
      </c>
      <c r="AZ567" t="s">
        <v>74</v>
      </c>
      <c r="BA567" t="s">
        <v>74</v>
      </c>
      <c r="BB567" t="s">
        <v>1188</v>
      </c>
      <c r="BC567" t="s">
        <v>11105</v>
      </c>
      <c r="BD567" t="s">
        <v>74</v>
      </c>
      <c r="BE567" t="s">
        <v>74</v>
      </c>
      <c r="BF567" t="s">
        <v>74</v>
      </c>
      <c r="BG567" t="s">
        <v>74</v>
      </c>
      <c r="BH567" t="s">
        <v>74</v>
      </c>
      <c r="BI567">
        <v>291</v>
      </c>
      <c r="BJ567" t="s">
        <v>162</v>
      </c>
      <c r="BK567" t="s">
        <v>101</v>
      </c>
      <c r="BL567" t="s">
        <v>162</v>
      </c>
      <c r="BM567" t="s">
        <v>11106</v>
      </c>
      <c r="BN567" t="s">
        <v>74</v>
      </c>
      <c r="BO567" t="s">
        <v>74</v>
      </c>
      <c r="BP567" t="s">
        <v>74</v>
      </c>
      <c r="BQ567" t="s">
        <v>74</v>
      </c>
      <c r="BR567" t="s">
        <v>105</v>
      </c>
      <c r="BS567" t="s">
        <v>11107</v>
      </c>
      <c r="BT567" t="str">
        <f>HYPERLINK("https%3A%2F%2Fwww.webofscience.com%2Fwos%2Fwoscc%2Ffull-record%2FWOS:000409368200001","View Full Record in Web of Science")</f>
        <v>View Full Record in Web of Science</v>
      </c>
    </row>
    <row r="568" spans="1:72" x14ac:dyDescent="0.15">
      <c r="A568" t="s">
        <v>72</v>
      </c>
      <c r="B568" t="s">
        <v>11108</v>
      </c>
      <c r="C568" t="s">
        <v>74</v>
      </c>
      <c r="D568" t="s">
        <v>74</v>
      </c>
      <c r="E568" t="s">
        <v>74</v>
      </c>
      <c r="F568" t="s">
        <v>11109</v>
      </c>
      <c r="G568" t="s">
        <v>74</v>
      </c>
      <c r="H568" t="s">
        <v>74</v>
      </c>
      <c r="I568" t="s">
        <v>11110</v>
      </c>
      <c r="J568" t="s">
        <v>3017</v>
      </c>
      <c r="K568" t="s">
        <v>74</v>
      </c>
      <c r="L568" t="s">
        <v>74</v>
      </c>
      <c r="M568" t="s">
        <v>78</v>
      </c>
      <c r="N568" t="s">
        <v>79</v>
      </c>
      <c r="O568" t="s">
        <v>74</v>
      </c>
      <c r="P568" t="s">
        <v>74</v>
      </c>
      <c r="Q568" t="s">
        <v>74</v>
      </c>
      <c r="R568" t="s">
        <v>74</v>
      </c>
      <c r="S568" t="s">
        <v>74</v>
      </c>
      <c r="T568" t="s">
        <v>11111</v>
      </c>
      <c r="U568" t="s">
        <v>11112</v>
      </c>
      <c r="V568" t="s">
        <v>11113</v>
      </c>
      <c r="W568" t="s">
        <v>11114</v>
      </c>
      <c r="X568" t="s">
        <v>11115</v>
      </c>
      <c r="Y568" t="s">
        <v>11116</v>
      </c>
      <c r="Z568" t="s">
        <v>11117</v>
      </c>
      <c r="AA568" t="s">
        <v>11118</v>
      </c>
      <c r="AB568" t="s">
        <v>11119</v>
      </c>
      <c r="AC568" t="s">
        <v>11120</v>
      </c>
      <c r="AD568" t="s">
        <v>11121</v>
      </c>
      <c r="AE568" t="s">
        <v>11122</v>
      </c>
      <c r="AF568" t="s">
        <v>74</v>
      </c>
      <c r="AG568">
        <v>79</v>
      </c>
      <c r="AH568">
        <v>9</v>
      </c>
      <c r="AI568">
        <v>9</v>
      </c>
      <c r="AJ568">
        <v>0</v>
      </c>
      <c r="AK568">
        <v>5</v>
      </c>
      <c r="AL568" t="s">
        <v>1338</v>
      </c>
      <c r="AM568" t="s">
        <v>1339</v>
      </c>
      <c r="AN568" t="s">
        <v>1340</v>
      </c>
      <c r="AO568" t="s">
        <v>3030</v>
      </c>
      <c r="AP568" t="s">
        <v>74</v>
      </c>
      <c r="AQ568" t="s">
        <v>74</v>
      </c>
      <c r="AR568" t="s">
        <v>3031</v>
      </c>
      <c r="AS568" t="s">
        <v>3032</v>
      </c>
      <c r="AT568" t="s">
        <v>10370</v>
      </c>
      <c r="AU568">
        <v>2017</v>
      </c>
      <c r="AV568">
        <v>7</v>
      </c>
      <c r="AW568">
        <v>16</v>
      </c>
      <c r="AX568" t="s">
        <v>74</v>
      </c>
      <c r="AY568" t="s">
        <v>74</v>
      </c>
      <c r="AZ568" t="s">
        <v>74</v>
      </c>
      <c r="BA568" t="s">
        <v>74</v>
      </c>
      <c r="BB568">
        <v>6060</v>
      </c>
      <c r="BC568">
        <v>6077</v>
      </c>
      <c r="BD568" t="s">
        <v>74</v>
      </c>
      <c r="BE568" t="s">
        <v>11123</v>
      </c>
      <c r="BF568" t="str">
        <f>HYPERLINK("http://dx.doi.org/10.1002/ece3.3168","http://dx.doi.org/10.1002/ece3.3168")</f>
        <v>http://dx.doi.org/10.1002/ece3.3168</v>
      </c>
      <c r="BG568" t="s">
        <v>74</v>
      </c>
      <c r="BH568" t="s">
        <v>74</v>
      </c>
      <c r="BI568">
        <v>18</v>
      </c>
      <c r="BJ568" t="s">
        <v>3034</v>
      </c>
      <c r="BK568" t="s">
        <v>101</v>
      </c>
      <c r="BL568" t="s">
        <v>3035</v>
      </c>
      <c r="BM568" t="s">
        <v>11124</v>
      </c>
      <c r="BN568">
        <v>30094004</v>
      </c>
      <c r="BO568" t="s">
        <v>3771</v>
      </c>
      <c r="BP568" t="s">
        <v>74</v>
      </c>
      <c r="BQ568" t="s">
        <v>74</v>
      </c>
      <c r="BR568" t="s">
        <v>105</v>
      </c>
      <c r="BS568" t="s">
        <v>11125</v>
      </c>
      <c r="BT568" t="str">
        <f>HYPERLINK("https%3A%2F%2Fwww.webofscience.com%2Fwos%2Fwoscc%2Ffull-record%2FWOS:000409528000001","View Full Record in Web of Science")</f>
        <v>View Full Record in Web of Science</v>
      </c>
    </row>
    <row r="569" spans="1:72" x14ac:dyDescent="0.15">
      <c r="A569" t="s">
        <v>72</v>
      </c>
      <c r="B569" t="s">
        <v>11126</v>
      </c>
      <c r="C569" t="s">
        <v>74</v>
      </c>
      <c r="D569" t="s">
        <v>74</v>
      </c>
      <c r="E569" t="s">
        <v>74</v>
      </c>
      <c r="F569" t="s">
        <v>11127</v>
      </c>
      <c r="G569" t="s">
        <v>74</v>
      </c>
      <c r="H569" t="s">
        <v>74</v>
      </c>
      <c r="I569" t="s">
        <v>11128</v>
      </c>
      <c r="J569" t="s">
        <v>1602</v>
      </c>
      <c r="K569" t="s">
        <v>74</v>
      </c>
      <c r="L569" t="s">
        <v>74</v>
      </c>
      <c r="M569" t="s">
        <v>78</v>
      </c>
      <c r="N569" t="s">
        <v>79</v>
      </c>
      <c r="O569" t="s">
        <v>74</v>
      </c>
      <c r="P569" t="s">
        <v>74</v>
      </c>
      <c r="Q569" t="s">
        <v>74</v>
      </c>
      <c r="R569" t="s">
        <v>74</v>
      </c>
      <c r="S569" t="s">
        <v>74</v>
      </c>
      <c r="T569" t="s">
        <v>74</v>
      </c>
      <c r="U569" t="s">
        <v>11129</v>
      </c>
      <c r="V569" t="s">
        <v>11130</v>
      </c>
      <c r="W569" t="s">
        <v>11131</v>
      </c>
      <c r="X569" t="s">
        <v>11132</v>
      </c>
      <c r="Y569" t="s">
        <v>11133</v>
      </c>
      <c r="Z569" t="s">
        <v>11134</v>
      </c>
      <c r="AA569" t="s">
        <v>11135</v>
      </c>
      <c r="AB569" t="s">
        <v>11136</v>
      </c>
      <c r="AC569" t="s">
        <v>11137</v>
      </c>
      <c r="AD569" t="s">
        <v>11138</v>
      </c>
      <c r="AE569" t="s">
        <v>11139</v>
      </c>
      <c r="AF569" t="s">
        <v>74</v>
      </c>
      <c r="AG569">
        <v>69</v>
      </c>
      <c r="AH569">
        <v>16</v>
      </c>
      <c r="AI569">
        <v>16</v>
      </c>
      <c r="AJ569">
        <v>2</v>
      </c>
      <c r="AK569">
        <v>24</v>
      </c>
      <c r="AL569" t="s">
        <v>91</v>
      </c>
      <c r="AM569" t="s">
        <v>92</v>
      </c>
      <c r="AN569" t="s">
        <v>93</v>
      </c>
      <c r="AO569" t="s">
        <v>1615</v>
      </c>
      <c r="AP569" t="s">
        <v>1616</v>
      </c>
      <c r="AQ569" t="s">
        <v>74</v>
      </c>
      <c r="AR569" t="s">
        <v>1602</v>
      </c>
      <c r="AS569" t="s">
        <v>1617</v>
      </c>
      <c r="AT569" t="s">
        <v>10370</v>
      </c>
      <c r="AU569">
        <v>2017</v>
      </c>
      <c r="AV569">
        <v>32</v>
      </c>
      <c r="AW569">
        <v>8</v>
      </c>
      <c r="AX569" t="s">
        <v>74</v>
      </c>
      <c r="AY569" t="s">
        <v>74</v>
      </c>
      <c r="AZ569" t="s">
        <v>74</v>
      </c>
      <c r="BA569" t="s">
        <v>74</v>
      </c>
      <c r="BB569">
        <v>763</v>
      </c>
      <c r="BC569">
        <v>779</v>
      </c>
      <c r="BD569" t="s">
        <v>74</v>
      </c>
      <c r="BE569" t="s">
        <v>11140</v>
      </c>
      <c r="BF569" t="str">
        <f>HYPERLINK("http://dx.doi.org/10.1002/2016PA003065","http://dx.doi.org/10.1002/2016PA003065")</f>
        <v>http://dx.doi.org/10.1002/2016PA003065</v>
      </c>
      <c r="BG569" t="s">
        <v>74</v>
      </c>
      <c r="BH569" t="s">
        <v>74</v>
      </c>
      <c r="BI569">
        <v>17</v>
      </c>
      <c r="BJ569" t="s">
        <v>1619</v>
      </c>
      <c r="BK569" t="s">
        <v>101</v>
      </c>
      <c r="BL569" t="s">
        <v>1620</v>
      </c>
      <c r="BM569" t="s">
        <v>11141</v>
      </c>
      <c r="BN569" t="s">
        <v>74</v>
      </c>
      <c r="BO569" t="s">
        <v>164</v>
      </c>
      <c r="BP569" t="s">
        <v>74</v>
      </c>
      <c r="BQ569" t="s">
        <v>74</v>
      </c>
      <c r="BR569" t="s">
        <v>105</v>
      </c>
      <c r="BS569" t="s">
        <v>11142</v>
      </c>
      <c r="BT569" t="str">
        <f>HYPERLINK("https%3A%2F%2Fwww.webofscience.com%2Fwos%2Fwoscc%2Ffull-record%2FWOS:000409811500002","View Full Record in Web of Science")</f>
        <v>View Full Record in Web of Science</v>
      </c>
    </row>
    <row r="570" spans="1:72" x14ac:dyDescent="0.15">
      <c r="A570" t="s">
        <v>72</v>
      </c>
      <c r="B570" t="s">
        <v>11143</v>
      </c>
      <c r="C570" t="s">
        <v>74</v>
      </c>
      <c r="D570" t="s">
        <v>74</v>
      </c>
      <c r="E570" t="s">
        <v>74</v>
      </c>
      <c r="F570" t="s">
        <v>11144</v>
      </c>
      <c r="G570" t="s">
        <v>74</v>
      </c>
      <c r="H570" t="s">
        <v>74</v>
      </c>
      <c r="I570" t="s">
        <v>11145</v>
      </c>
      <c r="J570" t="s">
        <v>1602</v>
      </c>
      <c r="K570" t="s">
        <v>74</v>
      </c>
      <c r="L570" t="s">
        <v>74</v>
      </c>
      <c r="M570" t="s">
        <v>78</v>
      </c>
      <c r="N570" t="s">
        <v>79</v>
      </c>
      <c r="O570" t="s">
        <v>74</v>
      </c>
      <c r="P570" t="s">
        <v>74</v>
      </c>
      <c r="Q570" t="s">
        <v>74</v>
      </c>
      <c r="R570" t="s">
        <v>74</v>
      </c>
      <c r="S570" t="s">
        <v>74</v>
      </c>
      <c r="T570" t="s">
        <v>74</v>
      </c>
      <c r="U570" t="s">
        <v>11146</v>
      </c>
      <c r="V570" t="s">
        <v>11147</v>
      </c>
      <c r="W570" t="s">
        <v>11148</v>
      </c>
      <c r="X570" t="s">
        <v>11149</v>
      </c>
      <c r="Y570" t="s">
        <v>11150</v>
      </c>
      <c r="Z570" t="s">
        <v>11151</v>
      </c>
      <c r="AA570" t="s">
        <v>11152</v>
      </c>
      <c r="AB570" t="s">
        <v>11153</v>
      </c>
      <c r="AC570" t="s">
        <v>11154</v>
      </c>
      <c r="AD570" t="s">
        <v>11155</v>
      </c>
      <c r="AE570" t="s">
        <v>11156</v>
      </c>
      <c r="AF570" t="s">
        <v>74</v>
      </c>
      <c r="AG570">
        <v>85</v>
      </c>
      <c r="AH570">
        <v>12</v>
      </c>
      <c r="AI570">
        <v>13</v>
      </c>
      <c r="AJ570">
        <v>0</v>
      </c>
      <c r="AK570">
        <v>8</v>
      </c>
      <c r="AL570" t="s">
        <v>91</v>
      </c>
      <c r="AM570" t="s">
        <v>92</v>
      </c>
      <c r="AN570" t="s">
        <v>93</v>
      </c>
      <c r="AO570" t="s">
        <v>1615</v>
      </c>
      <c r="AP570" t="s">
        <v>1616</v>
      </c>
      <c r="AQ570" t="s">
        <v>74</v>
      </c>
      <c r="AR570" t="s">
        <v>1602</v>
      </c>
      <c r="AS570" t="s">
        <v>1617</v>
      </c>
      <c r="AT570" t="s">
        <v>10370</v>
      </c>
      <c r="AU570">
        <v>2017</v>
      </c>
      <c r="AV570">
        <v>32</v>
      </c>
      <c r="AW570">
        <v>8</v>
      </c>
      <c r="AX570" t="s">
        <v>74</v>
      </c>
      <c r="AY570" t="s">
        <v>74</v>
      </c>
      <c r="AZ570" t="s">
        <v>74</v>
      </c>
      <c r="BA570" t="s">
        <v>74</v>
      </c>
      <c r="BB570">
        <v>796</v>
      </c>
      <c r="BC570">
        <v>812</v>
      </c>
      <c r="BD570" t="s">
        <v>74</v>
      </c>
      <c r="BE570" t="s">
        <v>11157</v>
      </c>
      <c r="BF570" t="str">
        <f>HYPERLINK("http://dx.doi.org/10.1002/2016PA003079","http://dx.doi.org/10.1002/2016PA003079")</f>
        <v>http://dx.doi.org/10.1002/2016PA003079</v>
      </c>
      <c r="BG570" t="s">
        <v>74</v>
      </c>
      <c r="BH570" t="s">
        <v>74</v>
      </c>
      <c r="BI570">
        <v>17</v>
      </c>
      <c r="BJ570" t="s">
        <v>1619</v>
      </c>
      <c r="BK570" t="s">
        <v>101</v>
      </c>
      <c r="BL570" t="s">
        <v>1620</v>
      </c>
      <c r="BM570" t="s">
        <v>11141</v>
      </c>
      <c r="BN570" t="s">
        <v>74</v>
      </c>
      <c r="BO570" t="s">
        <v>74</v>
      </c>
      <c r="BP570" t="s">
        <v>74</v>
      </c>
      <c r="BQ570" t="s">
        <v>74</v>
      </c>
      <c r="BR570" t="s">
        <v>105</v>
      </c>
      <c r="BS570" t="s">
        <v>11158</v>
      </c>
      <c r="BT570" t="str">
        <f>HYPERLINK("https%3A%2F%2Fwww.webofscience.com%2Fwos%2Fwoscc%2Ffull-record%2FWOS:000409811500004","View Full Record in Web of Science")</f>
        <v>View Full Record in Web of Science</v>
      </c>
    </row>
    <row r="571" spans="1:72" x14ac:dyDescent="0.15">
      <c r="A571" t="s">
        <v>72</v>
      </c>
      <c r="B571" t="s">
        <v>11159</v>
      </c>
      <c r="C571" t="s">
        <v>74</v>
      </c>
      <c r="D571" t="s">
        <v>74</v>
      </c>
      <c r="E571" t="s">
        <v>74</v>
      </c>
      <c r="F571" t="s">
        <v>11160</v>
      </c>
      <c r="G571" t="s">
        <v>74</v>
      </c>
      <c r="H571" t="s">
        <v>74</v>
      </c>
      <c r="I571" t="s">
        <v>11161</v>
      </c>
      <c r="J571" t="s">
        <v>1602</v>
      </c>
      <c r="K571" t="s">
        <v>74</v>
      </c>
      <c r="L571" t="s">
        <v>74</v>
      </c>
      <c r="M571" t="s">
        <v>78</v>
      </c>
      <c r="N571" t="s">
        <v>79</v>
      </c>
      <c r="O571" t="s">
        <v>74</v>
      </c>
      <c r="P571" t="s">
        <v>74</v>
      </c>
      <c r="Q571" t="s">
        <v>74</v>
      </c>
      <c r="R571" t="s">
        <v>74</v>
      </c>
      <c r="S571" t="s">
        <v>74</v>
      </c>
      <c r="T571" t="s">
        <v>74</v>
      </c>
      <c r="U571" t="s">
        <v>11162</v>
      </c>
      <c r="V571" t="s">
        <v>11163</v>
      </c>
      <c r="W571" t="s">
        <v>11164</v>
      </c>
      <c r="X571" t="s">
        <v>11165</v>
      </c>
      <c r="Y571" t="s">
        <v>11166</v>
      </c>
      <c r="Z571" t="s">
        <v>11167</v>
      </c>
      <c r="AA571" t="s">
        <v>11168</v>
      </c>
      <c r="AB571" t="s">
        <v>11169</v>
      </c>
      <c r="AC571" t="s">
        <v>11170</v>
      </c>
      <c r="AD571" t="s">
        <v>11171</v>
      </c>
      <c r="AE571" t="s">
        <v>11172</v>
      </c>
      <c r="AF571" t="s">
        <v>74</v>
      </c>
      <c r="AG571">
        <v>90</v>
      </c>
      <c r="AH571">
        <v>11</v>
      </c>
      <c r="AI571">
        <v>12</v>
      </c>
      <c r="AJ571">
        <v>1</v>
      </c>
      <c r="AK571">
        <v>12</v>
      </c>
      <c r="AL571" t="s">
        <v>91</v>
      </c>
      <c r="AM571" t="s">
        <v>92</v>
      </c>
      <c r="AN571" t="s">
        <v>93</v>
      </c>
      <c r="AO571" t="s">
        <v>1615</v>
      </c>
      <c r="AP571" t="s">
        <v>1616</v>
      </c>
      <c r="AQ571" t="s">
        <v>74</v>
      </c>
      <c r="AR571" t="s">
        <v>1602</v>
      </c>
      <c r="AS571" t="s">
        <v>1617</v>
      </c>
      <c r="AT571" t="s">
        <v>10370</v>
      </c>
      <c r="AU571">
        <v>2017</v>
      </c>
      <c r="AV571">
        <v>32</v>
      </c>
      <c r="AW571">
        <v>8</v>
      </c>
      <c r="AX571" t="s">
        <v>74</v>
      </c>
      <c r="AY571" t="s">
        <v>74</v>
      </c>
      <c r="AZ571" t="s">
        <v>74</v>
      </c>
      <c r="BA571" t="s">
        <v>74</v>
      </c>
      <c r="BB571">
        <v>864</v>
      </c>
      <c r="BC571">
        <v>880</v>
      </c>
      <c r="BD571" t="s">
        <v>74</v>
      </c>
      <c r="BE571" t="s">
        <v>11173</v>
      </c>
      <c r="BF571" t="str">
        <f>HYPERLINK("http://dx.doi.org/10.1002/2017PA003156","http://dx.doi.org/10.1002/2017PA003156")</f>
        <v>http://dx.doi.org/10.1002/2017PA003156</v>
      </c>
      <c r="BG571" t="s">
        <v>74</v>
      </c>
      <c r="BH571" t="s">
        <v>74</v>
      </c>
      <c r="BI571">
        <v>17</v>
      </c>
      <c r="BJ571" t="s">
        <v>1619</v>
      </c>
      <c r="BK571" t="s">
        <v>101</v>
      </c>
      <c r="BL571" t="s">
        <v>1620</v>
      </c>
      <c r="BM571" t="s">
        <v>11141</v>
      </c>
      <c r="BN571" t="s">
        <v>74</v>
      </c>
      <c r="BO571" t="s">
        <v>74</v>
      </c>
      <c r="BP571" t="s">
        <v>74</v>
      </c>
      <c r="BQ571" t="s">
        <v>74</v>
      </c>
      <c r="BR571" t="s">
        <v>105</v>
      </c>
      <c r="BS571" t="s">
        <v>11174</v>
      </c>
      <c r="BT571" t="str">
        <f>HYPERLINK("https%3A%2F%2Fwww.webofscience.com%2Fwos%2Fwoscc%2Ffull-record%2FWOS:000409811500008","View Full Record in Web of Science")</f>
        <v>View Full Record in Web of Science</v>
      </c>
    </row>
    <row r="572" spans="1:72" x14ac:dyDescent="0.15">
      <c r="A572" t="s">
        <v>72</v>
      </c>
      <c r="B572" t="s">
        <v>11175</v>
      </c>
      <c r="C572" t="s">
        <v>74</v>
      </c>
      <c r="D572" t="s">
        <v>74</v>
      </c>
      <c r="E572" t="s">
        <v>74</v>
      </c>
      <c r="F572" t="s">
        <v>11176</v>
      </c>
      <c r="G572" t="s">
        <v>74</v>
      </c>
      <c r="H572" t="s">
        <v>74</v>
      </c>
      <c r="I572" t="s">
        <v>11177</v>
      </c>
      <c r="J572" t="s">
        <v>11178</v>
      </c>
      <c r="K572" t="s">
        <v>74</v>
      </c>
      <c r="L572" t="s">
        <v>74</v>
      </c>
      <c r="M572" t="s">
        <v>78</v>
      </c>
      <c r="N572" t="s">
        <v>79</v>
      </c>
      <c r="O572" t="s">
        <v>74</v>
      </c>
      <c r="P572" t="s">
        <v>74</v>
      </c>
      <c r="Q572" t="s">
        <v>74</v>
      </c>
      <c r="R572" t="s">
        <v>74</v>
      </c>
      <c r="S572" t="s">
        <v>74</v>
      </c>
      <c r="T572" t="s">
        <v>11179</v>
      </c>
      <c r="U572" t="s">
        <v>11180</v>
      </c>
      <c r="V572" t="s">
        <v>11181</v>
      </c>
      <c r="W572" t="s">
        <v>11182</v>
      </c>
      <c r="X572" t="s">
        <v>11183</v>
      </c>
      <c r="Y572" t="s">
        <v>11184</v>
      </c>
      <c r="Z572" t="s">
        <v>11185</v>
      </c>
      <c r="AA572" t="s">
        <v>74</v>
      </c>
      <c r="AB572" t="s">
        <v>74</v>
      </c>
      <c r="AC572" t="s">
        <v>11186</v>
      </c>
      <c r="AD572" t="s">
        <v>11187</v>
      </c>
      <c r="AE572" t="s">
        <v>11188</v>
      </c>
      <c r="AF572" t="s">
        <v>74</v>
      </c>
      <c r="AG572">
        <v>52</v>
      </c>
      <c r="AH572">
        <v>3</v>
      </c>
      <c r="AI572">
        <v>4</v>
      </c>
      <c r="AJ572">
        <v>1</v>
      </c>
      <c r="AK572">
        <v>5</v>
      </c>
      <c r="AL572" t="s">
        <v>9442</v>
      </c>
      <c r="AM572" t="s">
        <v>9443</v>
      </c>
      <c r="AN572" t="s">
        <v>9444</v>
      </c>
      <c r="AO572" t="s">
        <v>11189</v>
      </c>
      <c r="AP572" t="s">
        <v>11190</v>
      </c>
      <c r="AQ572" t="s">
        <v>74</v>
      </c>
      <c r="AR572" t="s">
        <v>11191</v>
      </c>
      <c r="AS572" t="s">
        <v>11192</v>
      </c>
      <c r="AT572" t="s">
        <v>10370</v>
      </c>
      <c r="AU572">
        <v>2017</v>
      </c>
      <c r="AV572">
        <v>126</v>
      </c>
      <c r="AW572">
        <v>6</v>
      </c>
      <c r="AX572" t="s">
        <v>74</v>
      </c>
      <c r="AY572" t="s">
        <v>74</v>
      </c>
      <c r="AZ572" t="s">
        <v>74</v>
      </c>
      <c r="BA572" t="s">
        <v>74</v>
      </c>
      <c r="BB572" t="s">
        <v>74</v>
      </c>
      <c r="BC572" t="s">
        <v>74</v>
      </c>
      <c r="BD572" t="s">
        <v>74</v>
      </c>
      <c r="BE572" t="s">
        <v>11193</v>
      </c>
      <c r="BF572" t="str">
        <f>HYPERLINK("http://dx.doi.org/10.1007/s12040-017-0864-5","http://dx.doi.org/10.1007/s12040-017-0864-5")</f>
        <v>http://dx.doi.org/10.1007/s12040-017-0864-5</v>
      </c>
      <c r="BG572" t="s">
        <v>74</v>
      </c>
      <c r="BH572" t="s">
        <v>74</v>
      </c>
      <c r="BI572">
        <v>11</v>
      </c>
      <c r="BJ572" t="s">
        <v>11194</v>
      </c>
      <c r="BK572" t="s">
        <v>101</v>
      </c>
      <c r="BL572" t="s">
        <v>11195</v>
      </c>
      <c r="BM572" t="s">
        <v>11196</v>
      </c>
      <c r="BN572" t="s">
        <v>74</v>
      </c>
      <c r="BO572" t="s">
        <v>104</v>
      </c>
      <c r="BP572" t="s">
        <v>74</v>
      </c>
      <c r="BQ572" t="s">
        <v>74</v>
      </c>
      <c r="BR572" t="s">
        <v>105</v>
      </c>
      <c r="BS572" t="s">
        <v>11197</v>
      </c>
      <c r="BT572" t="str">
        <f>HYPERLINK("https%3A%2F%2Fwww.webofscience.com%2Fwos%2Fwoscc%2Ffull-record%2FWOS:000409107200011","View Full Record in Web of Science")</f>
        <v>View Full Record in Web of Science</v>
      </c>
    </row>
    <row r="573" spans="1:72" x14ac:dyDescent="0.15">
      <c r="A573" t="s">
        <v>72</v>
      </c>
      <c r="B573" t="s">
        <v>11198</v>
      </c>
      <c r="C573" t="s">
        <v>74</v>
      </c>
      <c r="D573" t="s">
        <v>74</v>
      </c>
      <c r="E573" t="s">
        <v>74</v>
      </c>
      <c r="F573" t="s">
        <v>11199</v>
      </c>
      <c r="G573" t="s">
        <v>74</v>
      </c>
      <c r="H573" t="s">
        <v>74</v>
      </c>
      <c r="I573" t="s">
        <v>11200</v>
      </c>
      <c r="J573" t="s">
        <v>6255</v>
      </c>
      <c r="K573" t="s">
        <v>74</v>
      </c>
      <c r="L573" t="s">
        <v>74</v>
      </c>
      <c r="M573" t="s">
        <v>78</v>
      </c>
      <c r="N573" t="s">
        <v>79</v>
      </c>
      <c r="O573" t="s">
        <v>74</v>
      </c>
      <c r="P573" t="s">
        <v>74</v>
      </c>
      <c r="Q573" t="s">
        <v>74</v>
      </c>
      <c r="R573" t="s">
        <v>74</v>
      </c>
      <c r="S573" t="s">
        <v>74</v>
      </c>
      <c r="T573" t="s">
        <v>74</v>
      </c>
      <c r="U573" t="s">
        <v>11201</v>
      </c>
      <c r="V573" t="s">
        <v>11202</v>
      </c>
      <c r="W573" t="s">
        <v>11203</v>
      </c>
      <c r="X573" t="s">
        <v>11204</v>
      </c>
      <c r="Y573" t="s">
        <v>11205</v>
      </c>
      <c r="Z573" t="s">
        <v>11206</v>
      </c>
      <c r="AA573" t="s">
        <v>11207</v>
      </c>
      <c r="AB573" t="s">
        <v>11208</v>
      </c>
      <c r="AC573" t="s">
        <v>11209</v>
      </c>
      <c r="AD573" t="s">
        <v>11209</v>
      </c>
      <c r="AE573" t="s">
        <v>11210</v>
      </c>
      <c r="AF573" t="s">
        <v>74</v>
      </c>
      <c r="AG573">
        <v>19</v>
      </c>
      <c r="AH573">
        <v>14</v>
      </c>
      <c r="AI573">
        <v>14</v>
      </c>
      <c r="AJ573">
        <v>0</v>
      </c>
      <c r="AK573">
        <v>9</v>
      </c>
      <c r="AL573" t="s">
        <v>6264</v>
      </c>
      <c r="AM573" t="s">
        <v>6176</v>
      </c>
      <c r="AN573" t="s">
        <v>6265</v>
      </c>
      <c r="AO573" t="s">
        <v>6266</v>
      </c>
      <c r="AP573" t="s">
        <v>6267</v>
      </c>
      <c r="AQ573" t="s">
        <v>74</v>
      </c>
      <c r="AR573" t="s">
        <v>6268</v>
      </c>
      <c r="AS573" t="s">
        <v>6269</v>
      </c>
      <c r="AT573" t="s">
        <v>10370</v>
      </c>
      <c r="AU573">
        <v>2017</v>
      </c>
      <c r="AV573">
        <v>142</v>
      </c>
      <c r="AW573">
        <v>2</v>
      </c>
      <c r="AX573" t="s">
        <v>74</v>
      </c>
      <c r="AY573" t="s">
        <v>74</v>
      </c>
      <c r="AZ573" t="s">
        <v>74</v>
      </c>
      <c r="BA573" t="s">
        <v>74</v>
      </c>
      <c r="BB573" t="s">
        <v>11211</v>
      </c>
      <c r="BC573" t="s">
        <v>11212</v>
      </c>
      <c r="BD573" t="s">
        <v>74</v>
      </c>
      <c r="BE573" t="s">
        <v>11213</v>
      </c>
      <c r="BF573" t="str">
        <f>HYPERLINK("http://dx.doi.org/10.1121/1.4998608","http://dx.doi.org/10.1121/1.4998608")</f>
        <v>http://dx.doi.org/10.1121/1.4998608</v>
      </c>
      <c r="BG573" t="s">
        <v>74</v>
      </c>
      <c r="BH573" t="s">
        <v>74</v>
      </c>
      <c r="BI573">
        <v>6</v>
      </c>
      <c r="BJ573" t="s">
        <v>6271</v>
      </c>
      <c r="BK573" t="s">
        <v>101</v>
      </c>
      <c r="BL573" t="s">
        <v>6271</v>
      </c>
      <c r="BM573" t="s">
        <v>11214</v>
      </c>
      <c r="BN573">
        <v>28863576</v>
      </c>
      <c r="BO573" t="s">
        <v>1170</v>
      </c>
      <c r="BP573" t="s">
        <v>74</v>
      </c>
      <c r="BQ573" t="s">
        <v>74</v>
      </c>
      <c r="BR573" t="s">
        <v>105</v>
      </c>
      <c r="BS573" t="s">
        <v>11215</v>
      </c>
      <c r="BT573" t="str">
        <f>HYPERLINK("https%3A%2F%2Fwww.webofscience.com%2Fwos%2Fwoscc%2Ffull-record%2FWOS:000409135800012","View Full Record in Web of Science")</f>
        <v>View Full Record in Web of Science</v>
      </c>
    </row>
    <row r="574" spans="1:72" x14ac:dyDescent="0.15">
      <c r="A574" t="s">
        <v>72</v>
      </c>
      <c r="B574" t="s">
        <v>11216</v>
      </c>
      <c r="C574" t="s">
        <v>74</v>
      </c>
      <c r="D574" t="s">
        <v>74</v>
      </c>
      <c r="E574" t="s">
        <v>74</v>
      </c>
      <c r="F574" t="s">
        <v>11217</v>
      </c>
      <c r="G574" t="s">
        <v>74</v>
      </c>
      <c r="H574" t="s">
        <v>74</v>
      </c>
      <c r="I574" t="s">
        <v>11218</v>
      </c>
      <c r="J574" t="s">
        <v>11219</v>
      </c>
      <c r="K574" t="s">
        <v>74</v>
      </c>
      <c r="L574" t="s">
        <v>74</v>
      </c>
      <c r="M574" t="s">
        <v>78</v>
      </c>
      <c r="N574" t="s">
        <v>79</v>
      </c>
      <c r="O574" t="s">
        <v>74</v>
      </c>
      <c r="P574" t="s">
        <v>74</v>
      </c>
      <c r="Q574" t="s">
        <v>74</v>
      </c>
      <c r="R574" t="s">
        <v>74</v>
      </c>
      <c r="S574" t="s">
        <v>74</v>
      </c>
      <c r="T574" t="s">
        <v>11220</v>
      </c>
      <c r="U574" t="s">
        <v>11221</v>
      </c>
      <c r="V574" t="s">
        <v>11222</v>
      </c>
      <c r="W574" t="s">
        <v>11223</v>
      </c>
      <c r="X574" t="s">
        <v>11224</v>
      </c>
      <c r="Y574" t="s">
        <v>11225</v>
      </c>
      <c r="Z574" t="s">
        <v>11226</v>
      </c>
      <c r="AA574" t="s">
        <v>74</v>
      </c>
      <c r="AB574" t="s">
        <v>7527</v>
      </c>
      <c r="AC574" t="s">
        <v>11227</v>
      </c>
      <c r="AD574" t="s">
        <v>11228</v>
      </c>
      <c r="AE574" t="s">
        <v>11229</v>
      </c>
      <c r="AF574" t="s">
        <v>74</v>
      </c>
      <c r="AG574">
        <v>14</v>
      </c>
      <c r="AH574">
        <v>6</v>
      </c>
      <c r="AI574">
        <v>6</v>
      </c>
      <c r="AJ574">
        <v>1</v>
      </c>
      <c r="AK574">
        <v>9</v>
      </c>
      <c r="AL574" t="s">
        <v>6437</v>
      </c>
      <c r="AM574" t="s">
        <v>3486</v>
      </c>
      <c r="AN574" t="s">
        <v>3487</v>
      </c>
      <c r="AO574" t="s">
        <v>11230</v>
      </c>
      <c r="AP574" t="s">
        <v>74</v>
      </c>
      <c r="AQ574" t="s">
        <v>74</v>
      </c>
      <c r="AR574" t="s">
        <v>11231</v>
      </c>
      <c r="AS574" t="s">
        <v>11232</v>
      </c>
      <c r="AT574" t="s">
        <v>10370</v>
      </c>
      <c r="AU574">
        <v>2017</v>
      </c>
      <c r="AV574">
        <v>9</v>
      </c>
      <c r="AW574">
        <v>8</v>
      </c>
      <c r="AX574" t="s">
        <v>74</v>
      </c>
      <c r="AY574" t="s">
        <v>74</v>
      </c>
      <c r="AZ574" t="s">
        <v>74</v>
      </c>
      <c r="BA574" t="s">
        <v>74</v>
      </c>
      <c r="BB574" t="s">
        <v>74</v>
      </c>
      <c r="BC574" t="s">
        <v>74</v>
      </c>
      <c r="BD574">
        <v>578</v>
      </c>
      <c r="BE574" t="s">
        <v>11233</v>
      </c>
      <c r="BF574" t="str">
        <f>HYPERLINK("http://dx.doi.org/10.3390/w9080578","http://dx.doi.org/10.3390/w9080578")</f>
        <v>http://dx.doi.org/10.3390/w9080578</v>
      </c>
      <c r="BG574" t="s">
        <v>74</v>
      </c>
      <c r="BH574" t="s">
        <v>74</v>
      </c>
      <c r="BI574">
        <v>10</v>
      </c>
      <c r="BJ574" t="s">
        <v>11234</v>
      </c>
      <c r="BK574" t="s">
        <v>101</v>
      </c>
      <c r="BL574" t="s">
        <v>11235</v>
      </c>
      <c r="BM574" t="s">
        <v>11236</v>
      </c>
      <c r="BN574" t="s">
        <v>74</v>
      </c>
      <c r="BO574" t="s">
        <v>322</v>
      </c>
      <c r="BP574" t="s">
        <v>74</v>
      </c>
      <c r="BQ574" t="s">
        <v>74</v>
      </c>
      <c r="BR574" t="s">
        <v>105</v>
      </c>
      <c r="BS574" t="s">
        <v>11237</v>
      </c>
      <c r="BT574" t="str">
        <f>HYPERLINK("https%3A%2F%2Fwww.webofscience.com%2Fwos%2Fwoscc%2Ffull-record%2FWOS:000408729200025","View Full Record in Web of Science")</f>
        <v>View Full Record in Web of Science</v>
      </c>
    </row>
    <row r="575" spans="1:72" x14ac:dyDescent="0.15">
      <c r="A575" t="s">
        <v>72</v>
      </c>
      <c r="B575" t="s">
        <v>11238</v>
      </c>
      <c r="C575" t="s">
        <v>74</v>
      </c>
      <c r="D575" t="s">
        <v>74</v>
      </c>
      <c r="E575" t="s">
        <v>74</v>
      </c>
      <c r="F575" t="s">
        <v>11239</v>
      </c>
      <c r="G575" t="s">
        <v>74</v>
      </c>
      <c r="H575" t="s">
        <v>74</v>
      </c>
      <c r="I575" t="s">
        <v>11240</v>
      </c>
      <c r="J575" t="s">
        <v>5635</v>
      </c>
      <c r="K575" t="s">
        <v>74</v>
      </c>
      <c r="L575" t="s">
        <v>74</v>
      </c>
      <c r="M575" t="s">
        <v>78</v>
      </c>
      <c r="N575" t="s">
        <v>79</v>
      </c>
      <c r="O575" t="s">
        <v>74</v>
      </c>
      <c r="P575" t="s">
        <v>74</v>
      </c>
      <c r="Q575" t="s">
        <v>74</v>
      </c>
      <c r="R575" t="s">
        <v>74</v>
      </c>
      <c r="S575" t="s">
        <v>74</v>
      </c>
      <c r="T575" t="s">
        <v>74</v>
      </c>
      <c r="U575" t="s">
        <v>11241</v>
      </c>
      <c r="V575" t="s">
        <v>11242</v>
      </c>
      <c r="W575" t="s">
        <v>11243</v>
      </c>
      <c r="X575" t="s">
        <v>11244</v>
      </c>
      <c r="Y575" t="s">
        <v>11245</v>
      </c>
      <c r="Z575" t="s">
        <v>11246</v>
      </c>
      <c r="AA575" t="s">
        <v>11247</v>
      </c>
      <c r="AB575" t="s">
        <v>11248</v>
      </c>
      <c r="AC575" t="s">
        <v>11249</v>
      </c>
      <c r="AD575" t="s">
        <v>11250</v>
      </c>
      <c r="AE575" t="s">
        <v>11251</v>
      </c>
      <c r="AF575" t="s">
        <v>74</v>
      </c>
      <c r="AG575">
        <v>77</v>
      </c>
      <c r="AH575">
        <v>16</v>
      </c>
      <c r="AI575">
        <v>17</v>
      </c>
      <c r="AJ575">
        <v>0</v>
      </c>
      <c r="AK575">
        <v>51</v>
      </c>
      <c r="AL575" t="s">
        <v>91</v>
      </c>
      <c r="AM575" t="s">
        <v>92</v>
      </c>
      <c r="AN575" t="s">
        <v>93</v>
      </c>
      <c r="AO575" t="s">
        <v>5647</v>
      </c>
      <c r="AP575" t="s">
        <v>5648</v>
      </c>
      <c r="AQ575" t="s">
        <v>74</v>
      </c>
      <c r="AR575" t="s">
        <v>5649</v>
      </c>
      <c r="AS575" t="s">
        <v>5650</v>
      </c>
      <c r="AT575" t="s">
        <v>10370</v>
      </c>
      <c r="AU575">
        <v>2017</v>
      </c>
      <c r="AV575">
        <v>31</v>
      </c>
      <c r="AW575">
        <v>8</v>
      </c>
      <c r="AX575" t="s">
        <v>74</v>
      </c>
      <c r="AY575" t="s">
        <v>74</v>
      </c>
      <c r="AZ575" t="s">
        <v>74</v>
      </c>
      <c r="BA575" t="s">
        <v>74</v>
      </c>
      <c r="BB575">
        <v>1318</v>
      </c>
      <c r="BC575">
        <v>1331</v>
      </c>
      <c r="BD575" t="s">
        <v>74</v>
      </c>
      <c r="BE575" t="s">
        <v>11252</v>
      </c>
      <c r="BF575" t="str">
        <f>HYPERLINK("http://dx.doi.org/10.1002/2017GB005637","http://dx.doi.org/10.1002/2017GB005637")</f>
        <v>http://dx.doi.org/10.1002/2017GB005637</v>
      </c>
      <c r="BG575" t="s">
        <v>74</v>
      </c>
      <c r="BH575" t="s">
        <v>74</v>
      </c>
      <c r="BI575">
        <v>14</v>
      </c>
      <c r="BJ575" t="s">
        <v>2986</v>
      </c>
      <c r="BK575" t="s">
        <v>101</v>
      </c>
      <c r="BL575" t="s">
        <v>2987</v>
      </c>
      <c r="BM575" t="s">
        <v>11253</v>
      </c>
      <c r="BN575" t="s">
        <v>74</v>
      </c>
      <c r="BO575" t="s">
        <v>11254</v>
      </c>
      <c r="BP575" t="s">
        <v>74</v>
      </c>
      <c r="BQ575" t="s">
        <v>74</v>
      </c>
      <c r="BR575" t="s">
        <v>105</v>
      </c>
      <c r="BS575" t="s">
        <v>11255</v>
      </c>
      <c r="BT575" t="str">
        <f>HYPERLINK("https%3A%2F%2Fwww.webofscience.com%2Fwos%2Fwoscc%2Ffull-record%2FWOS:000409481500007","View Full Record in Web of Science")</f>
        <v>View Full Record in Web of Science</v>
      </c>
    </row>
    <row r="576" spans="1:72" x14ac:dyDescent="0.15">
      <c r="A576" t="s">
        <v>72</v>
      </c>
      <c r="B576" t="s">
        <v>11256</v>
      </c>
      <c r="C576" t="s">
        <v>74</v>
      </c>
      <c r="D576" t="s">
        <v>74</v>
      </c>
      <c r="E576" t="s">
        <v>74</v>
      </c>
      <c r="F576" t="s">
        <v>11257</v>
      </c>
      <c r="G576" t="s">
        <v>74</v>
      </c>
      <c r="H576" t="s">
        <v>74</v>
      </c>
      <c r="I576" t="s">
        <v>11258</v>
      </c>
      <c r="J576" t="s">
        <v>11259</v>
      </c>
      <c r="K576" t="s">
        <v>74</v>
      </c>
      <c r="L576" t="s">
        <v>74</v>
      </c>
      <c r="M576" t="s">
        <v>78</v>
      </c>
      <c r="N576" t="s">
        <v>79</v>
      </c>
      <c r="O576" t="s">
        <v>74</v>
      </c>
      <c r="P576" t="s">
        <v>74</v>
      </c>
      <c r="Q576" t="s">
        <v>74</v>
      </c>
      <c r="R576" t="s">
        <v>74</v>
      </c>
      <c r="S576" t="s">
        <v>74</v>
      </c>
      <c r="T576" t="s">
        <v>11260</v>
      </c>
      <c r="U576" t="s">
        <v>74</v>
      </c>
      <c r="V576" t="s">
        <v>11261</v>
      </c>
      <c r="W576" t="s">
        <v>11262</v>
      </c>
      <c r="X576" t="s">
        <v>11263</v>
      </c>
      <c r="Y576" t="s">
        <v>11264</v>
      </c>
      <c r="Z576" t="s">
        <v>11265</v>
      </c>
      <c r="AA576" t="s">
        <v>11266</v>
      </c>
      <c r="AB576" t="s">
        <v>11267</v>
      </c>
      <c r="AC576" t="s">
        <v>11268</v>
      </c>
      <c r="AD576" t="s">
        <v>11268</v>
      </c>
      <c r="AE576" t="s">
        <v>11269</v>
      </c>
      <c r="AF576" t="s">
        <v>74</v>
      </c>
      <c r="AG576">
        <v>11</v>
      </c>
      <c r="AH576">
        <v>36</v>
      </c>
      <c r="AI576">
        <v>37</v>
      </c>
      <c r="AJ576">
        <v>0</v>
      </c>
      <c r="AK576">
        <v>10</v>
      </c>
      <c r="AL576" t="s">
        <v>3485</v>
      </c>
      <c r="AM576" t="s">
        <v>3486</v>
      </c>
      <c r="AN576" t="s">
        <v>3487</v>
      </c>
      <c r="AO576" t="s">
        <v>74</v>
      </c>
      <c r="AP576" t="s">
        <v>11270</v>
      </c>
      <c r="AQ576" t="s">
        <v>74</v>
      </c>
      <c r="AR576" t="s">
        <v>11271</v>
      </c>
      <c r="AS576" t="s">
        <v>11272</v>
      </c>
      <c r="AT576" t="s">
        <v>10370</v>
      </c>
      <c r="AU576">
        <v>2017</v>
      </c>
      <c r="AV576">
        <v>17</v>
      </c>
      <c r="AW576">
        <v>8</v>
      </c>
      <c r="AX576" t="s">
        <v>74</v>
      </c>
      <c r="AY576" t="s">
        <v>74</v>
      </c>
      <c r="AZ576" t="s">
        <v>74</v>
      </c>
      <c r="BA576" t="s">
        <v>74</v>
      </c>
      <c r="BB576" t="s">
        <v>74</v>
      </c>
      <c r="BC576" t="s">
        <v>74</v>
      </c>
      <c r="BD576">
        <v>1903</v>
      </c>
      <c r="BE576" t="s">
        <v>11273</v>
      </c>
      <c r="BF576" t="str">
        <f>HYPERLINK("http://dx.doi.org/10.3390/s17081903","http://dx.doi.org/10.3390/s17081903")</f>
        <v>http://dx.doi.org/10.3390/s17081903</v>
      </c>
      <c r="BG576" t="s">
        <v>74</v>
      </c>
      <c r="BH576" t="s">
        <v>74</v>
      </c>
      <c r="BI576">
        <v>18</v>
      </c>
      <c r="BJ576" t="s">
        <v>11274</v>
      </c>
      <c r="BK576" t="s">
        <v>101</v>
      </c>
      <c r="BL576" t="s">
        <v>11275</v>
      </c>
      <c r="BM576" t="s">
        <v>11276</v>
      </c>
      <c r="BN576">
        <v>28820477</v>
      </c>
      <c r="BO576" t="s">
        <v>658</v>
      </c>
      <c r="BP576" t="s">
        <v>74</v>
      </c>
      <c r="BQ576" t="s">
        <v>74</v>
      </c>
      <c r="BR576" t="s">
        <v>105</v>
      </c>
      <c r="BS576" t="s">
        <v>11277</v>
      </c>
      <c r="BT576" t="str">
        <f>HYPERLINK("https%3A%2F%2Fwww.webofscience.com%2Fwos%2Fwoscc%2Ffull-record%2FWOS:000408576900206","View Full Record in Web of Science")</f>
        <v>View Full Record in Web of Science</v>
      </c>
    </row>
    <row r="577" spans="1:72" x14ac:dyDescent="0.15">
      <c r="A577" t="s">
        <v>72</v>
      </c>
      <c r="B577" t="s">
        <v>11278</v>
      </c>
      <c r="C577" t="s">
        <v>74</v>
      </c>
      <c r="D577" t="s">
        <v>74</v>
      </c>
      <c r="E577" t="s">
        <v>74</v>
      </c>
      <c r="F577" t="s">
        <v>11279</v>
      </c>
      <c r="G577" t="s">
        <v>74</v>
      </c>
      <c r="H577" t="s">
        <v>74</v>
      </c>
      <c r="I577" t="s">
        <v>11280</v>
      </c>
      <c r="J577" t="s">
        <v>11281</v>
      </c>
      <c r="K577" t="s">
        <v>74</v>
      </c>
      <c r="L577" t="s">
        <v>74</v>
      </c>
      <c r="M577" t="s">
        <v>78</v>
      </c>
      <c r="N577" t="s">
        <v>79</v>
      </c>
      <c r="O577" t="s">
        <v>74</v>
      </c>
      <c r="P577" t="s">
        <v>74</v>
      </c>
      <c r="Q577" t="s">
        <v>74</v>
      </c>
      <c r="R577" t="s">
        <v>74</v>
      </c>
      <c r="S577" t="s">
        <v>74</v>
      </c>
      <c r="T577" t="s">
        <v>11282</v>
      </c>
      <c r="U577" t="s">
        <v>11283</v>
      </c>
      <c r="V577" t="s">
        <v>11284</v>
      </c>
      <c r="W577" t="s">
        <v>11285</v>
      </c>
      <c r="X577" t="s">
        <v>2877</v>
      </c>
      <c r="Y577" t="s">
        <v>11286</v>
      </c>
      <c r="Z577" t="s">
        <v>11287</v>
      </c>
      <c r="AA577" t="s">
        <v>11288</v>
      </c>
      <c r="AB577" t="s">
        <v>11289</v>
      </c>
      <c r="AC577" t="s">
        <v>11290</v>
      </c>
      <c r="AD577" t="s">
        <v>11291</v>
      </c>
      <c r="AE577" t="s">
        <v>11292</v>
      </c>
      <c r="AF577" t="s">
        <v>74</v>
      </c>
      <c r="AG577">
        <v>74</v>
      </c>
      <c r="AH577">
        <v>10</v>
      </c>
      <c r="AI577">
        <v>10</v>
      </c>
      <c r="AJ577">
        <v>1</v>
      </c>
      <c r="AK577">
        <v>26</v>
      </c>
      <c r="AL577" t="s">
        <v>208</v>
      </c>
      <c r="AM577" t="s">
        <v>3872</v>
      </c>
      <c r="AN577" t="s">
        <v>3873</v>
      </c>
      <c r="AO577" t="s">
        <v>11293</v>
      </c>
      <c r="AP577" t="s">
        <v>11294</v>
      </c>
      <c r="AQ577" t="s">
        <v>74</v>
      </c>
      <c r="AR577" t="s">
        <v>11295</v>
      </c>
      <c r="AS577" t="s">
        <v>11296</v>
      </c>
      <c r="AT577" t="s">
        <v>10370</v>
      </c>
      <c r="AU577">
        <v>2017</v>
      </c>
      <c r="AV577">
        <v>10</v>
      </c>
      <c r="AW577">
        <v>6</v>
      </c>
      <c r="AX577" t="s">
        <v>74</v>
      </c>
      <c r="AY577" t="s">
        <v>74</v>
      </c>
      <c r="AZ577" t="s">
        <v>74</v>
      </c>
      <c r="BA577" t="s">
        <v>74</v>
      </c>
      <c r="BB577">
        <v>783</v>
      </c>
      <c r="BC577">
        <v>798</v>
      </c>
      <c r="BD577" t="s">
        <v>74</v>
      </c>
      <c r="BE577" t="s">
        <v>11297</v>
      </c>
      <c r="BF577" t="str">
        <f>HYPERLINK("http://dx.doi.org/10.1007/s11869-017-0470-3","http://dx.doi.org/10.1007/s11869-017-0470-3")</f>
        <v>http://dx.doi.org/10.1007/s11869-017-0470-3</v>
      </c>
      <c r="BG577" t="s">
        <v>74</v>
      </c>
      <c r="BH577" t="s">
        <v>74</v>
      </c>
      <c r="BI577">
        <v>16</v>
      </c>
      <c r="BJ577" t="s">
        <v>2867</v>
      </c>
      <c r="BK577" t="s">
        <v>101</v>
      </c>
      <c r="BL577" t="s">
        <v>1048</v>
      </c>
      <c r="BM577" t="s">
        <v>11298</v>
      </c>
      <c r="BN577" t="s">
        <v>74</v>
      </c>
      <c r="BO577" t="s">
        <v>74</v>
      </c>
      <c r="BP577" t="s">
        <v>74</v>
      </c>
      <c r="BQ577" t="s">
        <v>74</v>
      </c>
      <c r="BR577" t="s">
        <v>105</v>
      </c>
      <c r="BS577" t="s">
        <v>11299</v>
      </c>
      <c r="BT577" t="str">
        <f>HYPERLINK("https%3A%2F%2Fwww.webofscience.com%2Fwos%2Fwoscc%2Ffull-record%2FWOS:000409036700010","View Full Record in Web of Science")</f>
        <v>View Full Record in Web of Science</v>
      </c>
    </row>
    <row r="578" spans="1:72" x14ac:dyDescent="0.15">
      <c r="A578" t="s">
        <v>72</v>
      </c>
      <c r="B578" t="s">
        <v>11300</v>
      </c>
      <c r="C578" t="s">
        <v>74</v>
      </c>
      <c r="D578" t="s">
        <v>74</v>
      </c>
      <c r="E578" t="s">
        <v>74</v>
      </c>
      <c r="F578" t="s">
        <v>11301</v>
      </c>
      <c r="G578" t="s">
        <v>74</v>
      </c>
      <c r="H578" t="s">
        <v>74</v>
      </c>
      <c r="I578" t="s">
        <v>11302</v>
      </c>
      <c r="J578" t="s">
        <v>11303</v>
      </c>
      <c r="K578" t="s">
        <v>74</v>
      </c>
      <c r="L578" t="s">
        <v>74</v>
      </c>
      <c r="M578" t="s">
        <v>78</v>
      </c>
      <c r="N578" t="s">
        <v>79</v>
      </c>
      <c r="O578" t="s">
        <v>74</v>
      </c>
      <c r="P578" t="s">
        <v>74</v>
      </c>
      <c r="Q578" t="s">
        <v>74</v>
      </c>
      <c r="R578" t="s">
        <v>74</v>
      </c>
      <c r="S578" t="s">
        <v>74</v>
      </c>
      <c r="T578" t="s">
        <v>11304</v>
      </c>
      <c r="U578" t="s">
        <v>11305</v>
      </c>
      <c r="V578" t="s">
        <v>11306</v>
      </c>
      <c r="W578" t="s">
        <v>11307</v>
      </c>
      <c r="X578" t="s">
        <v>11308</v>
      </c>
      <c r="Y578" t="s">
        <v>11309</v>
      </c>
      <c r="Z578" t="s">
        <v>11310</v>
      </c>
      <c r="AA578" t="s">
        <v>11311</v>
      </c>
      <c r="AB578" t="s">
        <v>11312</v>
      </c>
      <c r="AC578" t="s">
        <v>11313</v>
      </c>
      <c r="AD578" t="s">
        <v>11314</v>
      </c>
      <c r="AE578" t="s">
        <v>11315</v>
      </c>
      <c r="AF578" t="s">
        <v>74</v>
      </c>
      <c r="AG578">
        <v>38</v>
      </c>
      <c r="AH578">
        <v>4</v>
      </c>
      <c r="AI578">
        <v>5</v>
      </c>
      <c r="AJ578">
        <v>1</v>
      </c>
      <c r="AK578">
        <v>15</v>
      </c>
      <c r="AL578" t="s">
        <v>1338</v>
      </c>
      <c r="AM578" t="s">
        <v>1339</v>
      </c>
      <c r="AN578" t="s">
        <v>1340</v>
      </c>
      <c r="AO578" t="s">
        <v>11316</v>
      </c>
      <c r="AP578" t="s">
        <v>11317</v>
      </c>
      <c r="AQ578" t="s">
        <v>74</v>
      </c>
      <c r="AR578" t="s">
        <v>11318</v>
      </c>
      <c r="AS578" t="s">
        <v>11319</v>
      </c>
      <c r="AT578" t="s">
        <v>10370</v>
      </c>
      <c r="AU578">
        <v>2017</v>
      </c>
      <c r="AV578">
        <v>53</v>
      </c>
      <c r="AW578">
        <v>4</v>
      </c>
      <c r="AX578" t="s">
        <v>74</v>
      </c>
      <c r="AY578" t="s">
        <v>74</v>
      </c>
      <c r="AZ578" t="s">
        <v>74</v>
      </c>
      <c r="BA578" t="s">
        <v>74</v>
      </c>
      <c r="BB578">
        <v>908</v>
      </c>
      <c r="BC578">
        <v>915</v>
      </c>
      <c r="BD578" t="s">
        <v>74</v>
      </c>
      <c r="BE578" t="s">
        <v>11320</v>
      </c>
      <c r="BF578" t="str">
        <f>HYPERLINK("http://dx.doi.org/10.1111/jpy.12541","http://dx.doi.org/10.1111/jpy.12541")</f>
        <v>http://dx.doi.org/10.1111/jpy.12541</v>
      </c>
      <c r="BG578" t="s">
        <v>74</v>
      </c>
      <c r="BH578" t="s">
        <v>74</v>
      </c>
      <c r="BI578">
        <v>8</v>
      </c>
      <c r="BJ578" t="s">
        <v>10762</v>
      </c>
      <c r="BK578" t="s">
        <v>101</v>
      </c>
      <c r="BL578" t="s">
        <v>10762</v>
      </c>
      <c r="BM578" t="s">
        <v>11321</v>
      </c>
      <c r="BN578">
        <v>28394430</v>
      </c>
      <c r="BO578" t="s">
        <v>74</v>
      </c>
      <c r="BP578" t="s">
        <v>74</v>
      </c>
      <c r="BQ578" t="s">
        <v>74</v>
      </c>
      <c r="BR578" t="s">
        <v>105</v>
      </c>
      <c r="BS578" t="s">
        <v>11322</v>
      </c>
      <c r="BT578" t="str">
        <f>HYPERLINK("https%3A%2F%2Fwww.webofscience.com%2Fwos%2Fwoscc%2Ffull-record%2FWOS:000409242000014","View Full Record in Web of Science")</f>
        <v>View Full Record in Web of Science</v>
      </c>
    </row>
    <row r="579" spans="1:72" x14ac:dyDescent="0.15">
      <c r="A579" t="s">
        <v>72</v>
      </c>
      <c r="B579" t="s">
        <v>11323</v>
      </c>
      <c r="C579" t="s">
        <v>74</v>
      </c>
      <c r="D579" t="s">
        <v>74</v>
      </c>
      <c r="E579" t="s">
        <v>74</v>
      </c>
      <c r="F579" t="s">
        <v>11324</v>
      </c>
      <c r="G579" t="s">
        <v>74</v>
      </c>
      <c r="H579" t="s">
        <v>74</v>
      </c>
      <c r="I579" t="s">
        <v>11325</v>
      </c>
      <c r="J579" t="s">
        <v>1993</v>
      </c>
      <c r="K579" t="s">
        <v>74</v>
      </c>
      <c r="L579" t="s">
        <v>74</v>
      </c>
      <c r="M579" t="s">
        <v>78</v>
      </c>
      <c r="N579" t="s">
        <v>79</v>
      </c>
      <c r="O579" t="s">
        <v>74</v>
      </c>
      <c r="P579" t="s">
        <v>74</v>
      </c>
      <c r="Q579" t="s">
        <v>74</v>
      </c>
      <c r="R579" t="s">
        <v>74</v>
      </c>
      <c r="S579" t="s">
        <v>74</v>
      </c>
      <c r="T579" t="s">
        <v>11326</v>
      </c>
      <c r="U579" t="s">
        <v>11327</v>
      </c>
      <c r="V579" t="s">
        <v>11328</v>
      </c>
      <c r="W579" t="s">
        <v>11329</v>
      </c>
      <c r="X579" t="s">
        <v>11330</v>
      </c>
      <c r="Y579" t="s">
        <v>11331</v>
      </c>
      <c r="Z579" t="s">
        <v>11332</v>
      </c>
      <c r="AA579" t="s">
        <v>11333</v>
      </c>
      <c r="AB579" t="s">
        <v>11334</v>
      </c>
      <c r="AC579" t="s">
        <v>11335</v>
      </c>
      <c r="AD579" t="s">
        <v>11336</v>
      </c>
      <c r="AE579" t="s">
        <v>11337</v>
      </c>
      <c r="AF579" t="s">
        <v>74</v>
      </c>
      <c r="AG579">
        <v>48</v>
      </c>
      <c r="AH579">
        <v>6</v>
      </c>
      <c r="AI579">
        <v>7</v>
      </c>
      <c r="AJ579">
        <v>3</v>
      </c>
      <c r="AK579">
        <v>34</v>
      </c>
      <c r="AL579" t="s">
        <v>1338</v>
      </c>
      <c r="AM579" t="s">
        <v>1339</v>
      </c>
      <c r="AN579" t="s">
        <v>1340</v>
      </c>
      <c r="AO579" t="s">
        <v>2002</v>
      </c>
      <c r="AP579" t="s">
        <v>2003</v>
      </c>
      <c r="AQ579" t="s">
        <v>74</v>
      </c>
      <c r="AR579" t="s">
        <v>2004</v>
      </c>
      <c r="AS579" t="s">
        <v>2005</v>
      </c>
      <c r="AT579" t="s">
        <v>10370</v>
      </c>
      <c r="AU579">
        <v>2017</v>
      </c>
      <c r="AV579">
        <v>57</v>
      </c>
      <c r="AW579">
        <v>8</v>
      </c>
      <c r="AX579" t="s">
        <v>74</v>
      </c>
      <c r="AY579" t="s">
        <v>74</v>
      </c>
      <c r="AZ579" t="s">
        <v>74</v>
      </c>
      <c r="BA579" t="s">
        <v>74</v>
      </c>
      <c r="BB579">
        <v>680</v>
      </c>
      <c r="BC579">
        <v>690</v>
      </c>
      <c r="BD579" t="s">
        <v>74</v>
      </c>
      <c r="BE579" t="s">
        <v>11338</v>
      </c>
      <c r="BF579" t="str">
        <f>HYPERLINK("http://dx.doi.org/10.1002/jobm.201700165","http://dx.doi.org/10.1002/jobm.201700165")</f>
        <v>http://dx.doi.org/10.1002/jobm.201700165</v>
      </c>
      <c r="BG579" t="s">
        <v>74</v>
      </c>
      <c r="BH579" t="s">
        <v>74</v>
      </c>
      <c r="BI579">
        <v>11</v>
      </c>
      <c r="BJ579" t="s">
        <v>457</v>
      </c>
      <c r="BK579" t="s">
        <v>101</v>
      </c>
      <c r="BL579" t="s">
        <v>457</v>
      </c>
      <c r="BM579" t="s">
        <v>11339</v>
      </c>
      <c r="BN579">
        <v>28639705</v>
      </c>
      <c r="BO579" t="s">
        <v>74</v>
      </c>
      <c r="BP579" t="s">
        <v>74</v>
      </c>
      <c r="BQ579" t="s">
        <v>74</v>
      </c>
      <c r="BR579" t="s">
        <v>105</v>
      </c>
      <c r="BS579" t="s">
        <v>11340</v>
      </c>
      <c r="BT579" t="str">
        <f>HYPERLINK("https%3A%2F%2Fwww.webofscience.com%2Fwos%2Fwoscc%2Ffull-record%2FWOS:000409031400005","View Full Record in Web of Science")</f>
        <v>View Full Record in Web of Science</v>
      </c>
    </row>
    <row r="580" spans="1:72" x14ac:dyDescent="0.15">
      <c r="A580" t="s">
        <v>72</v>
      </c>
      <c r="B580" t="s">
        <v>11341</v>
      </c>
      <c r="C580" t="s">
        <v>74</v>
      </c>
      <c r="D580" t="s">
        <v>74</v>
      </c>
      <c r="E580" t="s">
        <v>74</v>
      </c>
      <c r="F580" t="s">
        <v>11342</v>
      </c>
      <c r="G580" t="s">
        <v>74</v>
      </c>
      <c r="H580" t="s">
        <v>74</v>
      </c>
      <c r="I580" t="s">
        <v>11343</v>
      </c>
      <c r="J580" t="s">
        <v>2012</v>
      </c>
      <c r="K580" t="s">
        <v>74</v>
      </c>
      <c r="L580" t="s">
        <v>74</v>
      </c>
      <c r="M580" t="s">
        <v>78</v>
      </c>
      <c r="N580" t="s">
        <v>79</v>
      </c>
      <c r="O580" t="s">
        <v>74</v>
      </c>
      <c r="P580" t="s">
        <v>74</v>
      </c>
      <c r="Q580" t="s">
        <v>74</v>
      </c>
      <c r="R580" t="s">
        <v>74</v>
      </c>
      <c r="S580" t="s">
        <v>74</v>
      </c>
      <c r="T580" t="s">
        <v>11344</v>
      </c>
      <c r="U580" t="s">
        <v>11345</v>
      </c>
      <c r="V580" t="s">
        <v>11346</v>
      </c>
      <c r="W580" t="s">
        <v>11347</v>
      </c>
      <c r="X580" t="s">
        <v>11348</v>
      </c>
      <c r="Y580" t="s">
        <v>11349</v>
      </c>
      <c r="Z580" t="s">
        <v>11350</v>
      </c>
      <c r="AA580" t="s">
        <v>11351</v>
      </c>
      <c r="AB580" t="s">
        <v>11352</v>
      </c>
      <c r="AC580" t="s">
        <v>11353</v>
      </c>
      <c r="AD580" t="s">
        <v>11354</v>
      </c>
      <c r="AE580" t="s">
        <v>11355</v>
      </c>
      <c r="AF580" t="s">
        <v>74</v>
      </c>
      <c r="AG580">
        <v>78</v>
      </c>
      <c r="AH580">
        <v>14</v>
      </c>
      <c r="AI580">
        <v>14</v>
      </c>
      <c r="AJ580">
        <v>2</v>
      </c>
      <c r="AK580">
        <v>13</v>
      </c>
      <c r="AL580" t="s">
        <v>1338</v>
      </c>
      <c r="AM580" t="s">
        <v>1339</v>
      </c>
      <c r="AN580" t="s">
        <v>1340</v>
      </c>
      <c r="AO580" t="s">
        <v>2025</v>
      </c>
      <c r="AP580" t="s">
        <v>2026</v>
      </c>
      <c r="AQ580" t="s">
        <v>74</v>
      </c>
      <c r="AR580" t="s">
        <v>2027</v>
      </c>
      <c r="AS580" t="s">
        <v>2028</v>
      </c>
      <c r="AT580" t="s">
        <v>10370</v>
      </c>
      <c r="AU580">
        <v>2017</v>
      </c>
      <c r="AV580">
        <v>32</v>
      </c>
      <c r="AW580">
        <v>6</v>
      </c>
      <c r="AX580" t="s">
        <v>74</v>
      </c>
      <c r="AY580" t="s">
        <v>74</v>
      </c>
      <c r="AZ580" t="s">
        <v>1188</v>
      </c>
      <c r="BA580" t="s">
        <v>74</v>
      </c>
      <c r="BB580">
        <v>704</v>
      </c>
      <c r="BC580">
        <v>716</v>
      </c>
      <c r="BD580" t="s">
        <v>74</v>
      </c>
      <c r="BE580" t="s">
        <v>11356</v>
      </c>
      <c r="BF580" t="str">
        <f>HYPERLINK("http://dx.doi.org/10.1002/jqs.2977","http://dx.doi.org/10.1002/jqs.2977")</f>
        <v>http://dx.doi.org/10.1002/jqs.2977</v>
      </c>
      <c r="BG580" t="s">
        <v>74</v>
      </c>
      <c r="BH580" t="s">
        <v>74</v>
      </c>
      <c r="BI580">
        <v>13</v>
      </c>
      <c r="BJ580" t="s">
        <v>319</v>
      </c>
      <c r="BK580" t="s">
        <v>101</v>
      </c>
      <c r="BL580" t="s">
        <v>320</v>
      </c>
      <c r="BM580" t="s">
        <v>11357</v>
      </c>
      <c r="BN580" t="s">
        <v>74</v>
      </c>
      <c r="BO580" t="s">
        <v>74</v>
      </c>
      <c r="BP580" t="s">
        <v>74</v>
      </c>
      <c r="BQ580" t="s">
        <v>74</v>
      </c>
      <c r="BR580" t="s">
        <v>105</v>
      </c>
      <c r="BS580" t="s">
        <v>11358</v>
      </c>
      <c r="BT580" t="str">
        <f>HYPERLINK("https%3A%2F%2Fwww.webofscience.com%2Fwos%2Fwoscc%2Ffull-record%2FWOS:000409047100004","View Full Record in Web of Science")</f>
        <v>View Full Record in Web of Science</v>
      </c>
    </row>
    <row r="581" spans="1:72" x14ac:dyDescent="0.15">
      <c r="A581" t="s">
        <v>72</v>
      </c>
      <c r="B581" t="s">
        <v>11359</v>
      </c>
      <c r="C581" t="s">
        <v>74</v>
      </c>
      <c r="D581" t="s">
        <v>74</v>
      </c>
      <c r="E581" t="s">
        <v>74</v>
      </c>
      <c r="F581" t="s">
        <v>11360</v>
      </c>
      <c r="G581" t="s">
        <v>74</v>
      </c>
      <c r="H581" t="s">
        <v>74</v>
      </c>
      <c r="I581" t="s">
        <v>11361</v>
      </c>
      <c r="J581" t="s">
        <v>2012</v>
      </c>
      <c r="K581" t="s">
        <v>74</v>
      </c>
      <c r="L581" t="s">
        <v>74</v>
      </c>
      <c r="M581" t="s">
        <v>78</v>
      </c>
      <c r="N581" t="s">
        <v>79</v>
      </c>
      <c r="O581" t="s">
        <v>74</v>
      </c>
      <c r="P581" t="s">
        <v>74</v>
      </c>
      <c r="Q581" t="s">
        <v>74</v>
      </c>
      <c r="R581" t="s">
        <v>74</v>
      </c>
      <c r="S581" t="s">
        <v>74</v>
      </c>
      <c r="T581" t="s">
        <v>11362</v>
      </c>
      <c r="U581" t="s">
        <v>11363</v>
      </c>
      <c r="V581" t="s">
        <v>11364</v>
      </c>
      <c r="W581" t="s">
        <v>11365</v>
      </c>
      <c r="X581" t="s">
        <v>11366</v>
      </c>
      <c r="Y581" t="s">
        <v>11367</v>
      </c>
      <c r="Z581" t="s">
        <v>11368</v>
      </c>
      <c r="AA581" t="s">
        <v>74</v>
      </c>
      <c r="AB581" t="s">
        <v>11369</v>
      </c>
      <c r="AC581" t="s">
        <v>11370</v>
      </c>
      <c r="AD581" t="s">
        <v>11371</v>
      </c>
      <c r="AE581" t="s">
        <v>11372</v>
      </c>
      <c r="AF581" t="s">
        <v>74</v>
      </c>
      <c r="AG581">
        <v>64</v>
      </c>
      <c r="AH581">
        <v>14</v>
      </c>
      <c r="AI581">
        <v>15</v>
      </c>
      <c r="AJ581">
        <v>0</v>
      </c>
      <c r="AK581">
        <v>13</v>
      </c>
      <c r="AL581" t="s">
        <v>1338</v>
      </c>
      <c r="AM581" t="s">
        <v>1339</v>
      </c>
      <c r="AN581" t="s">
        <v>1340</v>
      </c>
      <c r="AO581" t="s">
        <v>2025</v>
      </c>
      <c r="AP581" t="s">
        <v>2026</v>
      </c>
      <c r="AQ581" t="s">
        <v>74</v>
      </c>
      <c r="AR581" t="s">
        <v>2027</v>
      </c>
      <c r="AS581" t="s">
        <v>2028</v>
      </c>
      <c r="AT581" t="s">
        <v>10370</v>
      </c>
      <c r="AU581">
        <v>2017</v>
      </c>
      <c r="AV581">
        <v>32</v>
      </c>
      <c r="AW581">
        <v>6</v>
      </c>
      <c r="AX581" t="s">
        <v>74</v>
      </c>
      <c r="AY581" t="s">
        <v>74</v>
      </c>
      <c r="AZ581" t="s">
        <v>1188</v>
      </c>
      <c r="BA581" t="s">
        <v>74</v>
      </c>
      <c r="BB581">
        <v>877</v>
      </c>
      <c r="BC581">
        <v>887</v>
      </c>
      <c r="BD581" t="s">
        <v>74</v>
      </c>
      <c r="BE581" t="s">
        <v>11373</v>
      </c>
      <c r="BF581" t="str">
        <f>HYPERLINK("http://dx.doi.org/10.1002/jqs.2904","http://dx.doi.org/10.1002/jqs.2904")</f>
        <v>http://dx.doi.org/10.1002/jqs.2904</v>
      </c>
      <c r="BG581" t="s">
        <v>74</v>
      </c>
      <c r="BH581" t="s">
        <v>74</v>
      </c>
      <c r="BI581">
        <v>11</v>
      </c>
      <c r="BJ581" t="s">
        <v>319</v>
      </c>
      <c r="BK581" t="s">
        <v>101</v>
      </c>
      <c r="BL581" t="s">
        <v>320</v>
      </c>
      <c r="BM581" t="s">
        <v>11357</v>
      </c>
      <c r="BN581" t="s">
        <v>74</v>
      </c>
      <c r="BO581" t="s">
        <v>74</v>
      </c>
      <c r="BP581" t="s">
        <v>74</v>
      </c>
      <c r="BQ581" t="s">
        <v>74</v>
      </c>
      <c r="BR581" t="s">
        <v>105</v>
      </c>
      <c r="BS581" t="s">
        <v>11374</v>
      </c>
      <c r="BT581" t="str">
        <f>HYPERLINK("https%3A%2F%2Fwww.webofscience.com%2Fwos%2Fwoscc%2Ffull-record%2FWOS:000409047100015","View Full Record in Web of Science")</f>
        <v>View Full Record in Web of Science</v>
      </c>
    </row>
    <row r="582" spans="1:72" x14ac:dyDescent="0.15">
      <c r="A582" t="s">
        <v>72</v>
      </c>
      <c r="B582" t="s">
        <v>11375</v>
      </c>
      <c r="C582" t="s">
        <v>74</v>
      </c>
      <c r="D582" t="s">
        <v>74</v>
      </c>
      <c r="E582" t="s">
        <v>74</v>
      </c>
      <c r="F582" t="s">
        <v>11376</v>
      </c>
      <c r="G582" t="s">
        <v>74</v>
      </c>
      <c r="H582" t="s">
        <v>74</v>
      </c>
      <c r="I582" t="s">
        <v>11377</v>
      </c>
      <c r="J582" t="s">
        <v>1908</v>
      </c>
      <c r="K582" t="s">
        <v>74</v>
      </c>
      <c r="L582" t="s">
        <v>74</v>
      </c>
      <c r="M582" t="s">
        <v>78</v>
      </c>
      <c r="N582" t="s">
        <v>79</v>
      </c>
      <c r="O582" t="s">
        <v>74</v>
      </c>
      <c r="P582" t="s">
        <v>74</v>
      </c>
      <c r="Q582" t="s">
        <v>74</v>
      </c>
      <c r="R582" t="s">
        <v>74</v>
      </c>
      <c r="S582" t="s">
        <v>74</v>
      </c>
      <c r="T582" t="s">
        <v>11378</v>
      </c>
      <c r="U582" t="s">
        <v>11379</v>
      </c>
      <c r="V582" t="s">
        <v>11380</v>
      </c>
      <c r="W582" t="s">
        <v>11381</v>
      </c>
      <c r="X582" t="s">
        <v>11382</v>
      </c>
      <c r="Y582" t="s">
        <v>11383</v>
      </c>
      <c r="Z582" t="s">
        <v>11384</v>
      </c>
      <c r="AA582" t="s">
        <v>11385</v>
      </c>
      <c r="AB582" t="s">
        <v>11386</v>
      </c>
      <c r="AC582" t="s">
        <v>11387</v>
      </c>
      <c r="AD582" t="s">
        <v>11388</v>
      </c>
      <c r="AE582" t="s">
        <v>11389</v>
      </c>
      <c r="AF582" t="s">
        <v>74</v>
      </c>
      <c r="AG582">
        <v>65</v>
      </c>
      <c r="AH582">
        <v>6</v>
      </c>
      <c r="AI582">
        <v>7</v>
      </c>
      <c r="AJ582">
        <v>1</v>
      </c>
      <c r="AK582">
        <v>15</v>
      </c>
      <c r="AL582" t="s">
        <v>371</v>
      </c>
      <c r="AM582" t="s">
        <v>372</v>
      </c>
      <c r="AN582" t="s">
        <v>373</v>
      </c>
      <c r="AO582" t="s">
        <v>1920</v>
      </c>
      <c r="AP582" t="s">
        <v>1921</v>
      </c>
      <c r="AQ582" t="s">
        <v>74</v>
      </c>
      <c r="AR582" t="s">
        <v>1922</v>
      </c>
      <c r="AS582" t="s">
        <v>1923</v>
      </c>
      <c r="AT582" t="s">
        <v>10370</v>
      </c>
      <c r="AU582">
        <v>2017</v>
      </c>
      <c r="AV582">
        <v>155</v>
      </c>
      <c r="AW582" t="s">
        <v>74</v>
      </c>
      <c r="AX582" t="s">
        <v>74</v>
      </c>
      <c r="AY582" t="s">
        <v>74</v>
      </c>
      <c r="AZ582" t="s">
        <v>74</v>
      </c>
      <c r="BA582" t="s">
        <v>74</v>
      </c>
      <c r="BB582">
        <v>109</v>
      </c>
      <c r="BC582">
        <v>120</v>
      </c>
      <c r="BD582" t="s">
        <v>74</v>
      </c>
      <c r="BE582" t="s">
        <v>11390</v>
      </c>
      <c r="BF582" t="str">
        <f>HYPERLINK("http://dx.doi.org/10.1016/j.gloplacha.2017.06.008","http://dx.doi.org/10.1016/j.gloplacha.2017.06.008")</f>
        <v>http://dx.doi.org/10.1016/j.gloplacha.2017.06.008</v>
      </c>
      <c r="BG582" t="s">
        <v>74</v>
      </c>
      <c r="BH582" t="s">
        <v>74</v>
      </c>
      <c r="BI582">
        <v>12</v>
      </c>
      <c r="BJ582" t="s">
        <v>319</v>
      </c>
      <c r="BK582" t="s">
        <v>101</v>
      </c>
      <c r="BL582" t="s">
        <v>320</v>
      </c>
      <c r="BM582" t="s">
        <v>11391</v>
      </c>
      <c r="BN582" t="s">
        <v>74</v>
      </c>
      <c r="BO582" t="s">
        <v>1240</v>
      </c>
      <c r="BP582" t="s">
        <v>74</v>
      </c>
      <c r="BQ582" t="s">
        <v>74</v>
      </c>
      <c r="BR582" t="s">
        <v>105</v>
      </c>
      <c r="BS582" t="s">
        <v>11392</v>
      </c>
      <c r="BT582" t="str">
        <f>HYPERLINK("https%3A%2F%2Fwww.webofscience.com%2Fwos%2Fwoscc%2Ffull-record%2FWOS:000408783700010","View Full Record in Web of Science")</f>
        <v>View Full Record in Web of Science</v>
      </c>
    </row>
    <row r="583" spans="1:72" x14ac:dyDescent="0.15">
      <c r="A583" t="s">
        <v>72</v>
      </c>
      <c r="B583" t="s">
        <v>11393</v>
      </c>
      <c r="C583" t="s">
        <v>74</v>
      </c>
      <c r="D583" t="s">
        <v>74</v>
      </c>
      <c r="E583" t="s">
        <v>74</v>
      </c>
      <c r="F583" t="s">
        <v>11394</v>
      </c>
      <c r="G583" t="s">
        <v>74</v>
      </c>
      <c r="H583" t="s">
        <v>74</v>
      </c>
      <c r="I583" t="s">
        <v>11395</v>
      </c>
      <c r="J583" t="s">
        <v>11396</v>
      </c>
      <c r="K583" t="s">
        <v>74</v>
      </c>
      <c r="L583" t="s">
        <v>74</v>
      </c>
      <c r="M583" t="s">
        <v>78</v>
      </c>
      <c r="N583" t="s">
        <v>79</v>
      </c>
      <c r="O583" t="s">
        <v>74</v>
      </c>
      <c r="P583" t="s">
        <v>74</v>
      </c>
      <c r="Q583" t="s">
        <v>74</v>
      </c>
      <c r="R583" t="s">
        <v>74</v>
      </c>
      <c r="S583" t="s">
        <v>74</v>
      </c>
      <c r="T583" t="s">
        <v>11397</v>
      </c>
      <c r="U583" t="s">
        <v>11398</v>
      </c>
      <c r="V583" t="s">
        <v>11399</v>
      </c>
      <c r="W583" t="s">
        <v>11400</v>
      </c>
      <c r="X583" t="s">
        <v>11401</v>
      </c>
      <c r="Y583" t="s">
        <v>11402</v>
      </c>
      <c r="Z583" t="s">
        <v>11403</v>
      </c>
      <c r="AA583" t="s">
        <v>74</v>
      </c>
      <c r="AB583" t="s">
        <v>11404</v>
      </c>
      <c r="AC583" t="s">
        <v>11405</v>
      </c>
      <c r="AD583" t="s">
        <v>11406</v>
      </c>
      <c r="AE583" t="s">
        <v>11407</v>
      </c>
      <c r="AF583" t="s">
        <v>74</v>
      </c>
      <c r="AG583">
        <v>30</v>
      </c>
      <c r="AH583">
        <v>21</v>
      </c>
      <c r="AI583">
        <v>23</v>
      </c>
      <c r="AJ583">
        <v>0</v>
      </c>
      <c r="AK583">
        <v>5</v>
      </c>
      <c r="AL583" t="s">
        <v>6437</v>
      </c>
      <c r="AM583" t="s">
        <v>3486</v>
      </c>
      <c r="AN583" t="s">
        <v>3487</v>
      </c>
      <c r="AO583" t="s">
        <v>11408</v>
      </c>
      <c r="AP583" t="s">
        <v>74</v>
      </c>
      <c r="AQ583" t="s">
        <v>74</v>
      </c>
      <c r="AR583" t="s">
        <v>11396</v>
      </c>
      <c r="AS583" t="s">
        <v>11409</v>
      </c>
      <c r="AT583" t="s">
        <v>10370</v>
      </c>
      <c r="AU583">
        <v>2017</v>
      </c>
      <c r="AV583">
        <v>22</v>
      </c>
      <c r="AW583">
        <v>8</v>
      </c>
      <c r="AX583" t="s">
        <v>74</v>
      </c>
      <c r="AY583" t="s">
        <v>74</v>
      </c>
      <c r="AZ583" t="s">
        <v>74</v>
      </c>
      <c r="BA583" t="s">
        <v>74</v>
      </c>
      <c r="BB583" t="s">
        <v>74</v>
      </c>
      <c r="BC583" t="s">
        <v>74</v>
      </c>
      <c r="BD583">
        <v>1361</v>
      </c>
      <c r="BE583" t="s">
        <v>11410</v>
      </c>
      <c r="BF583" t="str">
        <f>HYPERLINK("http://dx.doi.org/10.3390/molecules22081361","http://dx.doi.org/10.3390/molecules22081361")</f>
        <v>http://dx.doi.org/10.3390/molecules22081361</v>
      </c>
      <c r="BG583" t="s">
        <v>74</v>
      </c>
      <c r="BH583" t="s">
        <v>74</v>
      </c>
      <c r="BI583">
        <v>12</v>
      </c>
      <c r="BJ583" t="s">
        <v>11061</v>
      </c>
      <c r="BK583" t="s">
        <v>101</v>
      </c>
      <c r="BL583" t="s">
        <v>3311</v>
      </c>
      <c r="BM583" t="s">
        <v>11411</v>
      </c>
      <c r="BN583">
        <v>28817102</v>
      </c>
      <c r="BO583" t="s">
        <v>432</v>
      </c>
      <c r="BP583" t="s">
        <v>74</v>
      </c>
      <c r="BQ583" t="s">
        <v>74</v>
      </c>
      <c r="BR583" t="s">
        <v>105</v>
      </c>
      <c r="BS583" t="s">
        <v>11412</v>
      </c>
      <c r="BT583" t="str">
        <f>HYPERLINK("https%3A%2F%2Fwww.webofscience.com%2Fwos%2Fwoscc%2Ffull-record%2FWOS:000408602900124","View Full Record in Web of Science")</f>
        <v>View Full Record in Web of Science</v>
      </c>
    </row>
    <row r="584" spans="1:72" x14ac:dyDescent="0.15">
      <c r="A584" t="s">
        <v>72</v>
      </c>
      <c r="B584" t="s">
        <v>11413</v>
      </c>
      <c r="C584" t="s">
        <v>74</v>
      </c>
      <c r="D584" t="s">
        <v>74</v>
      </c>
      <c r="E584" t="s">
        <v>74</v>
      </c>
      <c r="F584" t="s">
        <v>11414</v>
      </c>
      <c r="G584" t="s">
        <v>74</v>
      </c>
      <c r="H584" t="s">
        <v>74</v>
      </c>
      <c r="I584" t="s">
        <v>11415</v>
      </c>
      <c r="J584" t="s">
        <v>11416</v>
      </c>
      <c r="K584" t="s">
        <v>74</v>
      </c>
      <c r="L584" t="s">
        <v>74</v>
      </c>
      <c r="M584" t="s">
        <v>78</v>
      </c>
      <c r="N584" t="s">
        <v>79</v>
      </c>
      <c r="O584" t="s">
        <v>74</v>
      </c>
      <c r="P584" t="s">
        <v>74</v>
      </c>
      <c r="Q584" t="s">
        <v>74</v>
      </c>
      <c r="R584" t="s">
        <v>74</v>
      </c>
      <c r="S584" t="s">
        <v>74</v>
      </c>
      <c r="T584" t="s">
        <v>74</v>
      </c>
      <c r="U584" t="s">
        <v>11417</v>
      </c>
      <c r="V584" t="s">
        <v>11418</v>
      </c>
      <c r="W584" t="s">
        <v>11419</v>
      </c>
      <c r="X584" t="s">
        <v>11420</v>
      </c>
      <c r="Y584" t="s">
        <v>11421</v>
      </c>
      <c r="Z584" t="s">
        <v>11422</v>
      </c>
      <c r="AA584" t="s">
        <v>11423</v>
      </c>
      <c r="AB584" t="s">
        <v>11424</v>
      </c>
      <c r="AC584" t="s">
        <v>11425</v>
      </c>
      <c r="AD584" t="s">
        <v>11426</v>
      </c>
      <c r="AE584" t="s">
        <v>11427</v>
      </c>
      <c r="AF584" t="s">
        <v>74</v>
      </c>
      <c r="AG584">
        <v>40</v>
      </c>
      <c r="AH584">
        <v>20</v>
      </c>
      <c r="AI584">
        <v>21</v>
      </c>
      <c r="AJ584">
        <v>0</v>
      </c>
      <c r="AK584">
        <v>13</v>
      </c>
      <c r="AL584" t="s">
        <v>1366</v>
      </c>
      <c r="AM584" t="s">
        <v>1367</v>
      </c>
      <c r="AN584" t="s">
        <v>1368</v>
      </c>
      <c r="AO584" t="s">
        <v>11428</v>
      </c>
      <c r="AP584" t="s">
        <v>11429</v>
      </c>
      <c r="AQ584" t="s">
        <v>74</v>
      </c>
      <c r="AR584" t="s">
        <v>11430</v>
      </c>
      <c r="AS584" t="s">
        <v>11431</v>
      </c>
      <c r="AT584" t="s">
        <v>10370</v>
      </c>
      <c r="AU584">
        <v>2017</v>
      </c>
      <c r="AV584">
        <v>56</v>
      </c>
      <c r="AW584">
        <v>8</v>
      </c>
      <c r="AX584" t="s">
        <v>74</v>
      </c>
      <c r="AY584" t="s">
        <v>74</v>
      </c>
      <c r="AZ584" t="s">
        <v>74</v>
      </c>
      <c r="BA584" t="s">
        <v>74</v>
      </c>
      <c r="BB584">
        <v>2239</v>
      </c>
      <c r="BC584">
        <v>2258</v>
      </c>
      <c r="BD584" t="s">
        <v>74</v>
      </c>
      <c r="BE584" t="s">
        <v>11432</v>
      </c>
      <c r="BF584" t="str">
        <f>HYPERLINK("http://dx.doi.org/10.1175/JAMC-D-16-0339.1","http://dx.doi.org/10.1175/JAMC-D-16-0339.1")</f>
        <v>http://dx.doi.org/10.1175/JAMC-D-16-0339.1</v>
      </c>
      <c r="BG584" t="s">
        <v>74</v>
      </c>
      <c r="BH584" t="s">
        <v>74</v>
      </c>
      <c r="BI584">
        <v>20</v>
      </c>
      <c r="BJ584" t="s">
        <v>162</v>
      </c>
      <c r="BK584" t="s">
        <v>101</v>
      </c>
      <c r="BL584" t="s">
        <v>162</v>
      </c>
      <c r="BM584" t="s">
        <v>11433</v>
      </c>
      <c r="BN584" t="s">
        <v>74</v>
      </c>
      <c r="BO584" t="s">
        <v>511</v>
      </c>
      <c r="BP584" t="s">
        <v>74</v>
      </c>
      <c r="BQ584" t="s">
        <v>74</v>
      </c>
      <c r="BR584" t="s">
        <v>105</v>
      </c>
      <c r="BS584" t="s">
        <v>11434</v>
      </c>
      <c r="BT584" t="str">
        <f>HYPERLINK("https%3A%2F%2Fwww.webofscience.com%2Fwos%2Fwoscc%2Ffull-record%2FWOS:000407675500007","View Full Record in Web of Science")</f>
        <v>View Full Record in Web of Science</v>
      </c>
    </row>
    <row r="585" spans="1:72" x14ac:dyDescent="0.15">
      <c r="A585" t="s">
        <v>72</v>
      </c>
      <c r="B585" t="s">
        <v>11435</v>
      </c>
      <c r="C585" t="s">
        <v>74</v>
      </c>
      <c r="D585" t="s">
        <v>74</v>
      </c>
      <c r="E585" t="s">
        <v>74</v>
      </c>
      <c r="F585" t="s">
        <v>11436</v>
      </c>
      <c r="G585" t="s">
        <v>74</v>
      </c>
      <c r="H585" t="s">
        <v>74</v>
      </c>
      <c r="I585" t="s">
        <v>11437</v>
      </c>
      <c r="J585" t="s">
        <v>6018</v>
      </c>
      <c r="K585" t="s">
        <v>74</v>
      </c>
      <c r="L585" t="s">
        <v>74</v>
      </c>
      <c r="M585" t="s">
        <v>78</v>
      </c>
      <c r="N585" t="s">
        <v>79</v>
      </c>
      <c r="O585" t="s">
        <v>74</v>
      </c>
      <c r="P585" t="s">
        <v>74</v>
      </c>
      <c r="Q585" t="s">
        <v>74</v>
      </c>
      <c r="R585" t="s">
        <v>74</v>
      </c>
      <c r="S585" t="s">
        <v>74</v>
      </c>
      <c r="T585" t="s">
        <v>11438</v>
      </c>
      <c r="U585" t="s">
        <v>11439</v>
      </c>
      <c r="V585" t="s">
        <v>11440</v>
      </c>
      <c r="W585" t="s">
        <v>11441</v>
      </c>
      <c r="X585" t="s">
        <v>11442</v>
      </c>
      <c r="Y585" t="s">
        <v>11443</v>
      </c>
      <c r="Z585" t="s">
        <v>11444</v>
      </c>
      <c r="AA585" t="s">
        <v>74</v>
      </c>
      <c r="AB585" t="s">
        <v>74</v>
      </c>
      <c r="AC585" t="s">
        <v>11445</v>
      </c>
      <c r="AD585" t="s">
        <v>11446</v>
      </c>
      <c r="AE585" t="s">
        <v>11447</v>
      </c>
      <c r="AF585" t="s">
        <v>74</v>
      </c>
      <c r="AG585">
        <v>44</v>
      </c>
      <c r="AH585">
        <v>12</v>
      </c>
      <c r="AI585">
        <v>12</v>
      </c>
      <c r="AJ585">
        <v>0</v>
      </c>
      <c r="AK585">
        <v>13</v>
      </c>
      <c r="AL585" t="s">
        <v>1981</v>
      </c>
      <c r="AM585" t="s">
        <v>729</v>
      </c>
      <c r="AN585" t="s">
        <v>1982</v>
      </c>
      <c r="AO585" t="s">
        <v>6035</v>
      </c>
      <c r="AP585" t="s">
        <v>6036</v>
      </c>
      <c r="AQ585" t="s">
        <v>74</v>
      </c>
      <c r="AR585" t="s">
        <v>6037</v>
      </c>
      <c r="AS585" t="s">
        <v>6038</v>
      </c>
      <c r="AT585" t="s">
        <v>10370</v>
      </c>
      <c r="AU585">
        <v>2017</v>
      </c>
      <c r="AV585">
        <v>161</v>
      </c>
      <c r="AW585" t="s">
        <v>74</v>
      </c>
      <c r="AX585" t="s">
        <v>74</v>
      </c>
      <c r="AY585" t="s">
        <v>74</v>
      </c>
      <c r="AZ585" t="s">
        <v>74</v>
      </c>
      <c r="BA585" t="s">
        <v>74</v>
      </c>
      <c r="BB585">
        <v>105</v>
      </c>
      <c r="BC585">
        <v>117</v>
      </c>
      <c r="BD585" t="s">
        <v>74</v>
      </c>
      <c r="BE585" t="s">
        <v>11448</v>
      </c>
      <c r="BF585" t="str">
        <f>HYPERLINK("http://dx.doi.org/10.1016/j.jastp.2017.06.014","http://dx.doi.org/10.1016/j.jastp.2017.06.014")</f>
        <v>http://dx.doi.org/10.1016/j.jastp.2017.06.014</v>
      </c>
      <c r="BG585" t="s">
        <v>74</v>
      </c>
      <c r="BH585" t="s">
        <v>74</v>
      </c>
      <c r="BI585">
        <v>13</v>
      </c>
      <c r="BJ585" t="s">
        <v>6040</v>
      </c>
      <c r="BK585" t="s">
        <v>101</v>
      </c>
      <c r="BL585" t="s">
        <v>6040</v>
      </c>
      <c r="BM585" t="s">
        <v>11449</v>
      </c>
      <c r="BN585" t="s">
        <v>74</v>
      </c>
      <c r="BO585" t="s">
        <v>74</v>
      </c>
      <c r="BP585" t="s">
        <v>74</v>
      </c>
      <c r="BQ585" t="s">
        <v>74</v>
      </c>
      <c r="BR585" t="s">
        <v>105</v>
      </c>
      <c r="BS585" t="s">
        <v>11450</v>
      </c>
      <c r="BT585" t="str">
        <f>HYPERLINK("https%3A%2F%2Fwww.webofscience.com%2Fwos%2Fwoscc%2Ffull-record%2FWOS:000408298200012","View Full Record in Web of Science")</f>
        <v>View Full Record in Web of Science</v>
      </c>
    </row>
    <row r="586" spans="1:72" x14ac:dyDescent="0.15">
      <c r="A586" t="s">
        <v>72</v>
      </c>
      <c r="B586" t="s">
        <v>11451</v>
      </c>
      <c r="C586" t="s">
        <v>74</v>
      </c>
      <c r="D586" t="s">
        <v>74</v>
      </c>
      <c r="E586" t="s">
        <v>74</v>
      </c>
      <c r="F586" t="s">
        <v>11452</v>
      </c>
      <c r="G586" t="s">
        <v>74</v>
      </c>
      <c r="H586" t="s">
        <v>74</v>
      </c>
      <c r="I586" t="s">
        <v>11453</v>
      </c>
      <c r="J586" t="s">
        <v>11454</v>
      </c>
      <c r="K586" t="s">
        <v>74</v>
      </c>
      <c r="L586" t="s">
        <v>74</v>
      </c>
      <c r="M586" t="s">
        <v>78</v>
      </c>
      <c r="N586" t="s">
        <v>79</v>
      </c>
      <c r="O586" t="s">
        <v>74</v>
      </c>
      <c r="P586" t="s">
        <v>74</v>
      </c>
      <c r="Q586" t="s">
        <v>74</v>
      </c>
      <c r="R586" t="s">
        <v>74</v>
      </c>
      <c r="S586" t="s">
        <v>74</v>
      </c>
      <c r="T586" t="s">
        <v>74</v>
      </c>
      <c r="U586" t="s">
        <v>11455</v>
      </c>
      <c r="V586" t="s">
        <v>11456</v>
      </c>
      <c r="W586" t="s">
        <v>11457</v>
      </c>
      <c r="X586" t="s">
        <v>11458</v>
      </c>
      <c r="Y586" t="s">
        <v>11459</v>
      </c>
      <c r="Z586" t="s">
        <v>11460</v>
      </c>
      <c r="AA586" t="s">
        <v>11461</v>
      </c>
      <c r="AB586" t="s">
        <v>11462</v>
      </c>
      <c r="AC586" t="s">
        <v>11463</v>
      </c>
      <c r="AD586" t="s">
        <v>11464</v>
      </c>
      <c r="AE586" t="s">
        <v>11465</v>
      </c>
      <c r="AF586" t="s">
        <v>74</v>
      </c>
      <c r="AG586">
        <v>25</v>
      </c>
      <c r="AH586">
        <v>4</v>
      </c>
      <c r="AI586">
        <v>7</v>
      </c>
      <c r="AJ586">
        <v>1</v>
      </c>
      <c r="AK586">
        <v>19</v>
      </c>
      <c r="AL586" t="s">
        <v>1338</v>
      </c>
      <c r="AM586" t="s">
        <v>1339</v>
      </c>
      <c r="AN586" t="s">
        <v>1340</v>
      </c>
      <c r="AO586" t="s">
        <v>11466</v>
      </c>
      <c r="AP586" t="s">
        <v>11467</v>
      </c>
      <c r="AQ586" t="s">
        <v>74</v>
      </c>
      <c r="AR586" t="s">
        <v>11468</v>
      </c>
      <c r="AS586" t="s">
        <v>11469</v>
      </c>
      <c r="AT586" t="s">
        <v>10370</v>
      </c>
      <c r="AU586">
        <v>2017</v>
      </c>
      <c r="AV586">
        <v>48</v>
      </c>
      <c r="AW586">
        <v>8</v>
      </c>
      <c r="AX586" t="s">
        <v>74</v>
      </c>
      <c r="AY586" t="s">
        <v>74</v>
      </c>
      <c r="AZ586" t="s">
        <v>74</v>
      </c>
      <c r="BA586" t="s">
        <v>74</v>
      </c>
      <c r="BB586">
        <v>1132</v>
      </c>
      <c r="BC586">
        <v>1138</v>
      </c>
      <c r="BD586" t="s">
        <v>74</v>
      </c>
      <c r="BE586" t="s">
        <v>11470</v>
      </c>
      <c r="BF586" t="str">
        <f>HYPERLINK("http://dx.doi.org/10.1111/jav.01374","http://dx.doi.org/10.1111/jav.01374")</f>
        <v>http://dx.doi.org/10.1111/jav.01374</v>
      </c>
      <c r="BG586" t="s">
        <v>74</v>
      </c>
      <c r="BH586" t="s">
        <v>74</v>
      </c>
      <c r="BI586">
        <v>7</v>
      </c>
      <c r="BJ586" t="s">
        <v>2801</v>
      </c>
      <c r="BK586" t="s">
        <v>101</v>
      </c>
      <c r="BL586" t="s">
        <v>2802</v>
      </c>
      <c r="BM586" t="s">
        <v>11471</v>
      </c>
      <c r="BN586" t="s">
        <v>74</v>
      </c>
      <c r="BO586" t="s">
        <v>8821</v>
      </c>
      <c r="BP586" t="s">
        <v>74</v>
      </c>
      <c r="BQ586" t="s">
        <v>74</v>
      </c>
      <c r="BR586" t="s">
        <v>105</v>
      </c>
      <c r="BS586" t="s">
        <v>11472</v>
      </c>
      <c r="BT586" t="str">
        <f>HYPERLINK("https%3A%2F%2Fwww.webofscience.com%2Fwos%2Fwoscc%2Ffull-record%2FWOS:000408813800010","View Full Record in Web of Science")</f>
        <v>View Full Record in Web of Science</v>
      </c>
    </row>
    <row r="587" spans="1:72" x14ac:dyDescent="0.15">
      <c r="A587" t="s">
        <v>72</v>
      </c>
      <c r="B587" t="s">
        <v>11473</v>
      </c>
      <c r="C587" t="s">
        <v>74</v>
      </c>
      <c r="D587" t="s">
        <v>74</v>
      </c>
      <c r="E587" t="s">
        <v>74</v>
      </c>
      <c r="F587" t="s">
        <v>11474</v>
      </c>
      <c r="G587" t="s">
        <v>74</v>
      </c>
      <c r="H587" t="s">
        <v>74</v>
      </c>
      <c r="I587" t="s">
        <v>11475</v>
      </c>
      <c r="J587" t="s">
        <v>1562</v>
      </c>
      <c r="K587" t="s">
        <v>74</v>
      </c>
      <c r="L587" t="s">
        <v>74</v>
      </c>
      <c r="M587" t="s">
        <v>78</v>
      </c>
      <c r="N587" t="s">
        <v>79</v>
      </c>
      <c r="O587" t="s">
        <v>74</v>
      </c>
      <c r="P587" t="s">
        <v>74</v>
      </c>
      <c r="Q587" t="s">
        <v>74</v>
      </c>
      <c r="R587" t="s">
        <v>74</v>
      </c>
      <c r="S587" t="s">
        <v>74</v>
      </c>
      <c r="T587" t="s">
        <v>74</v>
      </c>
      <c r="U587" t="s">
        <v>11476</v>
      </c>
      <c r="V587" t="s">
        <v>11477</v>
      </c>
      <c r="W587" t="s">
        <v>11478</v>
      </c>
      <c r="X587" t="s">
        <v>4340</v>
      </c>
      <c r="Y587" t="s">
        <v>11479</v>
      </c>
      <c r="Z587" t="s">
        <v>11480</v>
      </c>
      <c r="AA587" t="s">
        <v>74</v>
      </c>
      <c r="AB587" t="s">
        <v>11481</v>
      </c>
      <c r="AC587" t="s">
        <v>11482</v>
      </c>
      <c r="AD587" t="s">
        <v>913</v>
      </c>
      <c r="AE587" t="s">
        <v>11483</v>
      </c>
      <c r="AF587" t="s">
        <v>74</v>
      </c>
      <c r="AG587">
        <v>38</v>
      </c>
      <c r="AH587">
        <v>23</v>
      </c>
      <c r="AI587">
        <v>25</v>
      </c>
      <c r="AJ587">
        <v>0</v>
      </c>
      <c r="AK587">
        <v>18</v>
      </c>
      <c r="AL587" t="s">
        <v>1366</v>
      </c>
      <c r="AM587" t="s">
        <v>1367</v>
      </c>
      <c r="AN587" t="s">
        <v>1368</v>
      </c>
      <c r="AO587" t="s">
        <v>1575</v>
      </c>
      <c r="AP587" t="s">
        <v>1576</v>
      </c>
      <c r="AQ587" t="s">
        <v>74</v>
      </c>
      <c r="AR587" t="s">
        <v>1577</v>
      </c>
      <c r="AS587" t="s">
        <v>1578</v>
      </c>
      <c r="AT587" t="s">
        <v>10370</v>
      </c>
      <c r="AU587">
        <v>2017</v>
      </c>
      <c r="AV587">
        <v>47</v>
      </c>
      <c r="AW587">
        <v>8</v>
      </c>
      <c r="AX587" t="s">
        <v>74</v>
      </c>
      <c r="AY587" t="s">
        <v>74</v>
      </c>
      <c r="AZ587" t="s">
        <v>74</v>
      </c>
      <c r="BA587" t="s">
        <v>74</v>
      </c>
      <c r="BB587">
        <v>1981</v>
      </c>
      <c r="BC587">
        <v>1997</v>
      </c>
      <c r="BD587" t="s">
        <v>74</v>
      </c>
      <c r="BE587" t="s">
        <v>11484</v>
      </c>
      <c r="BF587" t="str">
        <f>HYPERLINK("http://dx.doi.org/10.1175/JPO-D-16-0249.1","http://dx.doi.org/10.1175/JPO-D-16-0249.1")</f>
        <v>http://dx.doi.org/10.1175/JPO-D-16-0249.1</v>
      </c>
      <c r="BG587" t="s">
        <v>74</v>
      </c>
      <c r="BH587" t="s">
        <v>74</v>
      </c>
      <c r="BI587">
        <v>17</v>
      </c>
      <c r="BJ587" t="s">
        <v>1459</v>
      </c>
      <c r="BK587" t="s">
        <v>101</v>
      </c>
      <c r="BL587" t="s">
        <v>1459</v>
      </c>
      <c r="BM587" t="s">
        <v>11485</v>
      </c>
      <c r="BN587" t="s">
        <v>74</v>
      </c>
      <c r="BO587" t="s">
        <v>699</v>
      </c>
      <c r="BP587" t="s">
        <v>74</v>
      </c>
      <c r="BQ587" t="s">
        <v>74</v>
      </c>
      <c r="BR587" t="s">
        <v>105</v>
      </c>
      <c r="BS587" t="s">
        <v>11486</v>
      </c>
      <c r="BT587" t="str">
        <f>HYPERLINK("https%3A%2F%2Fwww.webofscience.com%2Fwos%2Fwoscc%2Ffull-record%2FWOS:000407420500006","View Full Record in Web of Science")</f>
        <v>View Full Record in Web of Science</v>
      </c>
    </row>
    <row r="588" spans="1:72" x14ac:dyDescent="0.15">
      <c r="A588" t="s">
        <v>72</v>
      </c>
      <c r="B588" t="s">
        <v>11487</v>
      </c>
      <c r="C588" t="s">
        <v>74</v>
      </c>
      <c r="D588" t="s">
        <v>74</v>
      </c>
      <c r="E588" t="s">
        <v>74</v>
      </c>
      <c r="F588" t="s">
        <v>11488</v>
      </c>
      <c r="G588" t="s">
        <v>74</v>
      </c>
      <c r="H588" t="s">
        <v>74</v>
      </c>
      <c r="I588" t="s">
        <v>11489</v>
      </c>
      <c r="J588" t="s">
        <v>1562</v>
      </c>
      <c r="K588" t="s">
        <v>74</v>
      </c>
      <c r="L588" t="s">
        <v>74</v>
      </c>
      <c r="M588" t="s">
        <v>78</v>
      </c>
      <c r="N588" t="s">
        <v>79</v>
      </c>
      <c r="O588" t="s">
        <v>74</v>
      </c>
      <c r="P588" t="s">
        <v>74</v>
      </c>
      <c r="Q588" t="s">
        <v>74</v>
      </c>
      <c r="R588" t="s">
        <v>74</v>
      </c>
      <c r="S588" t="s">
        <v>74</v>
      </c>
      <c r="T588" t="s">
        <v>74</v>
      </c>
      <c r="U588" t="s">
        <v>11490</v>
      </c>
      <c r="V588" t="s">
        <v>11491</v>
      </c>
      <c r="W588" t="s">
        <v>11492</v>
      </c>
      <c r="X588" t="s">
        <v>11493</v>
      </c>
      <c r="Y588" t="s">
        <v>11494</v>
      </c>
      <c r="Z588" t="s">
        <v>11495</v>
      </c>
      <c r="AA588" t="s">
        <v>11496</v>
      </c>
      <c r="AB588" t="s">
        <v>11497</v>
      </c>
      <c r="AC588" t="s">
        <v>11498</v>
      </c>
      <c r="AD588" t="s">
        <v>11499</v>
      </c>
      <c r="AE588" t="s">
        <v>11500</v>
      </c>
      <c r="AF588" t="s">
        <v>74</v>
      </c>
      <c r="AG588">
        <v>81</v>
      </c>
      <c r="AH588">
        <v>16</v>
      </c>
      <c r="AI588">
        <v>18</v>
      </c>
      <c r="AJ588">
        <v>1</v>
      </c>
      <c r="AK588">
        <v>22</v>
      </c>
      <c r="AL588" t="s">
        <v>1366</v>
      </c>
      <c r="AM588" t="s">
        <v>1367</v>
      </c>
      <c r="AN588" t="s">
        <v>1368</v>
      </c>
      <c r="AO588" t="s">
        <v>1575</v>
      </c>
      <c r="AP588" t="s">
        <v>1576</v>
      </c>
      <c r="AQ588" t="s">
        <v>74</v>
      </c>
      <c r="AR588" t="s">
        <v>1577</v>
      </c>
      <c r="AS588" t="s">
        <v>1578</v>
      </c>
      <c r="AT588" t="s">
        <v>10370</v>
      </c>
      <c r="AU588">
        <v>2017</v>
      </c>
      <c r="AV588">
        <v>47</v>
      </c>
      <c r="AW588">
        <v>8</v>
      </c>
      <c r="AX588" t="s">
        <v>74</v>
      </c>
      <c r="AY588" t="s">
        <v>74</v>
      </c>
      <c r="AZ588" t="s">
        <v>74</v>
      </c>
      <c r="BA588" t="s">
        <v>74</v>
      </c>
      <c r="BB588">
        <v>2023</v>
      </c>
      <c r="BC588">
        <v>2045</v>
      </c>
      <c r="BD588" t="s">
        <v>74</v>
      </c>
      <c r="BE588" t="s">
        <v>11501</v>
      </c>
      <c r="BF588" t="str">
        <f>HYPERLINK("http://dx.doi.org/10.1175/JPO-D-16-0263.1","http://dx.doi.org/10.1175/JPO-D-16-0263.1")</f>
        <v>http://dx.doi.org/10.1175/JPO-D-16-0263.1</v>
      </c>
      <c r="BG588" t="s">
        <v>74</v>
      </c>
      <c r="BH588" t="s">
        <v>74</v>
      </c>
      <c r="BI588">
        <v>23</v>
      </c>
      <c r="BJ588" t="s">
        <v>1459</v>
      </c>
      <c r="BK588" t="s">
        <v>101</v>
      </c>
      <c r="BL588" t="s">
        <v>1459</v>
      </c>
      <c r="BM588" t="s">
        <v>11485</v>
      </c>
      <c r="BN588" t="s">
        <v>74</v>
      </c>
      <c r="BO588" t="s">
        <v>2091</v>
      </c>
      <c r="BP588" t="s">
        <v>74</v>
      </c>
      <c r="BQ588" t="s">
        <v>74</v>
      </c>
      <c r="BR588" t="s">
        <v>105</v>
      </c>
      <c r="BS588" t="s">
        <v>11502</v>
      </c>
      <c r="BT588" t="str">
        <f>HYPERLINK("https%3A%2F%2Fwww.webofscience.com%2Fwos%2Fwoscc%2Ffull-record%2FWOS:000407420500008","View Full Record in Web of Science")</f>
        <v>View Full Record in Web of Science</v>
      </c>
    </row>
    <row r="589" spans="1:72" x14ac:dyDescent="0.15">
      <c r="A589" t="s">
        <v>72</v>
      </c>
      <c r="B589" t="s">
        <v>11503</v>
      </c>
      <c r="C589" t="s">
        <v>74</v>
      </c>
      <c r="D589" t="s">
        <v>74</v>
      </c>
      <c r="E589" t="s">
        <v>74</v>
      </c>
      <c r="F589" t="s">
        <v>11504</v>
      </c>
      <c r="G589" t="s">
        <v>74</v>
      </c>
      <c r="H589" t="s">
        <v>74</v>
      </c>
      <c r="I589" t="s">
        <v>11505</v>
      </c>
      <c r="J589" t="s">
        <v>1562</v>
      </c>
      <c r="K589" t="s">
        <v>74</v>
      </c>
      <c r="L589" t="s">
        <v>74</v>
      </c>
      <c r="M589" t="s">
        <v>78</v>
      </c>
      <c r="N589" t="s">
        <v>79</v>
      </c>
      <c r="O589" t="s">
        <v>74</v>
      </c>
      <c r="P589" t="s">
        <v>74</v>
      </c>
      <c r="Q589" t="s">
        <v>74</v>
      </c>
      <c r="R589" t="s">
        <v>74</v>
      </c>
      <c r="S589" t="s">
        <v>74</v>
      </c>
      <c r="T589" t="s">
        <v>74</v>
      </c>
      <c r="U589" t="s">
        <v>11506</v>
      </c>
      <c r="V589" t="s">
        <v>11507</v>
      </c>
      <c r="W589" t="s">
        <v>11508</v>
      </c>
      <c r="X589" t="s">
        <v>4340</v>
      </c>
      <c r="Y589" t="s">
        <v>11509</v>
      </c>
      <c r="Z589" t="s">
        <v>11510</v>
      </c>
      <c r="AA589" t="s">
        <v>11511</v>
      </c>
      <c r="AB589" t="s">
        <v>11512</v>
      </c>
      <c r="AC589" t="s">
        <v>11513</v>
      </c>
      <c r="AD589" t="s">
        <v>11514</v>
      </c>
      <c r="AE589" t="s">
        <v>11515</v>
      </c>
      <c r="AF589" t="s">
        <v>74</v>
      </c>
      <c r="AG589">
        <v>82</v>
      </c>
      <c r="AH589">
        <v>27</v>
      </c>
      <c r="AI589">
        <v>29</v>
      </c>
      <c r="AJ589">
        <v>3</v>
      </c>
      <c r="AK589">
        <v>36</v>
      </c>
      <c r="AL589" t="s">
        <v>1366</v>
      </c>
      <c r="AM589" t="s">
        <v>1367</v>
      </c>
      <c r="AN589" t="s">
        <v>1368</v>
      </c>
      <c r="AO589" t="s">
        <v>1575</v>
      </c>
      <c r="AP589" t="s">
        <v>1576</v>
      </c>
      <c r="AQ589" t="s">
        <v>74</v>
      </c>
      <c r="AR589" t="s">
        <v>1577</v>
      </c>
      <c r="AS589" t="s">
        <v>1578</v>
      </c>
      <c r="AT589" t="s">
        <v>10370</v>
      </c>
      <c r="AU589">
        <v>2017</v>
      </c>
      <c r="AV589">
        <v>47</v>
      </c>
      <c r="AW589">
        <v>8</v>
      </c>
      <c r="AX589" t="s">
        <v>74</v>
      </c>
      <c r="AY589" t="s">
        <v>74</v>
      </c>
      <c r="AZ589" t="s">
        <v>74</v>
      </c>
      <c r="BA589" t="s">
        <v>74</v>
      </c>
      <c r="BB589">
        <v>2055</v>
      </c>
      <c r="BC589">
        <v>2075</v>
      </c>
      <c r="BD589" t="s">
        <v>74</v>
      </c>
      <c r="BE589" t="s">
        <v>11516</v>
      </c>
      <c r="BF589" t="str">
        <f>HYPERLINK("http://dx.doi.org/10.1175/JPO-D-16-0274.1","http://dx.doi.org/10.1175/JPO-D-16-0274.1")</f>
        <v>http://dx.doi.org/10.1175/JPO-D-16-0274.1</v>
      </c>
      <c r="BG589" t="s">
        <v>74</v>
      </c>
      <c r="BH589" t="s">
        <v>74</v>
      </c>
      <c r="BI589">
        <v>21</v>
      </c>
      <c r="BJ589" t="s">
        <v>1459</v>
      </c>
      <c r="BK589" t="s">
        <v>101</v>
      </c>
      <c r="BL589" t="s">
        <v>1459</v>
      </c>
      <c r="BM589" t="s">
        <v>11485</v>
      </c>
      <c r="BN589" t="s">
        <v>74</v>
      </c>
      <c r="BO589" t="s">
        <v>511</v>
      </c>
      <c r="BP589" t="s">
        <v>74</v>
      </c>
      <c r="BQ589" t="s">
        <v>74</v>
      </c>
      <c r="BR589" t="s">
        <v>105</v>
      </c>
      <c r="BS589" t="s">
        <v>11517</v>
      </c>
      <c r="BT589" t="str">
        <f>HYPERLINK("https%3A%2F%2Fwww.webofscience.com%2Fwos%2Fwoscc%2Ffull-record%2FWOS:000407420500010","View Full Record in Web of Science")</f>
        <v>View Full Record in Web of Science</v>
      </c>
    </row>
    <row r="590" spans="1:72" x14ac:dyDescent="0.15">
      <c r="A590" t="s">
        <v>72</v>
      </c>
      <c r="B590" t="s">
        <v>11518</v>
      </c>
      <c r="C590" t="s">
        <v>74</v>
      </c>
      <c r="D590" t="s">
        <v>74</v>
      </c>
      <c r="E590" t="s">
        <v>74</v>
      </c>
      <c r="F590" t="s">
        <v>11519</v>
      </c>
      <c r="G590" t="s">
        <v>74</v>
      </c>
      <c r="H590" t="s">
        <v>74</v>
      </c>
      <c r="I590" t="s">
        <v>11520</v>
      </c>
      <c r="J590" t="s">
        <v>1562</v>
      </c>
      <c r="K590" t="s">
        <v>74</v>
      </c>
      <c r="L590" t="s">
        <v>74</v>
      </c>
      <c r="M590" t="s">
        <v>78</v>
      </c>
      <c r="N590" t="s">
        <v>79</v>
      </c>
      <c r="O590" t="s">
        <v>74</v>
      </c>
      <c r="P590" t="s">
        <v>74</v>
      </c>
      <c r="Q590" t="s">
        <v>74</v>
      </c>
      <c r="R590" t="s">
        <v>74</v>
      </c>
      <c r="S590" t="s">
        <v>74</v>
      </c>
      <c r="T590" t="s">
        <v>74</v>
      </c>
      <c r="U590" t="s">
        <v>11521</v>
      </c>
      <c r="V590" t="s">
        <v>11522</v>
      </c>
      <c r="W590" t="s">
        <v>11523</v>
      </c>
      <c r="X590" t="s">
        <v>3617</v>
      </c>
      <c r="Y590" t="s">
        <v>11524</v>
      </c>
      <c r="Z590" t="s">
        <v>11525</v>
      </c>
      <c r="AA590" t="s">
        <v>11526</v>
      </c>
      <c r="AB590" t="s">
        <v>74</v>
      </c>
      <c r="AC590" t="s">
        <v>11527</v>
      </c>
      <c r="AD590" t="s">
        <v>9190</v>
      </c>
      <c r="AE590" t="s">
        <v>74</v>
      </c>
      <c r="AF590" t="s">
        <v>74</v>
      </c>
      <c r="AG590">
        <v>33</v>
      </c>
      <c r="AH590">
        <v>17</v>
      </c>
      <c r="AI590">
        <v>20</v>
      </c>
      <c r="AJ590">
        <v>0</v>
      </c>
      <c r="AK590">
        <v>15</v>
      </c>
      <c r="AL590" t="s">
        <v>1366</v>
      </c>
      <c r="AM590" t="s">
        <v>1367</v>
      </c>
      <c r="AN590" t="s">
        <v>1368</v>
      </c>
      <c r="AO590" t="s">
        <v>1575</v>
      </c>
      <c r="AP590" t="s">
        <v>1576</v>
      </c>
      <c r="AQ590" t="s">
        <v>74</v>
      </c>
      <c r="AR590" t="s">
        <v>1577</v>
      </c>
      <c r="AS590" t="s">
        <v>1578</v>
      </c>
      <c r="AT590" t="s">
        <v>10370</v>
      </c>
      <c r="AU590">
        <v>2017</v>
      </c>
      <c r="AV590">
        <v>47</v>
      </c>
      <c r="AW590">
        <v>8</v>
      </c>
      <c r="AX590" t="s">
        <v>74</v>
      </c>
      <c r="AY590" t="s">
        <v>74</v>
      </c>
      <c r="AZ590" t="s">
        <v>74</v>
      </c>
      <c r="BA590" t="s">
        <v>74</v>
      </c>
      <c r="BB590">
        <v>2101</v>
      </c>
      <c r="BC590">
        <v>2114</v>
      </c>
      <c r="BD590" t="s">
        <v>74</v>
      </c>
      <c r="BE590" t="s">
        <v>11528</v>
      </c>
      <c r="BF590" t="str">
        <f>HYPERLINK("http://dx.doi.org/10.1175/JPO-D-17-0071.1","http://dx.doi.org/10.1175/JPO-D-17-0071.1")</f>
        <v>http://dx.doi.org/10.1175/JPO-D-17-0071.1</v>
      </c>
      <c r="BG590" t="s">
        <v>74</v>
      </c>
      <c r="BH590" t="s">
        <v>74</v>
      </c>
      <c r="BI590">
        <v>14</v>
      </c>
      <c r="BJ590" t="s">
        <v>1459</v>
      </c>
      <c r="BK590" t="s">
        <v>101</v>
      </c>
      <c r="BL590" t="s">
        <v>1459</v>
      </c>
      <c r="BM590" t="s">
        <v>11485</v>
      </c>
      <c r="BN590" t="s">
        <v>74</v>
      </c>
      <c r="BO590" t="s">
        <v>5215</v>
      </c>
      <c r="BP590" t="s">
        <v>74</v>
      </c>
      <c r="BQ590" t="s">
        <v>74</v>
      </c>
      <c r="BR590" t="s">
        <v>105</v>
      </c>
      <c r="BS590" t="s">
        <v>11529</v>
      </c>
      <c r="BT590" t="str">
        <f>HYPERLINK("https%3A%2F%2Fwww.webofscience.com%2Fwos%2Fwoscc%2Ffull-record%2FWOS:000407420500012","View Full Record in Web of Science")</f>
        <v>View Full Record in Web of Science</v>
      </c>
    </row>
    <row r="591" spans="1:72" x14ac:dyDescent="0.15">
      <c r="A591" t="s">
        <v>72</v>
      </c>
      <c r="B591" t="s">
        <v>11530</v>
      </c>
      <c r="C591" t="s">
        <v>74</v>
      </c>
      <c r="D591" t="s">
        <v>74</v>
      </c>
      <c r="E591" t="s">
        <v>74</v>
      </c>
      <c r="F591" t="s">
        <v>11531</v>
      </c>
      <c r="G591" t="s">
        <v>74</v>
      </c>
      <c r="H591" t="s">
        <v>74</v>
      </c>
      <c r="I591" t="s">
        <v>11532</v>
      </c>
      <c r="J591" t="s">
        <v>11533</v>
      </c>
      <c r="K591" t="s">
        <v>74</v>
      </c>
      <c r="L591" t="s">
        <v>74</v>
      </c>
      <c r="M591" t="s">
        <v>78</v>
      </c>
      <c r="N591" t="s">
        <v>79</v>
      </c>
      <c r="O591" t="s">
        <v>74</v>
      </c>
      <c r="P591" t="s">
        <v>74</v>
      </c>
      <c r="Q591" t="s">
        <v>74</v>
      </c>
      <c r="R591" t="s">
        <v>74</v>
      </c>
      <c r="S591" t="s">
        <v>74</v>
      </c>
      <c r="T591" t="s">
        <v>11534</v>
      </c>
      <c r="U591" t="s">
        <v>11535</v>
      </c>
      <c r="V591" t="s">
        <v>11536</v>
      </c>
      <c r="W591" t="s">
        <v>11537</v>
      </c>
      <c r="X591" t="s">
        <v>11538</v>
      </c>
      <c r="Y591" t="s">
        <v>11539</v>
      </c>
      <c r="Z591" t="s">
        <v>11540</v>
      </c>
      <c r="AA591" t="s">
        <v>11541</v>
      </c>
      <c r="AB591" t="s">
        <v>11542</v>
      </c>
      <c r="AC591" t="s">
        <v>11543</v>
      </c>
      <c r="AD591" t="s">
        <v>11544</v>
      </c>
      <c r="AE591" t="s">
        <v>11545</v>
      </c>
      <c r="AF591" t="s">
        <v>74</v>
      </c>
      <c r="AG591">
        <v>55</v>
      </c>
      <c r="AH591">
        <v>19</v>
      </c>
      <c r="AI591">
        <v>23</v>
      </c>
      <c r="AJ591">
        <v>3</v>
      </c>
      <c r="AK591">
        <v>63</v>
      </c>
      <c r="AL591" t="s">
        <v>1981</v>
      </c>
      <c r="AM591" t="s">
        <v>729</v>
      </c>
      <c r="AN591" t="s">
        <v>1982</v>
      </c>
      <c r="AO591" t="s">
        <v>11546</v>
      </c>
      <c r="AP591" t="s">
        <v>74</v>
      </c>
      <c r="AQ591" t="s">
        <v>74</v>
      </c>
      <c r="AR591" t="s">
        <v>11547</v>
      </c>
      <c r="AS591" t="s">
        <v>11548</v>
      </c>
      <c r="AT591" t="s">
        <v>10370</v>
      </c>
      <c r="AU591">
        <v>2017</v>
      </c>
      <c r="AV591">
        <v>68</v>
      </c>
      <c r="AW591" t="s">
        <v>74</v>
      </c>
      <c r="AX591" t="s">
        <v>3721</v>
      </c>
      <c r="AY591" t="s">
        <v>74</v>
      </c>
      <c r="AZ591" t="s">
        <v>1188</v>
      </c>
      <c r="BA591" t="s">
        <v>74</v>
      </c>
      <c r="BB591">
        <v>195</v>
      </c>
      <c r="BC591">
        <v>199</v>
      </c>
      <c r="BD591" t="s">
        <v>74</v>
      </c>
      <c r="BE591" t="s">
        <v>11549</v>
      </c>
      <c r="BF591" t="str">
        <f>HYPERLINK("http://dx.doi.org/10.1016/j.jtherbio.2016.09.007","http://dx.doi.org/10.1016/j.jtherbio.2016.09.007")</f>
        <v>http://dx.doi.org/10.1016/j.jtherbio.2016.09.007</v>
      </c>
      <c r="BG591" t="s">
        <v>74</v>
      </c>
      <c r="BH591" t="s">
        <v>74</v>
      </c>
      <c r="BI591">
        <v>5</v>
      </c>
      <c r="BJ591" t="s">
        <v>11550</v>
      </c>
      <c r="BK591" t="s">
        <v>101</v>
      </c>
      <c r="BL591" t="s">
        <v>11551</v>
      </c>
      <c r="BM591" t="s">
        <v>11552</v>
      </c>
      <c r="BN591">
        <v>28797480</v>
      </c>
      <c r="BO591" t="s">
        <v>1240</v>
      </c>
      <c r="BP591" t="s">
        <v>74</v>
      </c>
      <c r="BQ591" t="s">
        <v>74</v>
      </c>
      <c r="BR591" t="s">
        <v>105</v>
      </c>
      <c r="BS591" t="s">
        <v>11553</v>
      </c>
      <c r="BT591" t="str">
        <f>HYPERLINK("https%3A%2F%2Fwww.webofscience.com%2Fwos%2Fwoscc%2Ffull-record%2FWOS:000408788700007","View Full Record in Web of Science")</f>
        <v>View Full Record in Web of Science</v>
      </c>
    </row>
    <row r="592" spans="1:72" x14ac:dyDescent="0.15">
      <c r="A592" t="s">
        <v>72</v>
      </c>
      <c r="B592" t="s">
        <v>11554</v>
      </c>
      <c r="C592" t="s">
        <v>74</v>
      </c>
      <c r="D592" t="s">
        <v>74</v>
      </c>
      <c r="E592" t="s">
        <v>74</v>
      </c>
      <c r="F592" t="s">
        <v>11555</v>
      </c>
      <c r="G592" t="s">
        <v>74</v>
      </c>
      <c r="H592" t="s">
        <v>74</v>
      </c>
      <c r="I592" t="s">
        <v>11556</v>
      </c>
      <c r="J592" t="s">
        <v>11557</v>
      </c>
      <c r="K592" t="s">
        <v>74</v>
      </c>
      <c r="L592" t="s">
        <v>74</v>
      </c>
      <c r="M592" t="s">
        <v>78</v>
      </c>
      <c r="N592" t="s">
        <v>52</v>
      </c>
      <c r="O592" t="s">
        <v>11558</v>
      </c>
      <c r="P592" t="s">
        <v>11559</v>
      </c>
      <c r="Q592" t="s">
        <v>11560</v>
      </c>
      <c r="R592" t="s">
        <v>74</v>
      </c>
      <c r="S592" t="s">
        <v>74</v>
      </c>
      <c r="T592" t="s">
        <v>74</v>
      </c>
      <c r="U592" t="s">
        <v>74</v>
      </c>
      <c r="V592" t="s">
        <v>74</v>
      </c>
      <c r="W592" t="s">
        <v>11561</v>
      </c>
      <c r="X592" t="s">
        <v>11562</v>
      </c>
      <c r="Y592" t="s">
        <v>74</v>
      </c>
      <c r="Z592" t="s">
        <v>74</v>
      </c>
      <c r="AA592" t="s">
        <v>11563</v>
      </c>
      <c r="AB592" t="s">
        <v>11564</v>
      </c>
      <c r="AC592" t="s">
        <v>74</v>
      </c>
      <c r="AD592" t="s">
        <v>74</v>
      </c>
      <c r="AE592" t="s">
        <v>74</v>
      </c>
      <c r="AF592" t="s">
        <v>74</v>
      </c>
      <c r="AG592">
        <v>0</v>
      </c>
      <c r="AH592">
        <v>0</v>
      </c>
      <c r="AI592">
        <v>0</v>
      </c>
      <c r="AJ592">
        <v>0</v>
      </c>
      <c r="AK592">
        <v>3</v>
      </c>
      <c r="AL592" t="s">
        <v>11565</v>
      </c>
      <c r="AM592" t="s">
        <v>11566</v>
      </c>
      <c r="AN592" t="s">
        <v>11567</v>
      </c>
      <c r="AO592" t="s">
        <v>11568</v>
      </c>
      <c r="AP592" t="s">
        <v>11569</v>
      </c>
      <c r="AQ592" t="s">
        <v>74</v>
      </c>
      <c r="AR592" t="s">
        <v>11557</v>
      </c>
      <c r="AS592" t="s">
        <v>11570</v>
      </c>
      <c r="AT592" t="s">
        <v>10370</v>
      </c>
      <c r="AU592">
        <v>2017</v>
      </c>
      <c r="AV592">
        <v>263</v>
      </c>
      <c r="AW592" t="s">
        <v>74</v>
      </c>
      <c r="AX592" t="s">
        <v>74</v>
      </c>
      <c r="AY592" t="s">
        <v>74</v>
      </c>
      <c r="AZ592" t="s">
        <v>74</v>
      </c>
      <c r="BA592" t="s">
        <v>11571</v>
      </c>
      <c r="BB592" t="s">
        <v>11572</v>
      </c>
      <c r="BC592" t="s">
        <v>11572</v>
      </c>
      <c r="BD592" t="s">
        <v>74</v>
      </c>
      <c r="BE592" t="s">
        <v>11573</v>
      </c>
      <c r="BF592" t="str">
        <f>HYPERLINK("http://dx.doi.org/10.1016/j.atherosclerosis.2017.06.532","http://dx.doi.org/10.1016/j.atherosclerosis.2017.06.532")</f>
        <v>http://dx.doi.org/10.1016/j.atherosclerosis.2017.06.532</v>
      </c>
      <c r="BG592" t="s">
        <v>74</v>
      </c>
      <c r="BH592" t="s">
        <v>74</v>
      </c>
      <c r="BI592">
        <v>1</v>
      </c>
      <c r="BJ592" t="s">
        <v>11574</v>
      </c>
      <c r="BK592" t="s">
        <v>1347</v>
      </c>
      <c r="BL592" t="s">
        <v>11575</v>
      </c>
      <c r="BM592" t="s">
        <v>11576</v>
      </c>
      <c r="BN592" t="s">
        <v>74</v>
      </c>
      <c r="BO592" t="s">
        <v>74</v>
      </c>
      <c r="BP592" t="s">
        <v>74</v>
      </c>
      <c r="BQ592" t="s">
        <v>74</v>
      </c>
      <c r="BR592" t="s">
        <v>105</v>
      </c>
      <c r="BS592" t="s">
        <v>11577</v>
      </c>
      <c r="BT592" t="str">
        <f>HYPERLINK("https%3A%2F%2Fwww.webofscience.com%2Fwos%2Fwoscc%2Ffull-record%2FWOS:000407634000495","View Full Record in Web of Science")</f>
        <v>View Full Record in Web of Science</v>
      </c>
    </row>
    <row r="593" spans="1:72" x14ac:dyDescent="0.15">
      <c r="A593" t="s">
        <v>72</v>
      </c>
      <c r="B593" t="s">
        <v>11578</v>
      </c>
      <c r="C593" t="s">
        <v>74</v>
      </c>
      <c r="D593" t="s">
        <v>74</v>
      </c>
      <c r="E593" t="s">
        <v>74</v>
      </c>
      <c r="F593" t="s">
        <v>11579</v>
      </c>
      <c r="G593" t="s">
        <v>74</v>
      </c>
      <c r="H593" t="s">
        <v>74</v>
      </c>
      <c r="I593" t="s">
        <v>11580</v>
      </c>
      <c r="J593" t="s">
        <v>11581</v>
      </c>
      <c r="K593" t="s">
        <v>74</v>
      </c>
      <c r="L593" t="s">
        <v>74</v>
      </c>
      <c r="M593" t="s">
        <v>78</v>
      </c>
      <c r="N593" t="s">
        <v>79</v>
      </c>
      <c r="O593" t="s">
        <v>74</v>
      </c>
      <c r="P593" t="s">
        <v>74</v>
      </c>
      <c r="Q593" t="s">
        <v>74</v>
      </c>
      <c r="R593" t="s">
        <v>74</v>
      </c>
      <c r="S593" t="s">
        <v>74</v>
      </c>
      <c r="T593" t="s">
        <v>11582</v>
      </c>
      <c r="U593" t="s">
        <v>11583</v>
      </c>
      <c r="V593" t="s">
        <v>11584</v>
      </c>
      <c r="W593" t="s">
        <v>11585</v>
      </c>
      <c r="X593" t="s">
        <v>11586</v>
      </c>
      <c r="Y593" t="s">
        <v>11587</v>
      </c>
      <c r="Z593" t="s">
        <v>11588</v>
      </c>
      <c r="AA593" t="s">
        <v>74</v>
      </c>
      <c r="AB593" t="s">
        <v>74</v>
      </c>
      <c r="AC593" t="s">
        <v>74</v>
      </c>
      <c r="AD593" t="s">
        <v>74</v>
      </c>
      <c r="AE593" t="s">
        <v>74</v>
      </c>
      <c r="AF593" t="s">
        <v>74</v>
      </c>
      <c r="AG593">
        <v>219</v>
      </c>
      <c r="AH593">
        <v>19</v>
      </c>
      <c r="AI593">
        <v>20</v>
      </c>
      <c r="AJ593">
        <v>0</v>
      </c>
      <c r="AK593">
        <v>25</v>
      </c>
      <c r="AL593" t="s">
        <v>371</v>
      </c>
      <c r="AM593" t="s">
        <v>372</v>
      </c>
      <c r="AN593" t="s">
        <v>373</v>
      </c>
      <c r="AO593" t="s">
        <v>11589</v>
      </c>
      <c r="AP593" t="s">
        <v>11590</v>
      </c>
      <c r="AQ593" t="s">
        <v>74</v>
      </c>
      <c r="AR593" t="s">
        <v>11591</v>
      </c>
      <c r="AS593" t="s">
        <v>11592</v>
      </c>
      <c r="AT593" t="s">
        <v>10370</v>
      </c>
      <c r="AU593">
        <v>2017</v>
      </c>
      <c r="AV593">
        <v>171</v>
      </c>
      <c r="AW593" t="s">
        <v>74</v>
      </c>
      <c r="AX593" t="s">
        <v>74</v>
      </c>
      <c r="AY593" t="s">
        <v>74</v>
      </c>
      <c r="AZ593" t="s">
        <v>74</v>
      </c>
      <c r="BA593" t="s">
        <v>74</v>
      </c>
      <c r="BB593">
        <v>105</v>
      </c>
      <c r="BC593">
        <v>140</v>
      </c>
      <c r="BD593" t="s">
        <v>74</v>
      </c>
      <c r="BE593" t="s">
        <v>11593</v>
      </c>
      <c r="BF593" t="str">
        <f>HYPERLINK("http://dx.doi.org/10.1016/j.earscirev.2017.05.010","http://dx.doi.org/10.1016/j.earscirev.2017.05.010")</f>
        <v>http://dx.doi.org/10.1016/j.earscirev.2017.05.010</v>
      </c>
      <c r="BG593" t="s">
        <v>74</v>
      </c>
      <c r="BH593" t="s">
        <v>74</v>
      </c>
      <c r="BI593">
        <v>36</v>
      </c>
      <c r="BJ593" t="s">
        <v>100</v>
      </c>
      <c r="BK593" t="s">
        <v>101</v>
      </c>
      <c r="BL593" t="s">
        <v>102</v>
      </c>
      <c r="BM593" t="s">
        <v>11594</v>
      </c>
      <c r="BN593" t="s">
        <v>74</v>
      </c>
      <c r="BO593" t="s">
        <v>74</v>
      </c>
      <c r="BP593" t="s">
        <v>74</v>
      </c>
      <c r="BQ593" t="s">
        <v>74</v>
      </c>
      <c r="BR593" t="s">
        <v>105</v>
      </c>
      <c r="BS593" t="s">
        <v>11595</v>
      </c>
      <c r="BT593" t="str">
        <f>HYPERLINK("https%3A%2F%2Fwww.webofscience.com%2Fwos%2Fwoscc%2Ffull-record%2FWOS:000408289500006","View Full Record in Web of Science")</f>
        <v>View Full Record in Web of Science</v>
      </c>
    </row>
    <row r="594" spans="1:72" x14ac:dyDescent="0.15">
      <c r="A594" t="s">
        <v>72</v>
      </c>
      <c r="B594" t="s">
        <v>11596</v>
      </c>
      <c r="C594" t="s">
        <v>74</v>
      </c>
      <c r="D594" t="s">
        <v>74</v>
      </c>
      <c r="E594" t="s">
        <v>74</v>
      </c>
      <c r="F594" t="s">
        <v>11597</v>
      </c>
      <c r="G594" t="s">
        <v>74</v>
      </c>
      <c r="H594" t="s">
        <v>74</v>
      </c>
      <c r="I594" t="s">
        <v>11598</v>
      </c>
      <c r="J594" t="s">
        <v>11599</v>
      </c>
      <c r="K594" t="s">
        <v>74</v>
      </c>
      <c r="L594" t="s">
        <v>74</v>
      </c>
      <c r="M594" t="s">
        <v>78</v>
      </c>
      <c r="N594" t="s">
        <v>4722</v>
      </c>
      <c r="O594" t="s">
        <v>11600</v>
      </c>
      <c r="P594" t="s">
        <v>11601</v>
      </c>
      <c r="Q594" t="s">
        <v>11602</v>
      </c>
      <c r="R594" t="s">
        <v>74</v>
      </c>
      <c r="S594" t="s">
        <v>74</v>
      </c>
      <c r="T594" t="s">
        <v>74</v>
      </c>
      <c r="U594" t="s">
        <v>11603</v>
      </c>
      <c r="V594" t="s">
        <v>11604</v>
      </c>
      <c r="W594" t="s">
        <v>11605</v>
      </c>
      <c r="X594" t="s">
        <v>11606</v>
      </c>
      <c r="Y594" t="s">
        <v>11607</v>
      </c>
      <c r="Z594" t="s">
        <v>11608</v>
      </c>
      <c r="AA594" t="s">
        <v>11609</v>
      </c>
      <c r="AB594" t="s">
        <v>11610</v>
      </c>
      <c r="AC594" t="s">
        <v>11611</v>
      </c>
      <c r="AD594" t="s">
        <v>11612</v>
      </c>
      <c r="AE594" t="s">
        <v>11613</v>
      </c>
      <c r="AF594" t="s">
        <v>74</v>
      </c>
      <c r="AG594">
        <v>88</v>
      </c>
      <c r="AH594">
        <v>7</v>
      </c>
      <c r="AI594">
        <v>8</v>
      </c>
      <c r="AJ594">
        <v>3</v>
      </c>
      <c r="AK594">
        <v>39</v>
      </c>
      <c r="AL594" t="s">
        <v>5810</v>
      </c>
      <c r="AM594" t="s">
        <v>5811</v>
      </c>
      <c r="AN594" t="s">
        <v>5812</v>
      </c>
      <c r="AO594" t="s">
        <v>11614</v>
      </c>
      <c r="AP594" t="s">
        <v>11615</v>
      </c>
      <c r="AQ594" t="s">
        <v>74</v>
      </c>
      <c r="AR594" t="s">
        <v>11616</v>
      </c>
      <c r="AS594" t="s">
        <v>11617</v>
      </c>
      <c r="AT594" t="s">
        <v>10370</v>
      </c>
      <c r="AU594">
        <v>2017</v>
      </c>
      <c r="AV594">
        <v>57</v>
      </c>
      <c r="AW594">
        <v>2</v>
      </c>
      <c r="AX594" t="s">
        <v>74</v>
      </c>
      <c r="AY594" t="s">
        <v>74</v>
      </c>
      <c r="AZ594" t="s">
        <v>74</v>
      </c>
      <c r="BA594" t="s">
        <v>74</v>
      </c>
      <c r="BB594">
        <v>240</v>
      </c>
      <c r="BC594">
        <v>251</v>
      </c>
      <c r="BD594" t="s">
        <v>74</v>
      </c>
      <c r="BE594" t="s">
        <v>11618</v>
      </c>
      <c r="BF594" t="str">
        <f>HYPERLINK("http://dx.doi.org/10.1093/icb/icx068","http://dx.doi.org/10.1093/icb/icx068")</f>
        <v>http://dx.doi.org/10.1093/icb/icx068</v>
      </c>
      <c r="BG594" t="s">
        <v>74</v>
      </c>
      <c r="BH594" t="s">
        <v>74</v>
      </c>
      <c r="BI594">
        <v>12</v>
      </c>
      <c r="BJ594" t="s">
        <v>2802</v>
      </c>
      <c r="BK594" t="s">
        <v>1347</v>
      </c>
      <c r="BL594" t="s">
        <v>2802</v>
      </c>
      <c r="BM594" t="s">
        <v>11619</v>
      </c>
      <c r="BN594">
        <v>28859401</v>
      </c>
      <c r="BO594" t="s">
        <v>11620</v>
      </c>
      <c r="BP594" t="s">
        <v>74</v>
      </c>
      <c r="BQ594" t="s">
        <v>74</v>
      </c>
      <c r="BR594" t="s">
        <v>105</v>
      </c>
      <c r="BS594" t="s">
        <v>11621</v>
      </c>
      <c r="BT594" t="str">
        <f>HYPERLINK("https%3A%2F%2Fwww.webofscience.com%2Fwos%2Fwoscc%2Ffull-record%2FWOS:000408115000007","View Full Record in Web of Science")</f>
        <v>View Full Record in Web of Science</v>
      </c>
    </row>
    <row r="595" spans="1:72" x14ac:dyDescent="0.15">
      <c r="A595" t="s">
        <v>72</v>
      </c>
      <c r="B595" t="s">
        <v>11622</v>
      </c>
      <c r="C595" t="s">
        <v>74</v>
      </c>
      <c r="D595" t="s">
        <v>74</v>
      </c>
      <c r="E595" t="s">
        <v>74</v>
      </c>
      <c r="F595" t="s">
        <v>11623</v>
      </c>
      <c r="G595" t="s">
        <v>74</v>
      </c>
      <c r="H595" t="s">
        <v>74</v>
      </c>
      <c r="I595" t="s">
        <v>11624</v>
      </c>
      <c r="J595" t="s">
        <v>1303</v>
      </c>
      <c r="K595" t="s">
        <v>74</v>
      </c>
      <c r="L595" t="s">
        <v>74</v>
      </c>
      <c r="M595" t="s">
        <v>78</v>
      </c>
      <c r="N595" t="s">
        <v>79</v>
      </c>
      <c r="O595" t="s">
        <v>74</v>
      </c>
      <c r="P595" t="s">
        <v>74</v>
      </c>
      <c r="Q595" t="s">
        <v>74</v>
      </c>
      <c r="R595" t="s">
        <v>74</v>
      </c>
      <c r="S595" t="s">
        <v>74</v>
      </c>
      <c r="T595" t="s">
        <v>11625</v>
      </c>
      <c r="U595" t="s">
        <v>11626</v>
      </c>
      <c r="V595" t="s">
        <v>11627</v>
      </c>
      <c r="W595" t="s">
        <v>11628</v>
      </c>
      <c r="X595" t="s">
        <v>11629</v>
      </c>
      <c r="Y595" t="s">
        <v>11630</v>
      </c>
      <c r="Z595" t="s">
        <v>11631</v>
      </c>
      <c r="AA595" t="s">
        <v>11632</v>
      </c>
      <c r="AB595" t="s">
        <v>11633</v>
      </c>
      <c r="AC595" t="s">
        <v>11634</v>
      </c>
      <c r="AD595" t="s">
        <v>11635</v>
      </c>
      <c r="AE595" t="s">
        <v>11636</v>
      </c>
      <c r="AF595" t="s">
        <v>74</v>
      </c>
      <c r="AG595">
        <v>67</v>
      </c>
      <c r="AH595">
        <v>12</v>
      </c>
      <c r="AI595">
        <v>15</v>
      </c>
      <c r="AJ595">
        <v>0</v>
      </c>
      <c r="AK595">
        <v>14</v>
      </c>
      <c r="AL595" t="s">
        <v>728</v>
      </c>
      <c r="AM595" t="s">
        <v>729</v>
      </c>
      <c r="AN595" t="s">
        <v>730</v>
      </c>
      <c r="AO595" t="s">
        <v>1315</v>
      </c>
      <c r="AP595" t="s">
        <v>1316</v>
      </c>
      <c r="AQ595" t="s">
        <v>74</v>
      </c>
      <c r="AR595" t="s">
        <v>1317</v>
      </c>
      <c r="AS595" t="s">
        <v>1318</v>
      </c>
      <c r="AT595" t="s">
        <v>10370</v>
      </c>
      <c r="AU595">
        <v>2017</v>
      </c>
      <c r="AV595">
        <v>129</v>
      </c>
      <c r="AW595" t="s">
        <v>74</v>
      </c>
      <c r="AX595" t="s">
        <v>74</v>
      </c>
      <c r="AY595" t="s">
        <v>74</v>
      </c>
      <c r="AZ595" t="s">
        <v>74</v>
      </c>
      <c r="BA595" t="s">
        <v>74</v>
      </c>
      <c r="BB595">
        <v>1</v>
      </c>
      <c r="BC595">
        <v>13</v>
      </c>
      <c r="BD595" t="s">
        <v>74</v>
      </c>
      <c r="BE595" t="s">
        <v>11637</v>
      </c>
      <c r="BF595" t="str">
        <f>HYPERLINK("http://dx.doi.org/10.1016/j.marenvres.017.04.007","http://dx.doi.org/10.1016/j.marenvres.017.04.007")</f>
        <v>http://dx.doi.org/10.1016/j.marenvres.017.04.007</v>
      </c>
      <c r="BG595" t="s">
        <v>74</v>
      </c>
      <c r="BH595" t="s">
        <v>74</v>
      </c>
      <c r="BI595">
        <v>13</v>
      </c>
      <c r="BJ595" t="s">
        <v>1320</v>
      </c>
      <c r="BK595" t="s">
        <v>101</v>
      </c>
      <c r="BL595" t="s">
        <v>1321</v>
      </c>
      <c r="BM595" t="s">
        <v>11638</v>
      </c>
      <c r="BN595">
        <v>28416257</v>
      </c>
      <c r="BO595" t="s">
        <v>74</v>
      </c>
      <c r="BP595" t="s">
        <v>74</v>
      </c>
      <c r="BQ595" t="s">
        <v>74</v>
      </c>
      <c r="BR595" t="s">
        <v>105</v>
      </c>
      <c r="BS595" t="s">
        <v>11639</v>
      </c>
      <c r="BT595" t="str">
        <f>HYPERLINK("https%3A%2F%2Fwww.webofscience.com%2Fwos%2Fwoscc%2Ffull-record%2FWOS:000407981500001","View Full Record in Web of Science")</f>
        <v>View Full Record in Web of Science</v>
      </c>
    </row>
    <row r="596" spans="1:72" x14ac:dyDescent="0.15">
      <c r="A596" t="s">
        <v>72</v>
      </c>
      <c r="B596" t="s">
        <v>11640</v>
      </c>
      <c r="C596" t="s">
        <v>74</v>
      </c>
      <c r="D596" t="s">
        <v>74</v>
      </c>
      <c r="E596" t="s">
        <v>74</v>
      </c>
      <c r="F596" t="s">
        <v>11641</v>
      </c>
      <c r="G596" t="s">
        <v>74</v>
      </c>
      <c r="H596" t="s">
        <v>74</v>
      </c>
      <c r="I596" t="s">
        <v>11642</v>
      </c>
      <c r="J596" t="s">
        <v>1303</v>
      </c>
      <c r="K596" t="s">
        <v>74</v>
      </c>
      <c r="L596" t="s">
        <v>74</v>
      </c>
      <c r="M596" t="s">
        <v>78</v>
      </c>
      <c r="N596" t="s">
        <v>79</v>
      </c>
      <c r="O596" t="s">
        <v>74</v>
      </c>
      <c r="P596" t="s">
        <v>74</v>
      </c>
      <c r="Q596" t="s">
        <v>74</v>
      </c>
      <c r="R596" t="s">
        <v>74</v>
      </c>
      <c r="S596" t="s">
        <v>74</v>
      </c>
      <c r="T596" t="s">
        <v>11643</v>
      </c>
      <c r="U596" t="s">
        <v>11644</v>
      </c>
      <c r="V596" t="s">
        <v>11645</v>
      </c>
      <c r="W596" t="s">
        <v>11646</v>
      </c>
      <c r="X596" t="s">
        <v>11647</v>
      </c>
      <c r="Y596" t="s">
        <v>11648</v>
      </c>
      <c r="Z596" t="s">
        <v>8941</v>
      </c>
      <c r="AA596" t="s">
        <v>11649</v>
      </c>
      <c r="AB596" t="s">
        <v>11650</v>
      </c>
      <c r="AC596" t="s">
        <v>11651</v>
      </c>
      <c r="AD596" t="s">
        <v>11652</v>
      </c>
      <c r="AE596" t="s">
        <v>11653</v>
      </c>
      <c r="AF596" t="s">
        <v>74</v>
      </c>
      <c r="AG596">
        <v>64</v>
      </c>
      <c r="AH596">
        <v>11</v>
      </c>
      <c r="AI596">
        <v>11</v>
      </c>
      <c r="AJ596">
        <v>1</v>
      </c>
      <c r="AK596">
        <v>31</v>
      </c>
      <c r="AL596" t="s">
        <v>728</v>
      </c>
      <c r="AM596" t="s">
        <v>729</v>
      </c>
      <c r="AN596" t="s">
        <v>730</v>
      </c>
      <c r="AO596" t="s">
        <v>1315</v>
      </c>
      <c r="AP596" t="s">
        <v>1316</v>
      </c>
      <c r="AQ596" t="s">
        <v>74</v>
      </c>
      <c r="AR596" t="s">
        <v>1317</v>
      </c>
      <c r="AS596" t="s">
        <v>1318</v>
      </c>
      <c r="AT596" t="s">
        <v>10370</v>
      </c>
      <c r="AU596">
        <v>2017</v>
      </c>
      <c r="AV596">
        <v>129</v>
      </c>
      <c r="AW596" t="s">
        <v>74</v>
      </c>
      <c r="AX596" t="s">
        <v>74</v>
      </c>
      <c r="AY596" t="s">
        <v>74</v>
      </c>
      <c r="AZ596" t="s">
        <v>74</v>
      </c>
      <c r="BA596" t="s">
        <v>74</v>
      </c>
      <c r="BB596">
        <v>68</v>
      </c>
      <c r="BC596">
        <v>75</v>
      </c>
      <c r="BD596" t="s">
        <v>74</v>
      </c>
      <c r="BE596" t="s">
        <v>11654</v>
      </c>
      <c r="BF596" t="str">
        <f>HYPERLINK("http://dx.doi.org/10.1016/j.marenvres.2017.04.014","http://dx.doi.org/10.1016/j.marenvres.2017.04.014")</f>
        <v>http://dx.doi.org/10.1016/j.marenvres.2017.04.014</v>
      </c>
      <c r="BG596" t="s">
        <v>74</v>
      </c>
      <c r="BH596" t="s">
        <v>74</v>
      </c>
      <c r="BI596">
        <v>8</v>
      </c>
      <c r="BJ596" t="s">
        <v>1320</v>
      </c>
      <c r="BK596" t="s">
        <v>101</v>
      </c>
      <c r="BL596" t="s">
        <v>1321</v>
      </c>
      <c r="BM596" t="s">
        <v>11638</v>
      </c>
      <c r="BN596">
        <v>28487162</v>
      </c>
      <c r="BO596" t="s">
        <v>74</v>
      </c>
      <c r="BP596" t="s">
        <v>74</v>
      </c>
      <c r="BQ596" t="s">
        <v>74</v>
      </c>
      <c r="BR596" t="s">
        <v>105</v>
      </c>
      <c r="BS596" t="s">
        <v>11655</v>
      </c>
      <c r="BT596" t="str">
        <f>HYPERLINK("https%3A%2F%2Fwww.webofscience.com%2Fwos%2Fwoscc%2Ffull-record%2FWOS:000407981500007","View Full Record in Web of Science")</f>
        <v>View Full Record in Web of Science</v>
      </c>
    </row>
    <row r="597" spans="1:72" x14ac:dyDescent="0.15">
      <c r="A597" t="s">
        <v>72</v>
      </c>
      <c r="B597" t="s">
        <v>11656</v>
      </c>
      <c r="C597" t="s">
        <v>74</v>
      </c>
      <c r="D597" t="s">
        <v>74</v>
      </c>
      <c r="E597" t="s">
        <v>74</v>
      </c>
      <c r="F597" t="s">
        <v>11657</v>
      </c>
      <c r="G597" t="s">
        <v>74</v>
      </c>
      <c r="H597" t="s">
        <v>74</v>
      </c>
      <c r="I597" t="s">
        <v>11658</v>
      </c>
      <c r="J597" t="s">
        <v>7744</v>
      </c>
      <c r="K597" t="s">
        <v>74</v>
      </c>
      <c r="L597" t="s">
        <v>74</v>
      </c>
      <c r="M597" t="s">
        <v>78</v>
      </c>
      <c r="N597" t="s">
        <v>79</v>
      </c>
      <c r="O597" t="s">
        <v>74</v>
      </c>
      <c r="P597" t="s">
        <v>74</v>
      </c>
      <c r="Q597" t="s">
        <v>74</v>
      </c>
      <c r="R597" t="s">
        <v>74</v>
      </c>
      <c r="S597" t="s">
        <v>74</v>
      </c>
      <c r="T597" t="s">
        <v>11659</v>
      </c>
      <c r="U597" t="s">
        <v>11660</v>
      </c>
      <c r="V597" t="s">
        <v>11661</v>
      </c>
      <c r="W597" t="s">
        <v>11662</v>
      </c>
      <c r="X597" t="s">
        <v>11663</v>
      </c>
      <c r="Y597" t="s">
        <v>11664</v>
      </c>
      <c r="Z597" t="s">
        <v>11665</v>
      </c>
      <c r="AA597" t="s">
        <v>74</v>
      </c>
      <c r="AB597" t="s">
        <v>11666</v>
      </c>
      <c r="AC597" t="s">
        <v>11667</v>
      </c>
      <c r="AD597" t="s">
        <v>11667</v>
      </c>
      <c r="AE597" t="s">
        <v>11668</v>
      </c>
      <c r="AF597" t="s">
        <v>74</v>
      </c>
      <c r="AG597">
        <v>84</v>
      </c>
      <c r="AH597">
        <v>8</v>
      </c>
      <c r="AI597">
        <v>8</v>
      </c>
      <c r="AJ597">
        <v>0</v>
      </c>
      <c r="AK597">
        <v>21</v>
      </c>
      <c r="AL597" t="s">
        <v>1981</v>
      </c>
      <c r="AM597" t="s">
        <v>729</v>
      </c>
      <c r="AN597" t="s">
        <v>1982</v>
      </c>
      <c r="AO597" t="s">
        <v>7756</v>
      </c>
      <c r="AP597" t="s">
        <v>7757</v>
      </c>
      <c r="AQ597" t="s">
        <v>74</v>
      </c>
      <c r="AR597" t="s">
        <v>7758</v>
      </c>
      <c r="AS597" t="s">
        <v>7759</v>
      </c>
      <c r="AT597" t="s">
        <v>10370</v>
      </c>
      <c r="AU597">
        <v>2017</v>
      </c>
      <c r="AV597">
        <v>126</v>
      </c>
      <c r="AW597" t="s">
        <v>74</v>
      </c>
      <c r="AX597" t="s">
        <v>74</v>
      </c>
      <c r="AY597" t="s">
        <v>74</v>
      </c>
      <c r="AZ597" t="s">
        <v>74</v>
      </c>
      <c r="BA597" t="s">
        <v>74</v>
      </c>
      <c r="BB597">
        <v>1</v>
      </c>
      <c r="BC597">
        <v>20</v>
      </c>
      <c r="BD597" t="s">
        <v>74</v>
      </c>
      <c r="BE597" t="s">
        <v>11669</v>
      </c>
      <c r="BF597" t="str">
        <f>HYPERLINK("http://dx.doi.org/10.1016/j.dsr.2017.05.007","http://dx.doi.org/10.1016/j.dsr.2017.05.007")</f>
        <v>http://dx.doi.org/10.1016/j.dsr.2017.05.007</v>
      </c>
      <c r="BG597" t="s">
        <v>74</v>
      </c>
      <c r="BH597" t="s">
        <v>74</v>
      </c>
      <c r="BI597">
        <v>20</v>
      </c>
      <c r="BJ597" t="s">
        <v>1459</v>
      </c>
      <c r="BK597" t="s">
        <v>101</v>
      </c>
      <c r="BL597" t="s">
        <v>1459</v>
      </c>
      <c r="BM597" t="s">
        <v>11670</v>
      </c>
      <c r="BN597" t="s">
        <v>74</v>
      </c>
      <c r="BO597" t="s">
        <v>768</v>
      </c>
      <c r="BP597" t="s">
        <v>74</v>
      </c>
      <c r="BQ597" t="s">
        <v>74</v>
      </c>
      <c r="BR597" t="s">
        <v>105</v>
      </c>
      <c r="BS597" t="s">
        <v>11671</v>
      </c>
      <c r="BT597" t="str">
        <f>HYPERLINK("https%3A%2F%2Fwww.webofscience.com%2Fwos%2Fwoscc%2Ffull-record%2FWOS:000408076600001","View Full Record in Web of Science")</f>
        <v>View Full Record in Web of Science</v>
      </c>
    </row>
    <row r="598" spans="1:72" x14ac:dyDescent="0.15">
      <c r="A598" t="s">
        <v>72</v>
      </c>
      <c r="B598" t="s">
        <v>11672</v>
      </c>
      <c r="C598" t="s">
        <v>74</v>
      </c>
      <c r="D598" t="s">
        <v>74</v>
      </c>
      <c r="E598" t="s">
        <v>74</v>
      </c>
      <c r="F598" t="s">
        <v>11673</v>
      </c>
      <c r="G598" t="s">
        <v>74</v>
      </c>
      <c r="H598" t="s">
        <v>74</v>
      </c>
      <c r="I598" t="s">
        <v>11674</v>
      </c>
      <c r="J598" t="s">
        <v>7744</v>
      </c>
      <c r="K598" t="s">
        <v>74</v>
      </c>
      <c r="L598" t="s">
        <v>74</v>
      </c>
      <c r="M598" t="s">
        <v>78</v>
      </c>
      <c r="N598" t="s">
        <v>79</v>
      </c>
      <c r="O598" t="s">
        <v>74</v>
      </c>
      <c r="P598" t="s">
        <v>74</v>
      </c>
      <c r="Q598" t="s">
        <v>74</v>
      </c>
      <c r="R598" t="s">
        <v>74</v>
      </c>
      <c r="S598" t="s">
        <v>74</v>
      </c>
      <c r="T598" t="s">
        <v>11675</v>
      </c>
      <c r="U598" t="s">
        <v>11676</v>
      </c>
      <c r="V598" t="s">
        <v>11677</v>
      </c>
      <c r="W598" t="s">
        <v>11678</v>
      </c>
      <c r="X598" t="s">
        <v>11679</v>
      </c>
      <c r="Y598" t="s">
        <v>11680</v>
      </c>
      <c r="Z598" t="s">
        <v>11681</v>
      </c>
      <c r="AA598" t="s">
        <v>11682</v>
      </c>
      <c r="AB598" t="s">
        <v>11683</v>
      </c>
      <c r="AC598" t="s">
        <v>11684</v>
      </c>
      <c r="AD598" t="s">
        <v>11685</v>
      </c>
      <c r="AE598" t="s">
        <v>11686</v>
      </c>
      <c r="AF598" t="s">
        <v>74</v>
      </c>
      <c r="AG598">
        <v>69</v>
      </c>
      <c r="AH598">
        <v>28</v>
      </c>
      <c r="AI598">
        <v>39</v>
      </c>
      <c r="AJ598">
        <v>1</v>
      </c>
      <c r="AK598">
        <v>35</v>
      </c>
      <c r="AL598" t="s">
        <v>1981</v>
      </c>
      <c r="AM598" t="s">
        <v>729</v>
      </c>
      <c r="AN598" t="s">
        <v>1982</v>
      </c>
      <c r="AO598" t="s">
        <v>7756</v>
      </c>
      <c r="AP598" t="s">
        <v>7757</v>
      </c>
      <c r="AQ598" t="s">
        <v>74</v>
      </c>
      <c r="AR598" t="s">
        <v>7758</v>
      </c>
      <c r="AS598" t="s">
        <v>7759</v>
      </c>
      <c r="AT598" t="s">
        <v>10370</v>
      </c>
      <c r="AU598">
        <v>2017</v>
      </c>
      <c r="AV598">
        <v>126</v>
      </c>
      <c r="AW598" t="s">
        <v>74</v>
      </c>
      <c r="AX598" t="s">
        <v>74</v>
      </c>
      <c r="AY598" t="s">
        <v>74</v>
      </c>
      <c r="AZ598" t="s">
        <v>74</v>
      </c>
      <c r="BA598" t="s">
        <v>74</v>
      </c>
      <c r="BB598">
        <v>139</v>
      </c>
      <c r="BC598">
        <v>147</v>
      </c>
      <c r="BD598" t="s">
        <v>74</v>
      </c>
      <c r="BE598" t="s">
        <v>11687</v>
      </c>
      <c r="BF598" t="str">
        <f>HYPERLINK("http://dx.doi.org/10.1016/j.dsr.2017.05.008","http://dx.doi.org/10.1016/j.dsr.2017.05.008")</f>
        <v>http://dx.doi.org/10.1016/j.dsr.2017.05.008</v>
      </c>
      <c r="BG598" t="s">
        <v>74</v>
      </c>
      <c r="BH598" t="s">
        <v>74</v>
      </c>
      <c r="BI598">
        <v>9</v>
      </c>
      <c r="BJ598" t="s">
        <v>1459</v>
      </c>
      <c r="BK598" t="s">
        <v>101</v>
      </c>
      <c r="BL598" t="s">
        <v>1459</v>
      </c>
      <c r="BM598" t="s">
        <v>11670</v>
      </c>
      <c r="BN598" t="s">
        <v>74</v>
      </c>
      <c r="BO598" t="s">
        <v>511</v>
      </c>
      <c r="BP598" t="s">
        <v>74</v>
      </c>
      <c r="BQ598" t="s">
        <v>74</v>
      </c>
      <c r="BR598" t="s">
        <v>105</v>
      </c>
      <c r="BS598" t="s">
        <v>11688</v>
      </c>
      <c r="BT598" t="str">
        <f>HYPERLINK("https%3A%2F%2Fwww.webofscience.com%2Fwos%2Fwoscc%2Ffull-record%2FWOS:000408076600012","View Full Record in Web of Science")</f>
        <v>View Full Record in Web of Science</v>
      </c>
    </row>
    <row r="599" spans="1:72" x14ac:dyDescent="0.15">
      <c r="A599" t="s">
        <v>72</v>
      </c>
      <c r="B599" t="s">
        <v>11689</v>
      </c>
      <c r="C599" t="s">
        <v>74</v>
      </c>
      <c r="D599" t="s">
        <v>74</v>
      </c>
      <c r="E599" t="s">
        <v>74</v>
      </c>
      <c r="F599" t="s">
        <v>11690</v>
      </c>
      <c r="G599" t="s">
        <v>74</v>
      </c>
      <c r="H599" t="s">
        <v>74</v>
      </c>
      <c r="I599" t="s">
        <v>11691</v>
      </c>
      <c r="J599" t="s">
        <v>11692</v>
      </c>
      <c r="K599" t="s">
        <v>74</v>
      </c>
      <c r="L599" t="s">
        <v>74</v>
      </c>
      <c r="M599" t="s">
        <v>78</v>
      </c>
      <c r="N599" t="s">
        <v>79</v>
      </c>
      <c r="O599" t="s">
        <v>74</v>
      </c>
      <c r="P599" t="s">
        <v>74</v>
      </c>
      <c r="Q599" t="s">
        <v>74</v>
      </c>
      <c r="R599" t="s">
        <v>74</v>
      </c>
      <c r="S599" t="s">
        <v>74</v>
      </c>
      <c r="T599" t="s">
        <v>11693</v>
      </c>
      <c r="U599" t="s">
        <v>11694</v>
      </c>
      <c r="V599" t="s">
        <v>11695</v>
      </c>
      <c r="W599" t="s">
        <v>11696</v>
      </c>
      <c r="X599" t="s">
        <v>11697</v>
      </c>
      <c r="Y599" t="s">
        <v>11698</v>
      </c>
      <c r="Z599" t="s">
        <v>11699</v>
      </c>
      <c r="AA599" t="s">
        <v>74</v>
      </c>
      <c r="AB599" t="s">
        <v>74</v>
      </c>
      <c r="AC599" t="s">
        <v>11700</v>
      </c>
      <c r="AD599" t="s">
        <v>11701</v>
      </c>
      <c r="AE599" t="s">
        <v>11702</v>
      </c>
      <c r="AF599" t="s">
        <v>74</v>
      </c>
      <c r="AG599">
        <v>68</v>
      </c>
      <c r="AH599">
        <v>10</v>
      </c>
      <c r="AI599">
        <v>12</v>
      </c>
      <c r="AJ599">
        <v>1</v>
      </c>
      <c r="AK599">
        <v>90</v>
      </c>
      <c r="AL599" t="s">
        <v>208</v>
      </c>
      <c r="AM599" t="s">
        <v>209</v>
      </c>
      <c r="AN599" t="s">
        <v>210</v>
      </c>
      <c r="AO599" t="s">
        <v>11703</v>
      </c>
      <c r="AP599" t="s">
        <v>11704</v>
      </c>
      <c r="AQ599" t="s">
        <v>74</v>
      </c>
      <c r="AR599" t="s">
        <v>11692</v>
      </c>
      <c r="AS599" t="s">
        <v>11705</v>
      </c>
      <c r="AT599" t="s">
        <v>10370</v>
      </c>
      <c r="AU599">
        <v>2017</v>
      </c>
      <c r="AV599">
        <v>20</v>
      </c>
      <c r="AW599">
        <v>5</v>
      </c>
      <c r="AX599" t="s">
        <v>74</v>
      </c>
      <c r="AY599" t="s">
        <v>74</v>
      </c>
      <c r="AZ599" t="s">
        <v>74</v>
      </c>
      <c r="BA599" t="s">
        <v>74</v>
      </c>
      <c r="BB599">
        <v>885</v>
      </c>
      <c r="BC599">
        <v>903</v>
      </c>
      <c r="BD599" t="s">
        <v>74</v>
      </c>
      <c r="BE599" t="s">
        <v>11706</v>
      </c>
      <c r="BF599" t="str">
        <f>HYPERLINK("http://dx.doi.org/10.1007/s10021-016-0078-8","http://dx.doi.org/10.1007/s10021-016-0078-8")</f>
        <v>http://dx.doi.org/10.1007/s10021-016-0078-8</v>
      </c>
      <c r="BG599" t="s">
        <v>74</v>
      </c>
      <c r="BH599" t="s">
        <v>74</v>
      </c>
      <c r="BI599">
        <v>19</v>
      </c>
      <c r="BJ599" t="s">
        <v>1047</v>
      </c>
      <c r="BK599" t="s">
        <v>101</v>
      </c>
      <c r="BL599" t="s">
        <v>1048</v>
      </c>
      <c r="BM599" t="s">
        <v>11707</v>
      </c>
      <c r="BN599" t="s">
        <v>74</v>
      </c>
      <c r="BO599" t="s">
        <v>74</v>
      </c>
      <c r="BP599" t="s">
        <v>74</v>
      </c>
      <c r="BQ599" t="s">
        <v>74</v>
      </c>
      <c r="BR599" t="s">
        <v>105</v>
      </c>
      <c r="BS599" t="s">
        <v>11708</v>
      </c>
      <c r="BT599" t="str">
        <f>HYPERLINK("https%3A%2F%2Fwww.webofscience.com%2Fwos%2Fwoscc%2Ffull-record%2FWOS:000407846100003","View Full Record in Web of Science")</f>
        <v>View Full Record in Web of Science</v>
      </c>
    </row>
    <row r="600" spans="1:72" x14ac:dyDescent="0.15">
      <c r="A600" t="s">
        <v>72</v>
      </c>
      <c r="B600" t="s">
        <v>11709</v>
      </c>
      <c r="C600" t="s">
        <v>74</v>
      </c>
      <c r="D600" t="s">
        <v>74</v>
      </c>
      <c r="E600" t="s">
        <v>74</v>
      </c>
      <c r="F600" t="s">
        <v>11710</v>
      </c>
      <c r="G600" t="s">
        <v>74</v>
      </c>
      <c r="H600" t="s">
        <v>74</v>
      </c>
      <c r="I600" t="s">
        <v>11711</v>
      </c>
      <c r="J600" t="s">
        <v>11712</v>
      </c>
      <c r="K600" t="s">
        <v>74</v>
      </c>
      <c r="L600" t="s">
        <v>74</v>
      </c>
      <c r="M600" t="s">
        <v>78</v>
      </c>
      <c r="N600" t="s">
        <v>79</v>
      </c>
      <c r="O600" t="s">
        <v>74</v>
      </c>
      <c r="P600" t="s">
        <v>74</v>
      </c>
      <c r="Q600" t="s">
        <v>74</v>
      </c>
      <c r="R600" t="s">
        <v>74</v>
      </c>
      <c r="S600" t="s">
        <v>74</v>
      </c>
      <c r="T600" t="s">
        <v>74</v>
      </c>
      <c r="U600" t="s">
        <v>11713</v>
      </c>
      <c r="V600" t="s">
        <v>11714</v>
      </c>
      <c r="W600" t="s">
        <v>11715</v>
      </c>
      <c r="X600" t="s">
        <v>11716</v>
      </c>
      <c r="Y600" t="s">
        <v>11717</v>
      </c>
      <c r="Z600" t="s">
        <v>11718</v>
      </c>
      <c r="AA600" t="s">
        <v>11719</v>
      </c>
      <c r="AB600" t="s">
        <v>11720</v>
      </c>
      <c r="AC600" t="s">
        <v>11721</v>
      </c>
      <c r="AD600" t="s">
        <v>11722</v>
      </c>
      <c r="AE600" t="s">
        <v>11723</v>
      </c>
      <c r="AF600" t="s">
        <v>74</v>
      </c>
      <c r="AG600">
        <v>105</v>
      </c>
      <c r="AH600">
        <v>15</v>
      </c>
      <c r="AI600">
        <v>22</v>
      </c>
      <c r="AJ600">
        <v>0</v>
      </c>
      <c r="AK600">
        <v>11</v>
      </c>
      <c r="AL600" t="s">
        <v>11724</v>
      </c>
      <c r="AM600" t="s">
        <v>1293</v>
      </c>
      <c r="AN600" t="s">
        <v>11725</v>
      </c>
      <c r="AO600" t="s">
        <v>11726</v>
      </c>
      <c r="AP600" t="s">
        <v>11727</v>
      </c>
      <c r="AQ600" t="s">
        <v>74</v>
      </c>
      <c r="AR600" t="s">
        <v>11728</v>
      </c>
      <c r="AS600" t="s">
        <v>11729</v>
      </c>
      <c r="AT600" t="s">
        <v>10370</v>
      </c>
      <c r="AU600">
        <v>2017</v>
      </c>
      <c r="AV600">
        <v>49</v>
      </c>
      <c r="AW600">
        <v>3</v>
      </c>
      <c r="AX600" t="s">
        <v>74</v>
      </c>
      <c r="AY600" t="s">
        <v>74</v>
      </c>
      <c r="AZ600" t="s">
        <v>74</v>
      </c>
      <c r="BA600" t="s">
        <v>74</v>
      </c>
      <c r="BB600">
        <v>341</v>
      </c>
      <c r="BC600">
        <v>358</v>
      </c>
      <c r="BD600" t="s">
        <v>74</v>
      </c>
      <c r="BE600" t="s">
        <v>11730</v>
      </c>
      <c r="BF600" t="str">
        <f>HYPERLINK("http://dx.doi.org/10.1657/AAAR0016-025","http://dx.doi.org/10.1657/AAAR0016-025")</f>
        <v>http://dx.doi.org/10.1657/AAAR0016-025</v>
      </c>
      <c r="BG600" t="s">
        <v>74</v>
      </c>
      <c r="BH600" t="s">
        <v>74</v>
      </c>
      <c r="BI600">
        <v>18</v>
      </c>
      <c r="BJ600" t="s">
        <v>11731</v>
      </c>
      <c r="BK600" t="s">
        <v>101</v>
      </c>
      <c r="BL600" t="s">
        <v>2553</v>
      </c>
      <c r="BM600" t="s">
        <v>11732</v>
      </c>
      <c r="BN600" t="s">
        <v>74</v>
      </c>
      <c r="BO600" t="s">
        <v>1170</v>
      </c>
      <c r="BP600" t="s">
        <v>74</v>
      </c>
      <c r="BQ600" t="s">
        <v>74</v>
      </c>
      <c r="BR600" t="s">
        <v>105</v>
      </c>
      <c r="BS600" t="s">
        <v>11733</v>
      </c>
      <c r="BT600" t="str">
        <f>HYPERLINK("https%3A%2F%2Fwww.webofscience.com%2Fwos%2Fwoscc%2Ffull-record%2FWOS:000407837100001","View Full Record in Web of Science")</f>
        <v>View Full Record in Web of Science</v>
      </c>
    </row>
    <row r="601" spans="1:72" x14ac:dyDescent="0.15">
      <c r="A601" t="s">
        <v>72</v>
      </c>
      <c r="B601" t="s">
        <v>11734</v>
      </c>
      <c r="C601" t="s">
        <v>74</v>
      </c>
      <c r="D601" t="s">
        <v>74</v>
      </c>
      <c r="E601" t="s">
        <v>74</v>
      </c>
      <c r="F601" t="s">
        <v>11735</v>
      </c>
      <c r="G601" t="s">
        <v>74</v>
      </c>
      <c r="H601" t="s">
        <v>74</v>
      </c>
      <c r="I601" t="s">
        <v>11736</v>
      </c>
      <c r="J601" t="s">
        <v>11712</v>
      </c>
      <c r="K601" t="s">
        <v>74</v>
      </c>
      <c r="L601" t="s">
        <v>74</v>
      </c>
      <c r="M601" t="s">
        <v>78</v>
      </c>
      <c r="N601" t="s">
        <v>79</v>
      </c>
      <c r="O601" t="s">
        <v>74</v>
      </c>
      <c r="P601" t="s">
        <v>74</v>
      </c>
      <c r="Q601" t="s">
        <v>74</v>
      </c>
      <c r="R601" t="s">
        <v>74</v>
      </c>
      <c r="S601" t="s">
        <v>74</v>
      </c>
      <c r="T601" t="s">
        <v>74</v>
      </c>
      <c r="U601" t="s">
        <v>11737</v>
      </c>
      <c r="V601" t="s">
        <v>11738</v>
      </c>
      <c r="W601" t="s">
        <v>11739</v>
      </c>
      <c r="X601" t="s">
        <v>11740</v>
      </c>
      <c r="Y601" t="s">
        <v>11741</v>
      </c>
      <c r="Z601" t="s">
        <v>11742</v>
      </c>
      <c r="AA601" t="s">
        <v>74</v>
      </c>
      <c r="AB601" t="s">
        <v>74</v>
      </c>
      <c r="AC601" t="s">
        <v>11743</v>
      </c>
      <c r="AD601" t="s">
        <v>11744</v>
      </c>
      <c r="AE601" t="s">
        <v>11745</v>
      </c>
      <c r="AF601" t="s">
        <v>74</v>
      </c>
      <c r="AG601">
        <v>84</v>
      </c>
      <c r="AH601">
        <v>19</v>
      </c>
      <c r="AI601">
        <v>29</v>
      </c>
      <c r="AJ601">
        <v>0</v>
      </c>
      <c r="AK601">
        <v>19</v>
      </c>
      <c r="AL601" t="s">
        <v>1017</v>
      </c>
      <c r="AM601" t="s">
        <v>1018</v>
      </c>
      <c r="AN601" t="s">
        <v>1019</v>
      </c>
      <c r="AO601" t="s">
        <v>11726</v>
      </c>
      <c r="AP601" t="s">
        <v>11727</v>
      </c>
      <c r="AQ601" t="s">
        <v>74</v>
      </c>
      <c r="AR601" t="s">
        <v>11728</v>
      </c>
      <c r="AS601" t="s">
        <v>11729</v>
      </c>
      <c r="AT601" t="s">
        <v>10370</v>
      </c>
      <c r="AU601">
        <v>2017</v>
      </c>
      <c r="AV601">
        <v>49</v>
      </c>
      <c r="AW601">
        <v>3</v>
      </c>
      <c r="AX601" t="s">
        <v>74</v>
      </c>
      <c r="AY601" t="s">
        <v>74</v>
      </c>
      <c r="AZ601" t="s">
        <v>74</v>
      </c>
      <c r="BA601" t="s">
        <v>74</v>
      </c>
      <c r="BB601">
        <v>391</v>
      </c>
      <c r="BC601">
        <v>410</v>
      </c>
      <c r="BD601" t="s">
        <v>74</v>
      </c>
      <c r="BE601" t="s">
        <v>11746</v>
      </c>
      <c r="BF601" t="str">
        <f>HYPERLINK("http://dx.doi.org/10.1657/AAAR0017-003","http://dx.doi.org/10.1657/AAAR0017-003")</f>
        <v>http://dx.doi.org/10.1657/AAAR0017-003</v>
      </c>
      <c r="BG601" t="s">
        <v>74</v>
      </c>
      <c r="BH601" t="s">
        <v>74</v>
      </c>
      <c r="BI601">
        <v>20</v>
      </c>
      <c r="BJ601" t="s">
        <v>11731</v>
      </c>
      <c r="BK601" t="s">
        <v>101</v>
      </c>
      <c r="BL601" t="s">
        <v>2553</v>
      </c>
      <c r="BM601" t="s">
        <v>11732</v>
      </c>
      <c r="BN601" t="s">
        <v>74</v>
      </c>
      <c r="BO601" t="s">
        <v>122</v>
      </c>
      <c r="BP601" t="s">
        <v>74</v>
      </c>
      <c r="BQ601" t="s">
        <v>74</v>
      </c>
      <c r="BR601" t="s">
        <v>105</v>
      </c>
      <c r="BS601" t="s">
        <v>11747</v>
      </c>
      <c r="BT601" t="str">
        <f>HYPERLINK("https%3A%2F%2Fwww.webofscience.com%2Fwos%2Fwoscc%2Ffull-record%2FWOS:000407837100004","View Full Record in Web of Science")</f>
        <v>View Full Record in Web of Science</v>
      </c>
    </row>
    <row r="602" spans="1:72" x14ac:dyDescent="0.15">
      <c r="A602" t="s">
        <v>72</v>
      </c>
      <c r="B602" t="s">
        <v>11748</v>
      </c>
      <c r="C602" t="s">
        <v>74</v>
      </c>
      <c r="D602" t="s">
        <v>74</v>
      </c>
      <c r="E602" t="s">
        <v>74</v>
      </c>
      <c r="F602" t="s">
        <v>11749</v>
      </c>
      <c r="G602" t="s">
        <v>74</v>
      </c>
      <c r="H602" t="s">
        <v>74</v>
      </c>
      <c r="I602" t="s">
        <v>11750</v>
      </c>
      <c r="J602" t="s">
        <v>11712</v>
      </c>
      <c r="K602" t="s">
        <v>74</v>
      </c>
      <c r="L602" t="s">
        <v>74</v>
      </c>
      <c r="M602" t="s">
        <v>78</v>
      </c>
      <c r="N602" t="s">
        <v>79</v>
      </c>
      <c r="O602" t="s">
        <v>74</v>
      </c>
      <c r="P602" t="s">
        <v>74</v>
      </c>
      <c r="Q602" t="s">
        <v>74</v>
      </c>
      <c r="R602" t="s">
        <v>74</v>
      </c>
      <c r="S602" t="s">
        <v>74</v>
      </c>
      <c r="T602" t="s">
        <v>74</v>
      </c>
      <c r="U602" t="s">
        <v>11751</v>
      </c>
      <c r="V602" t="s">
        <v>11752</v>
      </c>
      <c r="W602" t="s">
        <v>11753</v>
      </c>
      <c r="X602" t="s">
        <v>11754</v>
      </c>
      <c r="Y602" t="s">
        <v>11755</v>
      </c>
      <c r="Z602" t="s">
        <v>11756</v>
      </c>
      <c r="AA602" t="s">
        <v>11757</v>
      </c>
      <c r="AB602" t="s">
        <v>11758</v>
      </c>
      <c r="AC602" t="s">
        <v>11759</v>
      </c>
      <c r="AD602" t="s">
        <v>11760</v>
      </c>
      <c r="AE602" t="s">
        <v>11761</v>
      </c>
      <c r="AF602" t="s">
        <v>74</v>
      </c>
      <c r="AG602">
        <v>49</v>
      </c>
      <c r="AH602">
        <v>14</v>
      </c>
      <c r="AI602">
        <v>14</v>
      </c>
      <c r="AJ602">
        <v>0</v>
      </c>
      <c r="AK602">
        <v>31</v>
      </c>
      <c r="AL602" t="s">
        <v>11724</v>
      </c>
      <c r="AM602" t="s">
        <v>1293</v>
      </c>
      <c r="AN602" t="s">
        <v>11725</v>
      </c>
      <c r="AO602" t="s">
        <v>11726</v>
      </c>
      <c r="AP602" t="s">
        <v>11727</v>
      </c>
      <c r="AQ602" t="s">
        <v>74</v>
      </c>
      <c r="AR602" t="s">
        <v>11728</v>
      </c>
      <c r="AS602" t="s">
        <v>11729</v>
      </c>
      <c r="AT602" t="s">
        <v>10370</v>
      </c>
      <c r="AU602">
        <v>2017</v>
      </c>
      <c r="AV602">
        <v>49</v>
      </c>
      <c r="AW602">
        <v>3</v>
      </c>
      <c r="AX602" t="s">
        <v>74</v>
      </c>
      <c r="AY602" t="s">
        <v>74</v>
      </c>
      <c r="AZ602" t="s">
        <v>74</v>
      </c>
      <c r="BA602" t="s">
        <v>74</v>
      </c>
      <c r="BB602">
        <v>411</v>
      </c>
      <c r="BC602">
        <v>425</v>
      </c>
      <c r="BD602" t="s">
        <v>74</v>
      </c>
      <c r="BE602" t="s">
        <v>11762</v>
      </c>
      <c r="BF602" t="str">
        <f>HYPERLINK("http://dx.doi.org/10.1657/AAAR0016-049","http://dx.doi.org/10.1657/AAAR0016-049")</f>
        <v>http://dx.doi.org/10.1657/AAAR0016-049</v>
      </c>
      <c r="BG602" t="s">
        <v>74</v>
      </c>
      <c r="BH602" t="s">
        <v>74</v>
      </c>
      <c r="BI602">
        <v>15</v>
      </c>
      <c r="BJ602" t="s">
        <v>11731</v>
      </c>
      <c r="BK602" t="s">
        <v>101</v>
      </c>
      <c r="BL602" t="s">
        <v>2553</v>
      </c>
      <c r="BM602" t="s">
        <v>11732</v>
      </c>
      <c r="BN602" t="s">
        <v>74</v>
      </c>
      <c r="BO602" t="s">
        <v>10664</v>
      </c>
      <c r="BP602" t="s">
        <v>74</v>
      </c>
      <c r="BQ602" t="s">
        <v>74</v>
      </c>
      <c r="BR602" t="s">
        <v>105</v>
      </c>
      <c r="BS602" t="s">
        <v>11763</v>
      </c>
      <c r="BT602" t="str">
        <f>HYPERLINK("https%3A%2F%2Fwww.webofscience.com%2Fwos%2Fwoscc%2Ffull-record%2FWOS:000407837100005","View Full Record in Web of Science")</f>
        <v>View Full Record in Web of Science</v>
      </c>
    </row>
    <row r="603" spans="1:72" x14ac:dyDescent="0.15">
      <c r="A603" t="s">
        <v>72</v>
      </c>
      <c r="B603" t="s">
        <v>11764</v>
      </c>
      <c r="C603" t="s">
        <v>74</v>
      </c>
      <c r="D603" t="s">
        <v>74</v>
      </c>
      <c r="E603" t="s">
        <v>74</v>
      </c>
      <c r="F603" t="s">
        <v>11765</v>
      </c>
      <c r="G603" t="s">
        <v>74</v>
      </c>
      <c r="H603" t="s">
        <v>74</v>
      </c>
      <c r="I603" t="s">
        <v>11766</v>
      </c>
      <c r="J603" t="s">
        <v>11712</v>
      </c>
      <c r="K603" t="s">
        <v>74</v>
      </c>
      <c r="L603" t="s">
        <v>74</v>
      </c>
      <c r="M603" t="s">
        <v>78</v>
      </c>
      <c r="N603" t="s">
        <v>79</v>
      </c>
      <c r="O603" t="s">
        <v>74</v>
      </c>
      <c r="P603" t="s">
        <v>74</v>
      </c>
      <c r="Q603" t="s">
        <v>74</v>
      </c>
      <c r="R603" t="s">
        <v>74</v>
      </c>
      <c r="S603" t="s">
        <v>74</v>
      </c>
      <c r="T603" t="s">
        <v>74</v>
      </c>
      <c r="U603" t="s">
        <v>11767</v>
      </c>
      <c r="V603" t="s">
        <v>11768</v>
      </c>
      <c r="W603" t="s">
        <v>11769</v>
      </c>
      <c r="X603" t="s">
        <v>11770</v>
      </c>
      <c r="Y603" t="s">
        <v>11771</v>
      </c>
      <c r="Z603" t="s">
        <v>11772</v>
      </c>
      <c r="AA603" t="s">
        <v>11773</v>
      </c>
      <c r="AB603" t="s">
        <v>11774</v>
      </c>
      <c r="AC603" t="s">
        <v>11775</v>
      </c>
      <c r="AD603" t="s">
        <v>11775</v>
      </c>
      <c r="AE603" t="s">
        <v>11776</v>
      </c>
      <c r="AF603" t="s">
        <v>74</v>
      </c>
      <c r="AG603">
        <v>60</v>
      </c>
      <c r="AH603">
        <v>21</v>
      </c>
      <c r="AI603">
        <v>23</v>
      </c>
      <c r="AJ603">
        <v>7</v>
      </c>
      <c r="AK603">
        <v>50</v>
      </c>
      <c r="AL603" t="s">
        <v>1017</v>
      </c>
      <c r="AM603" t="s">
        <v>1018</v>
      </c>
      <c r="AN603" t="s">
        <v>1019</v>
      </c>
      <c r="AO603" t="s">
        <v>11726</v>
      </c>
      <c r="AP603" t="s">
        <v>11727</v>
      </c>
      <c r="AQ603" t="s">
        <v>74</v>
      </c>
      <c r="AR603" t="s">
        <v>11728</v>
      </c>
      <c r="AS603" t="s">
        <v>11729</v>
      </c>
      <c r="AT603" t="s">
        <v>10370</v>
      </c>
      <c r="AU603">
        <v>2017</v>
      </c>
      <c r="AV603">
        <v>49</v>
      </c>
      <c r="AW603">
        <v>3</v>
      </c>
      <c r="AX603" t="s">
        <v>74</v>
      </c>
      <c r="AY603" t="s">
        <v>74</v>
      </c>
      <c r="AZ603" t="s">
        <v>74</v>
      </c>
      <c r="BA603" t="s">
        <v>74</v>
      </c>
      <c r="BB603">
        <v>427</v>
      </c>
      <c r="BC603">
        <v>440</v>
      </c>
      <c r="BD603" t="s">
        <v>74</v>
      </c>
      <c r="BE603" t="s">
        <v>11777</v>
      </c>
      <c r="BF603" t="str">
        <f>HYPERLINK("http://dx.doi.org/10.1657/AAAR0016.071","http://dx.doi.org/10.1657/AAAR0016.071")</f>
        <v>http://dx.doi.org/10.1657/AAAR0016.071</v>
      </c>
      <c r="BG603" t="s">
        <v>74</v>
      </c>
      <c r="BH603" t="s">
        <v>74</v>
      </c>
      <c r="BI603">
        <v>14</v>
      </c>
      <c r="BJ603" t="s">
        <v>11731</v>
      </c>
      <c r="BK603" t="s">
        <v>101</v>
      </c>
      <c r="BL603" t="s">
        <v>2553</v>
      </c>
      <c r="BM603" t="s">
        <v>11732</v>
      </c>
      <c r="BN603" t="s">
        <v>74</v>
      </c>
      <c r="BO603" t="s">
        <v>1170</v>
      </c>
      <c r="BP603" t="s">
        <v>74</v>
      </c>
      <c r="BQ603" t="s">
        <v>74</v>
      </c>
      <c r="BR603" t="s">
        <v>105</v>
      </c>
      <c r="BS603" t="s">
        <v>11778</v>
      </c>
      <c r="BT603" t="str">
        <f>HYPERLINK("https%3A%2F%2Fwww.webofscience.com%2Fwos%2Fwoscc%2Ffull-record%2FWOS:000407837100006","View Full Record in Web of Science")</f>
        <v>View Full Record in Web of Science</v>
      </c>
    </row>
    <row r="604" spans="1:72" x14ac:dyDescent="0.15">
      <c r="A604" t="s">
        <v>72</v>
      </c>
      <c r="B604" t="s">
        <v>11779</v>
      </c>
      <c r="C604" t="s">
        <v>74</v>
      </c>
      <c r="D604" t="s">
        <v>74</v>
      </c>
      <c r="E604" t="s">
        <v>74</v>
      </c>
      <c r="F604" t="s">
        <v>11780</v>
      </c>
      <c r="G604" t="s">
        <v>74</v>
      </c>
      <c r="H604" t="s">
        <v>74</v>
      </c>
      <c r="I604" t="s">
        <v>11781</v>
      </c>
      <c r="J604" t="s">
        <v>11712</v>
      </c>
      <c r="K604" t="s">
        <v>74</v>
      </c>
      <c r="L604" t="s">
        <v>74</v>
      </c>
      <c r="M604" t="s">
        <v>78</v>
      </c>
      <c r="N604" t="s">
        <v>79</v>
      </c>
      <c r="O604" t="s">
        <v>74</v>
      </c>
      <c r="P604" t="s">
        <v>74</v>
      </c>
      <c r="Q604" t="s">
        <v>74</v>
      </c>
      <c r="R604" t="s">
        <v>74</v>
      </c>
      <c r="S604" t="s">
        <v>74</v>
      </c>
      <c r="T604" t="s">
        <v>74</v>
      </c>
      <c r="U604" t="s">
        <v>11782</v>
      </c>
      <c r="V604" t="s">
        <v>11783</v>
      </c>
      <c r="W604" t="s">
        <v>11784</v>
      </c>
      <c r="X604" t="s">
        <v>1308</v>
      </c>
      <c r="Y604" t="s">
        <v>11785</v>
      </c>
      <c r="Z604" t="s">
        <v>11786</v>
      </c>
      <c r="AA604" t="s">
        <v>74</v>
      </c>
      <c r="AB604" t="s">
        <v>11787</v>
      </c>
      <c r="AC604" t="s">
        <v>74</v>
      </c>
      <c r="AD604" t="s">
        <v>74</v>
      </c>
      <c r="AE604" t="s">
        <v>74</v>
      </c>
      <c r="AF604" t="s">
        <v>74</v>
      </c>
      <c r="AG604">
        <v>56</v>
      </c>
      <c r="AH604">
        <v>9</v>
      </c>
      <c r="AI604">
        <v>9</v>
      </c>
      <c r="AJ604">
        <v>0</v>
      </c>
      <c r="AK604">
        <v>9</v>
      </c>
      <c r="AL604" t="s">
        <v>11724</v>
      </c>
      <c r="AM604" t="s">
        <v>1293</v>
      </c>
      <c r="AN604" t="s">
        <v>11725</v>
      </c>
      <c r="AO604" t="s">
        <v>11726</v>
      </c>
      <c r="AP604" t="s">
        <v>11727</v>
      </c>
      <c r="AQ604" t="s">
        <v>74</v>
      </c>
      <c r="AR604" t="s">
        <v>11728</v>
      </c>
      <c r="AS604" t="s">
        <v>11729</v>
      </c>
      <c r="AT604" t="s">
        <v>10370</v>
      </c>
      <c r="AU604">
        <v>2017</v>
      </c>
      <c r="AV604">
        <v>49</v>
      </c>
      <c r="AW604">
        <v>3</v>
      </c>
      <c r="AX604" t="s">
        <v>74</v>
      </c>
      <c r="AY604" t="s">
        <v>74</v>
      </c>
      <c r="AZ604" t="s">
        <v>74</v>
      </c>
      <c r="BA604" t="s">
        <v>74</v>
      </c>
      <c r="BB604">
        <v>473</v>
      </c>
      <c r="BC604">
        <v>486</v>
      </c>
      <c r="BD604" t="s">
        <v>74</v>
      </c>
      <c r="BE604" t="s">
        <v>11788</v>
      </c>
      <c r="BF604" t="str">
        <f>HYPERLINK("http://dx.doi.org/10.1657/AAAR0017-001","http://dx.doi.org/10.1657/AAAR0017-001")</f>
        <v>http://dx.doi.org/10.1657/AAAR0017-001</v>
      </c>
      <c r="BG604" t="s">
        <v>74</v>
      </c>
      <c r="BH604" t="s">
        <v>74</v>
      </c>
      <c r="BI604">
        <v>14</v>
      </c>
      <c r="BJ604" t="s">
        <v>11731</v>
      </c>
      <c r="BK604" t="s">
        <v>101</v>
      </c>
      <c r="BL604" t="s">
        <v>2553</v>
      </c>
      <c r="BM604" t="s">
        <v>11732</v>
      </c>
      <c r="BN604" t="s">
        <v>74</v>
      </c>
      <c r="BO604" t="s">
        <v>1170</v>
      </c>
      <c r="BP604" t="s">
        <v>74</v>
      </c>
      <c r="BQ604" t="s">
        <v>74</v>
      </c>
      <c r="BR604" t="s">
        <v>105</v>
      </c>
      <c r="BS604" t="s">
        <v>11789</v>
      </c>
      <c r="BT604" t="str">
        <f>HYPERLINK("https%3A%2F%2Fwww.webofscience.com%2Fwos%2Fwoscc%2Ffull-record%2FWOS:000407837100009","View Full Record in Web of Science")</f>
        <v>View Full Record in Web of Science</v>
      </c>
    </row>
    <row r="605" spans="1:72" x14ac:dyDescent="0.15">
      <c r="A605" t="s">
        <v>72</v>
      </c>
      <c r="B605" t="s">
        <v>11790</v>
      </c>
      <c r="C605" t="s">
        <v>74</v>
      </c>
      <c r="D605" t="s">
        <v>74</v>
      </c>
      <c r="E605" t="s">
        <v>74</v>
      </c>
      <c r="F605" t="s">
        <v>11791</v>
      </c>
      <c r="G605" t="s">
        <v>74</v>
      </c>
      <c r="H605" t="s">
        <v>74</v>
      </c>
      <c r="I605" t="s">
        <v>11792</v>
      </c>
      <c r="J605" t="s">
        <v>2757</v>
      </c>
      <c r="K605" t="s">
        <v>74</v>
      </c>
      <c r="L605" t="s">
        <v>74</v>
      </c>
      <c r="M605" t="s">
        <v>78</v>
      </c>
      <c r="N605" t="s">
        <v>4769</v>
      </c>
      <c r="O605" t="s">
        <v>74</v>
      </c>
      <c r="P605" t="s">
        <v>74</v>
      </c>
      <c r="Q605" t="s">
        <v>74</v>
      </c>
      <c r="R605" t="s">
        <v>74</v>
      </c>
      <c r="S605" t="s">
        <v>74</v>
      </c>
      <c r="T605" t="s">
        <v>74</v>
      </c>
      <c r="U605" t="s">
        <v>74</v>
      </c>
      <c r="V605" t="s">
        <v>74</v>
      </c>
      <c r="W605" t="s">
        <v>74</v>
      </c>
      <c r="X605" t="s">
        <v>74</v>
      </c>
      <c r="Y605" t="s">
        <v>74</v>
      </c>
      <c r="Z605" t="s">
        <v>74</v>
      </c>
      <c r="AA605" t="s">
        <v>11793</v>
      </c>
      <c r="AB605" t="s">
        <v>11794</v>
      </c>
      <c r="AC605" t="s">
        <v>11795</v>
      </c>
      <c r="AD605" t="s">
        <v>11796</v>
      </c>
      <c r="AE605" t="s">
        <v>11797</v>
      </c>
      <c r="AF605" t="s">
        <v>74</v>
      </c>
      <c r="AG605">
        <v>1</v>
      </c>
      <c r="AH605">
        <v>6</v>
      </c>
      <c r="AI605">
        <v>6</v>
      </c>
      <c r="AJ605">
        <v>0</v>
      </c>
      <c r="AK605">
        <v>3</v>
      </c>
      <c r="AL605" t="s">
        <v>2770</v>
      </c>
      <c r="AM605" t="s">
        <v>2771</v>
      </c>
      <c r="AN605" t="s">
        <v>2772</v>
      </c>
      <c r="AO605" t="s">
        <v>2773</v>
      </c>
      <c r="AP605" t="s">
        <v>2774</v>
      </c>
      <c r="AQ605" t="s">
        <v>74</v>
      </c>
      <c r="AR605" t="s">
        <v>2757</v>
      </c>
      <c r="AS605" t="s">
        <v>2775</v>
      </c>
      <c r="AT605" t="s">
        <v>10370</v>
      </c>
      <c r="AU605">
        <v>2017</v>
      </c>
      <c r="AV605">
        <v>17</v>
      </c>
      <c r="AW605">
        <v>8</v>
      </c>
      <c r="AX605" t="s">
        <v>74</v>
      </c>
      <c r="AY605" t="s">
        <v>74</v>
      </c>
      <c r="AZ605" t="s">
        <v>74</v>
      </c>
      <c r="BA605" t="s">
        <v>74</v>
      </c>
      <c r="BB605">
        <v>813</v>
      </c>
      <c r="BC605">
        <v>813</v>
      </c>
      <c r="BD605" t="s">
        <v>74</v>
      </c>
      <c r="BE605" t="s">
        <v>11798</v>
      </c>
      <c r="BF605" t="str">
        <f>HYPERLINK("http://dx.doi.org/10.1089/ast.2015.1456.correx","http://dx.doi.org/10.1089/ast.2015.1456.correx")</f>
        <v>http://dx.doi.org/10.1089/ast.2015.1456.correx</v>
      </c>
      <c r="BG605" t="s">
        <v>74</v>
      </c>
      <c r="BH605" t="s">
        <v>74</v>
      </c>
      <c r="BI605">
        <v>1</v>
      </c>
      <c r="BJ605" t="s">
        <v>2777</v>
      </c>
      <c r="BK605" t="s">
        <v>101</v>
      </c>
      <c r="BL605" t="s">
        <v>2778</v>
      </c>
      <c r="BM605" t="s">
        <v>11799</v>
      </c>
      <c r="BN605" t="s">
        <v>74</v>
      </c>
      <c r="BO605" t="s">
        <v>1170</v>
      </c>
      <c r="BP605" t="s">
        <v>74</v>
      </c>
      <c r="BQ605" t="s">
        <v>74</v>
      </c>
      <c r="BR605" t="s">
        <v>105</v>
      </c>
      <c r="BS605" t="s">
        <v>11800</v>
      </c>
      <c r="BT605" t="str">
        <f>HYPERLINK("https%3A%2F%2Fwww.webofscience.com%2Fwos%2Fwoscc%2Ffull-record%2FWOS:000407893800008","View Full Record in Web of Science")</f>
        <v>View Full Record in Web of Science</v>
      </c>
    </row>
    <row r="606" spans="1:72" x14ac:dyDescent="0.15">
      <c r="A606" t="s">
        <v>72</v>
      </c>
      <c r="B606" t="s">
        <v>11801</v>
      </c>
      <c r="C606" t="s">
        <v>74</v>
      </c>
      <c r="D606" t="s">
        <v>74</v>
      </c>
      <c r="E606" t="s">
        <v>74</v>
      </c>
      <c r="F606" t="s">
        <v>11802</v>
      </c>
      <c r="G606" t="s">
        <v>74</v>
      </c>
      <c r="H606" t="s">
        <v>74</v>
      </c>
      <c r="I606" t="s">
        <v>11803</v>
      </c>
      <c r="J606" t="s">
        <v>11804</v>
      </c>
      <c r="K606" t="s">
        <v>74</v>
      </c>
      <c r="L606" t="s">
        <v>74</v>
      </c>
      <c r="M606" t="s">
        <v>78</v>
      </c>
      <c r="N606" t="s">
        <v>79</v>
      </c>
      <c r="O606" t="s">
        <v>74</v>
      </c>
      <c r="P606" t="s">
        <v>74</v>
      </c>
      <c r="Q606" t="s">
        <v>74</v>
      </c>
      <c r="R606" t="s">
        <v>74</v>
      </c>
      <c r="S606" t="s">
        <v>74</v>
      </c>
      <c r="T606" t="s">
        <v>11805</v>
      </c>
      <c r="U606" t="s">
        <v>11806</v>
      </c>
      <c r="V606" t="s">
        <v>11807</v>
      </c>
      <c r="W606" t="s">
        <v>11808</v>
      </c>
      <c r="X606" t="s">
        <v>11809</v>
      </c>
      <c r="Y606" t="s">
        <v>11810</v>
      </c>
      <c r="Z606" t="s">
        <v>11811</v>
      </c>
      <c r="AA606" t="s">
        <v>74</v>
      </c>
      <c r="AB606" t="s">
        <v>11812</v>
      </c>
      <c r="AC606" t="s">
        <v>11813</v>
      </c>
      <c r="AD606" t="s">
        <v>11814</v>
      </c>
      <c r="AE606" t="s">
        <v>11815</v>
      </c>
      <c r="AF606" t="s">
        <v>74</v>
      </c>
      <c r="AG606">
        <v>126</v>
      </c>
      <c r="AH606">
        <v>3</v>
      </c>
      <c r="AI606">
        <v>3</v>
      </c>
      <c r="AJ606">
        <v>4</v>
      </c>
      <c r="AK606">
        <v>34</v>
      </c>
      <c r="AL606" t="s">
        <v>11816</v>
      </c>
      <c r="AM606" t="s">
        <v>182</v>
      </c>
      <c r="AN606" t="s">
        <v>11817</v>
      </c>
      <c r="AO606" t="s">
        <v>11818</v>
      </c>
      <c r="AP606" t="s">
        <v>11819</v>
      </c>
      <c r="AQ606" t="s">
        <v>74</v>
      </c>
      <c r="AR606" t="s">
        <v>11804</v>
      </c>
      <c r="AS606" t="s">
        <v>11820</v>
      </c>
      <c r="AT606" t="s">
        <v>10370</v>
      </c>
      <c r="AU606">
        <v>2017</v>
      </c>
      <c r="AV606">
        <v>27</v>
      </c>
      <c r="AW606">
        <v>8</v>
      </c>
      <c r="AX606" t="s">
        <v>74</v>
      </c>
      <c r="AY606" t="s">
        <v>74</v>
      </c>
      <c r="AZ606" t="s">
        <v>74</v>
      </c>
      <c r="BA606" t="s">
        <v>74</v>
      </c>
      <c r="BB606">
        <v>1115</v>
      </c>
      <c r="BC606">
        <v>1131</v>
      </c>
      <c r="BD606" t="s">
        <v>74</v>
      </c>
      <c r="BE606" t="s">
        <v>11821</v>
      </c>
      <c r="BF606" t="str">
        <f>HYPERLINK("http://dx.doi.org/10.1177/0959683616683254","http://dx.doi.org/10.1177/0959683616683254")</f>
        <v>http://dx.doi.org/10.1177/0959683616683254</v>
      </c>
      <c r="BG606" t="s">
        <v>74</v>
      </c>
      <c r="BH606" t="s">
        <v>74</v>
      </c>
      <c r="BI606">
        <v>17</v>
      </c>
      <c r="BJ606" t="s">
        <v>319</v>
      </c>
      <c r="BK606" t="s">
        <v>101</v>
      </c>
      <c r="BL606" t="s">
        <v>320</v>
      </c>
      <c r="BM606" t="s">
        <v>11822</v>
      </c>
      <c r="BN606" t="s">
        <v>74</v>
      </c>
      <c r="BO606" t="s">
        <v>74</v>
      </c>
      <c r="BP606" t="s">
        <v>74</v>
      </c>
      <c r="BQ606" t="s">
        <v>74</v>
      </c>
      <c r="BR606" t="s">
        <v>105</v>
      </c>
      <c r="BS606" t="s">
        <v>11823</v>
      </c>
      <c r="BT606" t="str">
        <f>HYPERLINK("https%3A%2F%2Fwww.webofscience.com%2Fwos%2Fwoscc%2Ffull-record%2FWOS:000407819800006","View Full Record in Web of Science")</f>
        <v>View Full Record in Web of Science</v>
      </c>
    </row>
    <row r="607" spans="1:72" x14ac:dyDescent="0.15">
      <c r="A607" t="s">
        <v>72</v>
      </c>
      <c r="B607" t="s">
        <v>11824</v>
      </c>
      <c r="C607" t="s">
        <v>74</v>
      </c>
      <c r="D607" t="s">
        <v>74</v>
      </c>
      <c r="E607" t="s">
        <v>74</v>
      </c>
      <c r="F607" t="s">
        <v>11825</v>
      </c>
      <c r="G607" t="s">
        <v>74</v>
      </c>
      <c r="H607" t="s">
        <v>74</v>
      </c>
      <c r="I607" t="s">
        <v>11826</v>
      </c>
      <c r="J607" t="s">
        <v>11827</v>
      </c>
      <c r="K607" t="s">
        <v>74</v>
      </c>
      <c r="L607" t="s">
        <v>74</v>
      </c>
      <c r="M607" t="s">
        <v>78</v>
      </c>
      <c r="N607" t="s">
        <v>79</v>
      </c>
      <c r="O607" t="s">
        <v>74</v>
      </c>
      <c r="P607" t="s">
        <v>74</v>
      </c>
      <c r="Q607" t="s">
        <v>74</v>
      </c>
      <c r="R607" t="s">
        <v>74</v>
      </c>
      <c r="S607" t="s">
        <v>74</v>
      </c>
      <c r="T607" t="s">
        <v>11828</v>
      </c>
      <c r="U607" t="s">
        <v>11829</v>
      </c>
      <c r="V607" t="s">
        <v>11830</v>
      </c>
      <c r="W607" t="s">
        <v>11831</v>
      </c>
      <c r="X607" t="s">
        <v>11832</v>
      </c>
      <c r="Y607" t="s">
        <v>11833</v>
      </c>
      <c r="Z607" t="s">
        <v>11834</v>
      </c>
      <c r="AA607" t="s">
        <v>11835</v>
      </c>
      <c r="AB607" t="s">
        <v>11836</v>
      </c>
      <c r="AC607" t="s">
        <v>11837</v>
      </c>
      <c r="AD607" t="s">
        <v>1595</v>
      </c>
      <c r="AE607" t="s">
        <v>11838</v>
      </c>
      <c r="AF607" t="s">
        <v>74</v>
      </c>
      <c r="AG607">
        <v>47</v>
      </c>
      <c r="AH607">
        <v>1</v>
      </c>
      <c r="AI607">
        <v>1</v>
      </c>
      <c r="AJ607">
        <v>1</v>
      </c>
      <c r="AK607">
        <v>13</v>
      </c>
      <c r="AL607" t="s">
        <v>728</v>
      </c>
      <c r="AM607" t="s">
        <v>729</v>
      </c>
      <c r="AN607" t="s">
        <v>730</v>
      </c>
      <c r="AO607" t="s">
        <v>11839</v>
      </c>
      <c r="AP607" t="s">
        <v>11840</v>
      </c>
      <c r="AQ607" t="s">
        <v>74</v>
      </c>
      <c r="AR607" t="s">
        <v>11841</v>
      </c>
      <c r="AS607" t="s">
        <v>11842</v>
      </c>
      <c r="AT607" t="s">
        <v>10370</v>
      </c>
      <c r="AU607">
        <v>2017</v>
      </c>
      <c r="AV607">
        <v>41</v>
      </c>
      <c r="AW607" t="s">
        <v>74</v>
      </c>
      <c r="AX607" t="s">
        <v>74</v>
      </c>
      <c r="AY607" t="s">
        <v>74</v>
      </c>
      <c r="AZ607" t="s">
        <v>74</v>
      </c>
      <c r="BA607" t="s">
        <v>74</v>
      </c>
      <c r="BB607">
        <v>1</v>
      </c>
      <c r="BC607">
        <v>10</v>
      </c>
      <c r="BD607" t="s">
        <v>74</v>
      </c>
      <c r="BE607" t="s">
        <v>11843</v>
      </c>
      <c r="BF607" t="str">
        <f>HYPERLINK("http://dx.doi.org/10.1016/j.quageo.2017.05.001","http://dx.doi.org/10.1016/j.quageo.2017.05.001")</f>
        <v>http://dx.doi.org/10.1016/j.quageo.2017.05.001</v>
      </c>
      <c r="BG607" t="s">
        <v>74</v>
      </c>
      <c r="BH607" t="s">
        <v>74</v>
      </c>
      <c r="BI607">
        <v>10</v>
      </c>
      <c r="BJ607" t="s">
        <v>319</v>
      </c>
      <c r="BK607" t="s">
        <v>101</v>
      </c>
      <c r="BL607" t="s">
        <v>320</v>
      </c>
      <c r="BM607" t="s">
        <v>11844</v>
      </c>
      <c r="BN607" t="s">
        <v>74</v>
      </c>
      <c r="BO607" t="s">
        <v>4873</v>
      </c>
      <c r="BP607" t="s">
        <v>74</v>
      </c>
      <c r="BQ607" t="s">
        <v>74</v>
      </c>
      <c r="BR607" t="s">
        <v>105</v>
      </c>
      <c r="BS607" t="s">
        <v>11845</v>
      </c>
      <c r="BT607" t="str">
        <f>HYPERLINK("https%3A%2F%2Fwww.webofscience.com%2Fwos%2Fwoscc%2Ffull-record%2FWOS:000407535300001","View Full Record in Web of Science")</f>
        <v>View Full Record in Web of Science</v>
      </c>
    </row>
    <row r="608" spans="1:72" x14ac:dyDescent="0.15">
      <c r="A608" t="s">
        <v>72</v>
      </c>
      <c r="B608" t="s">
        <v>11846</v>
      </c>
      <c r="C608" t="s">
        <v>74</v>
      </c>
      <c r="D608" t="s">
        <v>74</v>
      </c>
      <c r="E608" t="s">
        <v>74</v>
      </c>
      <c r="F608" t="s">
        <v>11847</v>
      </c>
      <c r="G608" t="s">
        <v>74</v>
      </c>
      <c r="H608" t="s">
        <v>74</v>
      </c>
      <c r="I608" t="s">
        <v>11848</v>
      </c>
      <c r="J608" t="s">
        <v>1670</v>
      </c>
      <c r="K608" t="s">
        <v>74</v>
      </c>
      <c r="L608" t="s">
        <v>74</v>
      </c>
      <c r="M608" t="s">
        <v>78</v>
      </c>
      <c r="N608" t="s">
        <v>79</v>
      </c>
      <c r="O608" t="s">
        <v>74</v>
      </c>
      <c r="P608" t="s">
        <v>74</v>
      </c>
      <c r="Q608" t="s">
        <v>74</v>
      </c>
      <c r="R608" t="s">
        <v>74</v>
      </c>
      <c r="S608" t="s">
        <v>74</v>
      </c>
      <c r="T608" t="s">
        <v>11849</v>
      </c>
      <c r="U608" t="s">
        <v>11850</v>
      </c>
      <c r="V608" t="s">
        <v>11851</v>
      </c>
      <c r="W608" t="s">
        <v>11852</v>
      </c>
      <c r="X608" t="s">
        <v>11853</v>
      </c>
      <c r="Y608" t="s">
        <v>11854</v>
      </c>
      <c r="Z608" t="s">
        <v>11855</v>
      </c>
      <c r="AA608" t="s">
        <v>11856</v>
      </c>
      <c r="AB608" t="s">
        <v>11857</v>
      </c>
      <c r="AC608" t="s">
        <v>11858</v>
      </c>
      <c r="AD608" t="s">
        <v>11858</v>
      </c>
      <c r="AE608" t="s">
        <v>11859</v>
      </c>
      <c r="AF608" t="s">
        <v>74</v>
      </c>
      <c r="AG608">
        <v>40</v>
      </c>
      <c r="AH608">
        <v>4</v>
      </c>
      <c r="AI608">
        <v>5</v>
      </c>
      <c r="AJ608">
        <v>0</v>
      </c>
      <c r="AK608">
        <v>10</v>
      </c>
      <c r="AL608" t="s">
        <v>1270</v>
      </c>
      <c r="AM608" t="s">
        <v>209</v>
      </c>
      <c r="AN608" t="s">
        <v>1682</v>
      </c>
      <c r="AO608" t="s">
        <v>1683</v>
      </c>
      <c r="AP608" t="s">
        <v>1684</v>
      </c>
      <c r="AQ608" t="s">
        <v>74</v>
      </c>
      <c r="AR608" t="s">
        <v>1685</v>
      </c>
      <c r="AS608" t="s">
        <v>1686</v>
      </c>
      <c r="AT608" t="s">
        <v>10370</v>
      </c>
      <c r="AU608">
        <v>2017</v>
      </c>
      <c r="AV608">
        <v>29</v>
      </c>
      <c r="AW608">
        <v>4</v>
      </c>
      <c r="AX608" t="s">
        <v>74</v>
      </c>
      <c r="AY608" t="s">
        <v>74</v>
      </c>
      <c r="AZ608" t="s">
        <v>74</v>
      </c>
      <c r="BA608" t="s">
        <v>74</v>
      </c>
      <c r="BB608">
        <v>299</v>
      </c>
      <c r="BC608">
        <v>310</v>
      </c>
      <c r="BD608" t="s">
        <v>74</v>
      </c>
      <c r="BE608" t="s">
        <v>11860</v>
      </c>
      <c r="BF608" t="str">
        <f>HYPERLINK("http://dx.doi.org/10.1017/S0954102016000717","http://dx.doi.org/10.1017/S0954102016000717")</f>
        <v>http://dx.doi.org/10.1017/S0954102016000717</v>
      </c>
      <c r="BG608" t="s">
        <v>74</v>
      </c>
      <c r="BH608" t="s">
        <v>74</v>
      </c>
      <c r="BI608">
        <v>12</v>
      </c>
      <c r="BJ608" t="s">
        <v>1688</v>
      </c>
      <c r="BK608" t="s">
        <v>101</v>
      </c>
      <c r="BL608" t="s">
        <v>1689</v>
      </c>
      <c r="BM608" t="s">
        <v>11861</v>
      </c>
      <c r="BN608" t="s">
        <v>74</v>
      </c>
      <c r="BO608" t="s">
        <v>164</v>
      </c>
      <c r="BP608" t="s">
        <v>74</v>
      </c>
      <c r="BQ608" t="s">
        <v>74</v>
      </c>
      <c r="BR608" t="s">
        <v>105</v>
      </c>
      <c r="BS608" t="s">
        <v>11862</v>
      </c>
      <c r="BT608" t="str">
        <f>HYPERLINK("https%3A%2F%2Fwww.webofscience.com%2Fwos%2Fwoscc%2Ffull-record%2FWOS:000407733900002","View Full Record in Web of Science")</f>
        <v>View Full Record in Web of Science</v>
      </c>
    </row>
    <row r="609" spans="1:72" x14ac:dyDescent="0.15">
      <c r="A609" t="s">
        <v>72</v>
      </c>
      <c r="B609" t="s">
        <v>11863</v>
      </c>
      <c r="C609" t="s">
        <v>74</v>
      </c>
      <c r="D609" t="s">
        <v>74</v>
      </c>
      <c r="E609" t="s">
        <v>74</v>
      </c>
      <c r="F609" t="s">
        <v>11864</v>
      </c>
      <c r="G609" t="s">
        <v>74</v>
      </c>
      <c r="H609" t="s">
        <v>74</v>
      </c>
      <c r="I609" t="s">
        <v>11865</v>
      </c>
      <c r="J609" t="s">
        <v>1670</v>
      </c>
      <c r="K609" t="s">
        <v>74</v>
      </c>
      <c r="L609" t="s">
        <v>74</v>
      </c>
      <c r="M609" t="s">
        <v>78</v>
      </c>
      <c r="N609" t="s">
        <v>79</v>
      </c>
      <c r="O609" t="s">
        <v>74</v>
      </c>
      <c r="P609" t="s">
        <v>74</v>
      </c>
      <c r="Q609" t="s">
        <v>74</v>
      </c>
      <c r="R609" t="s">
        <v>74</v>
      </c>
      <c r="S609" t="s">
        <v>74</v>
      </c>
      <c r="T609" t="s">
        <v>11866</v>
      </c>
      <c r="U609" t="s">
        <v>11867</v>
      </c>
      <c r="V609" t="s">
        <v>11868</v>
      </c>
      <c r="W609" t="s">
        <v>11869</v>
      </c>
      <c r="X609" t="s">
        <v>11870</v>
      </c>
      <c r="Y609" t="s">
        <v>11871</v>
      </c>
      <c r="Z609" t="s">
        <v>11872</v>
      </c>
      <c r="AA609" t="s">
        <v>11873</v>
      </c>
      <c r="AB609" t="s">
        <v>11874</v>
      </c>
      <c r="AC609" t="s">
        <v>11875</v>
      </c>
      <c r="AD609" t="s">
        <v>11876</v>
      </c>
      <c r="AE609" t="s">
        <v>11877</v>
      </c>
      <c r="AF609" t="s">
        <v>74</v>
      </c>
      <c r="AG609">
        <v>40</v>
      </c>
      <c r="AH609">
        <v>9</v>
      </c>
      <c r="AI609">
        <v>9</v>
      </c>
      <c r="AJ609">
        <v>0</v>
      </c>
      <c r="AK609">
        <v>12</v>
      </c>
      <c r="AL609" t="s">
        <v>1270</v>
      </c>
      <c r="AM609" t="s">
        <v>209</v>
      </c>
      <c r="AN609" t="s">
        <v>1682</v>
      </c>
      <c r="AO609" t="s">
        <v>1683</v>
      </c>
      <c r="AP609" t="s">
        <v>1684</v>
      </c>
      <c r="AQ609" t="s">
        <v>74</v>
      </c>
      <c r="AR609" t="s">
        <v>1685</v>
      </c>
      <c r="AS609" t="s">
        <v>1686</v>
      </c>
      <c r="AT609" t="s">
        <v>10370</v>
      </c>
      <c r="AU609">
        <v>2017</v>
      </c>
      <c r="AV609">
        <v>29</v>
      </c>
      <c r="AW609">
        <v>4</v>
      </c>
      <c r="AX609" t="s">
        <v>74</v>
      </c>
      <c r="AY609" t="s">
        <v>74</v>
      </c>
      <c r="AZ609" t="s">
        <v>74</v>
      </c>
      <c r="BA609" t="s">
        <v>74</v>
      </c>
      <c r="BB609">
        <v>311</v>
      </c>
      <c r="BC609">
        <v>323</v>
      </c>
      <c r="BD609" t="s">
        <v>74</v>
      </c>
      <c r="BE609" t="s">
        <v>11878</v>
      </c>
      <c r="BF609" t="str">
        <f>HYPERLINK("http://dx.doi.org/10.1017/S0954102016000730","http://dx.doi.org/10.1017/S0954102016000730")</f>
        <v>http://dx.doi.org/10.1017/S0954102016000730</v>
      </c>
      <c r="BG609" t="s">
        <v>74</v>
      </c>
      <c r="BH609" t="s">
        <v>74</v>
      </c>
      <c r="BI609">
        <v>13</v>
      </c>
      <c r="BJ609" t="s">
        <v>1688</v>
      </c>
      <c r="BK609" t="s">
        <v>101</v>
      </c>
      <c r="BL609" t="s">
        <v>1689</v>
      </c>
      <c r="BM609" t="s">
        <v>11861</v>
      </c>
      <c r="BN609" t="s">
        <v>74</v>
      </c>
      <c r="BO609" t="s">
        <v>74</v>
      </c>
      <c r="BP609" t="s">
        <v>74</v>
      </c>
      <c r="BQ609" t="s">
        <v>74</v>
      </c>
      <c r="BR609" t="s">
        <v>105</v>
      </c>
      <c r="BS609" t="s">
        <v>11879</v>
      </c>
      <c r="BT609" t="str">
        <f>HYPERLINK("https%3A%2F%2Fwww.webofscience.com%2Fwos%2Fwoscc%2Ffull-record%2FWOS:000407733900003","View Full Record in Web of Science")</f>
        <v>View Full Record in Web of Science</v>
      </c>
    </row>
    <row r="610" spans="1:72" x14ac:dyDescent="0.15">
      <c r="A610" t="s">
        <v>72</v>
      </c>
      <c r="B610" t="s">
        <v>11880</v>
      </c>
      <c r="C610" t="s">
        <v>74</v>
      </c>
      <c r="D610" t="s">
        <v>74</v>
      </c>
      <c r="E610" t="s">
        <v>74</v>
      </c>
      <c r="F610" t="s">
        <v>11881</v>
      </c>
      <c r="G610" t="s">
        <v>74</v>
      </c>
      <c r="H610" t="s">
        <v>74</v>
      </c>
      <c r="I610" t="s">
        <v>11882</v>
      </c>
      <c r="J610" t="s">
        <v>1670</v>
      </c>
      <c r="K610" t="s">
        <v>74</v>
      </c>
      <c r="L610" t="s">
        <v>74</v>
      </c>
      <c r="M610" t="s">
        <v>78</v>
      </c>
      <c r="N610" t="s">
        <v>79</v>
      </c>
      <c r="O610" t="s">
        <v>74</v>
      </c>
      <c r="P610" t="s">
        <v>74</v>
      </c>
      <c r="Q610" t="s">
        <v>74</v>
      </c>
      <c r="R610" t="s">
        <v>74</v>
      </c>
      <c r="S610" t="s">
        <v>74</v>
      </c>
      <c r="T610" t="s">
        <v>11883</v>
      </c>
      <c r="U610" t="s">
        <v>11884</v>
      </c>
      <c r="V610" t="s">
        <v>11885</v>
      </c>
      <c r="W610" t="s">
        <v>11886</v>
      </c>
      <c r="X610" t="s">
        <v>11887</v>
      </c>
      <c r="Y610" t="s">
        <v>11888</v>
      </c>
      <c r="Z610" t="s">
        <v>11889</v>
      </c>
      <c r="AA610" t="s">
        <v>11890</v>
      </c>
      <c r="AB610" t="s">
        <v>11891</v>
      </c>
      <c r="AC610" t="s">
        <v>11892</v>
      </c>
      <c r="AD610" t="s">
        <v>11893</v>
      </c>
      <c r="AE610" t="s">
        <v>11894</v>
      </c>
      <c r="AF610" t="s">
        <v>74</v>
      </c>
      <c r="AG610">
        <v>37</v>
      </c>
      <c r="AH610">
        <v>8</v>
      </c>
      <c r="AI610">
        <v>8</v>
      </c>
      <c r="AJ610">
        <v>0</v>
      </c>
      <c r="AK610">
        <v>19</v>
      </c>
      <c r="AL610" t="s">
        <v>1270</v>
      </c>
      <c r="AM610" t="s">
        <v>209</v>
      </c>
      <c r="AN610" t="s">
        <v>1682</v>
      </c>
      <c r="AO610" t="s">
        <v>1683</v>
      </c>
      <c r="AP610" t="s">
        <v>1684</v>
      </c>
      <c r="AQ610" t="s">
        <v>74</v>
      </c>
      <c r="AR610" t="s">
        <v>1685</v>
      </c>
      <c r="AS610" t="s">
        <v>1686</v>
      </c>
      <c r="AT610" t="s">
        <v>10370</v>
      </c>
      <c r="AU610">
        <v>2017</v>
      </c>
      <c r="AV610">
        <v>29</v>
      </c>
      <c r="AW610">
        <v>4</v>
      </c>
      <c r="AX610" t="s">
        <v>74</v>
      </c>
      <c r="AY610" t="s">
        <v>74</v>
      </c>
      <c r="AZ610" t="s">
        <v>74</v>
      </c>
      <c r="BA610" t="s">
        <v>74</v>
      </c>
      <c r="BB610">
        <v>324</v>
      </c>
      <c r="BC610">
        <v>330</v>
      </c>
      <c r="BD610" t="s">
        <v>74</v>
      </c>
      <c r="BE610" t="s">
        <v>11895</v>
      </c>
      <c r="BF610" t="str">
        <f>HYPERLINK("http://dx.doi.org/10.1017/S0954102017000037","http://dx.doi.org/10.1017/S0954102017000037")</f>
        <v>http://dx.doi.org/10.1017/S0954102017000037</v>
      </c>
      <c r="BG610" t="s">
        <v>74</v>
      </c>
      <c r="BH610" t="s">
        <v>74</v>
      </c>
      <c r="BI610">
        <v>7</v>
      </c>
      <c r="BJ610" t="s">
        <v>1688</v>
      </c>
      <c r="BK610" t="s">
        <v>101</v>
      </c>
      <c r="BL610" t="s">
        <v>1689</v>
      </c>
      <c r="BM610" t="s">
        <v>11861</v>
      </c>
      <c r="BN610" t="s">
        <v>74</v>
      </c>
      <c r="BO610" t="s">
        <v>74</v>
      </c>
      <c r="BP610" t="s">
        <v>74</v>
      </c>
      <c r="BQ610" t="s">
        <v>74</v>
      </c>
      <c r="BR610" t="s">
        <v>105</v>
      </c>
      <c r="BS610" t="s">
        <v>11896</v>
      </c>
      <c r="BT610" t="str">
        <f>HYPERLINK("https%3A%2F%2Fwww.webofscience.com%2Fwos%2Fwoscc%2Ffull-record%2FWOS:000407733900004","View Full Record in Web of Science")</f>
        <v>View Full Record in Web of Science</v>
      </c>
    </row>
    <row r="611" spans="1:72" x14ac:dyDescent="0.15">
      <c r="A611" t="s">
        <v>72</v>
      </c>
      <c r="B611" t="s">
        <v>11897</v>
      </c>
      <c r="C611" t="s">
        <v>74</v>
      </c>
      <c r="D611" t="s">
        <v>74</v>
      </c>
      <c r="E611" t="s">
        <v>74</v>
      </c>
      <c r="F611" t="s">
        <v>11898</v>
      </c>
      <c r="G611" t="s">
        <v>74</v>
      </c>
      <c r="H611" t="s">
        <v>74</v>
      </c>
      <c r="I611" t="s">
        <v>11899</v>
      </c>
      <c r="J611" t="s">
        <v>1670</v>
      </c>
      <c r="K611" t="s">
        <v>74</v>
      </c>
      <c r="L611" t="s">
        <v>74</v>
      </c>
      <c r="M611" t="s">
        <v>78</v>
      </c>
      <c r="N611" t="s">
        <v>79</v>
      </c>
      <c r="O611" t="s">
        <v>74</v>
      </c>
      <c r="P611" t="s">
        <v>74</v>
      </c>
      <c r="Q611" t="s">
        <v>74</v>
      </c>
      <c r="R611" t="s">
        <v>74</v>
      </c>
      <c r="S611" t="s">
        <v>74</v>
      </c>
      <c r="T611" t="s">
        <v>11900</v>
      </c>
      <c r="U611" t="s">
        <v>11901</v>
      </c>
      <c r="V611" t="s">
        <v>11902</v>
      </c>
      <c r="W611" t="s">
        <v>11903</v>
      </c>
      <c r="X611" t="s">
        <v>11904</v>
      </c>
      <c r="Y611" t="s">
        <v>11905</v>
      </c>
      <c r="Z611" t="s">
        <v>11906</v>
      </c>
      <c r="AA611" t="s">
        <v>11907</v>
      </c>
      <c r="AB611" t="s">
        <v>2607</v>
      </c>
      <c r="AC611" t="s">
        <v>11908</v>
      </c>
      <c r="AD611" t="s">
        <v>11909</v>
      </c>
      <c r="AE611" t="s">
        <v>11910</v>
      </c>
      <c r="AF611" t="s">
        <v>74</v>
      </c>
      <c r="AG611">
        <v>43</v>
      </c>
      <c r="AH611">
        <v>2</v>
      </c>
      <c r="AI611">
        <v>2</v>
      </c>
      <c r="AJ611">
        <v>0</v>
      </c>
      <c r="AK611">
        <v>17</v>
      </c>
      <c r="AL611" t="s">
        <v>1270</v>
      </c>
      <c r="AM611" t="s">
        <v>209</v>
      </c>
      <c r="AN611" t="s">
        <v>1682</v>
      </c>
      <c r="AO611" t="s">
        <v>1683</v>
      </c>
      <c r="AP611" t="s">
        <v>1684</v>
      </c>
      <c r="AQ611" t="s">
        <v>74</v>
      </c>
      <c r="AR611" t="s">
        <v>1685</v>
      </c>
      <c r="AS611" t="s">
        <v>1686</v>
      </c>
      <c r="AT611" t="s">
        <v>10370</v>
      </c>
      <c r="AU611">
        <v>2017</v>
      </c>
      <c r="AV611">
        <v>29</v>
      </c>
      <c r="AW611">
        <v>4</v>
      </c>
      <c r="AX611" t="s">
        <v>74</v>
      </c>
      <c r="AY611" t="s">
        <v>74</v>
      </c>
      <c r="AZ611" t="s">
        <v>74</v>
      </c>
      <c r="BA611" t="s">
        <v>74</v>
      </c>
      <c r="BB611">
        <v>331</v>
      </c>
      <c r="BC611">
        <v>339</v>
      </c>
      <c r="BD611" t="s">
        <v>74</v>
      </c>
      <c r="BE611" t="s">
        <v>11911</v>
      </c>
      <c r="BF611" t="str">
        <f>HYPERLINK("http://dx.doi.org/10.1017/S0954102017000049","http://dx.doi.org/10.1017/S0954102017000049")</f>
        <v>http://dx.doi.org/10.1017/S0954102017000049</v>
      </c>
      <c r="BG611" t="s">
        <v>74</v>
      </c>
      <c r="BH611" t="s">
        <v>74</v>
      </c>
      <c r="BI611">
        <v>9</v>
      </c>
      <c r="BJ611" t="s">
        <v>1688</v>
      </c>
      <c r="BK611" t="s">
        <v>101</v>
      </c>
      <c r="BL611" t="s">
        <v>1689</v>
      </c>
      <c r="BM611" t="s">
        <v>11861</v>
      </c>
      <c r="BN611" t="s">
        <v>74</v>
      </c>
      <c r="BO611" t="s">
        <v>74</v>
      </c>
      <c r="BP611" t="s">
        <v>74</v>
      </c>
      <c r="BQ611" t="s">
        <v>74</v>
      </c>
      <c r="BR611" t="s">
        <v>105</v>
      </c>
      <c r="BS611" t="s">
        <v>11912</v>
      </c>
      <c r="BT611" t="str">
        <f>HYPERLINK("https%3A%2F%2Fwww.webofscience.com%2Fwos%2Fwoscc%2Ffull-record%2FWOS:000407733900005","View Full Record in Web of Science")</f>
        <v>View Full Record in Web of Science</v>
      </c>
    </row>
    <row r="612" spans="1:72" x14ac:dyDescent="0.15">
      <c r="A612" t="s">
        <v>72</v>
      </c>
      <c r="B612" t="s">
        <v>11913</v>
      </c>
      <c r="C612" t="s">
        <v>74</v>
      </c>
      <c r="D612" t="s">
        <v>74</v>
      </c>
      <c r="E612" t="s">
        <v>74</v>
      </c>
      <c r="F612" t="s">
        <v>11914</v>
      </c>
      <c r="G612" t="s">
        <v>74</v>
      </c>
      <c r="H612" t="s">
        <v>74</v>
      </c>
      <c r="I612" t="s">
        <v>11915</v>
      </c>
      <c r="J612" t="s">
        <v>1670</v>
      </c>
      <c r="K612" t="s">
        <v>74</v>
      </c>
      <c r="L612" t="s">
        <v>74</v>
      </c>
      <c r="M612" t="s">
        <v>78</v>
      </c>
      <c r="N612" t="s">
        <v>79</v>
      </c>
      <c r="O612" t="s">
        <v>74</v>
      </c>
      <c r="P612" t="s">
        <v>74</v>
      </c>
      <c r="Q612" t="s">
        <v>74</v>
      </c>
      <c r="R612" t="s">
        <v>74</v>
      </c>
      <c r="S612" t="s">
        <v>74</v>
      </c>
      <c r="T612" t="s">
        <v>74</v>
      </c>
      <c r="U612" t="s">
        <v>11916</v>
      </c>
      <c r="V612" t="s">
        <v>74</v>
      </c>
      <c r="W612" t="s">
        <v>11917</v>
      </c>
      <c r="X612" t="s">
        <v>11918</v>
      </c>
      <c r="Y612" t="s">
        <v>11919</v>
      </c>
      <c r="Z612" t="s">
        <v>11920</v>
      </c>
      <c r="AA612" t="s">
        <v>11921</v>
      </c>
      <c r="AB612" t="s">
        <v>11922</v>
      </c>
      <c r="AC612" t="s">
        <v>11923</v>
      </c>
      <c r="AD612" t="s">
        <v>11924</v>
      </c>
      <c r="AE612" t="s">
        <v>11925</v>
      </c>
      <c r="AF612" t="s">
        <v>74</v>
      </c>
      <c r="AG612">
        <v>9</v>
      </c>
      <c r="AH612">
        <v>7</v>
      </c>
      <c r="AI612">
        <v>7</v>
      </c>
      <c r="AJ612">
        <v>1</v>
      </c>
      <c r="AK612">
        <v>11</v>
      </c>
      <c r="AL612" t="s">
        <v>1270</v>
      </c>
      <c r="AM612" t="s">
        <v>209</v>
      </c>
      <c r="AN612" t="s">
        <v>1682</v>
      </c>
      <c r="AO612" t="s">
        <v>1683</v>
      </c>
      <c r="AP612" t="s">
        <v>1684</v>
      </c>
      <c r="AQ612" t="s">
        <v>74</v>
      </c>
      <c r="AR612" t="s">
        <v>1685</v>
      </c>
      <c r="AS612" t="s">
        <v>1686</v>
      </c>
      <c r="AT612" t="s">
        <v>10370</v>
      </c>
      <c r="AU612">
        <v>2017</v>
      </c>
      <c r="AV612">
        <v>29</v>
      </c>
      <c r="AW612">
        <v>4</v>
      </c>
      <c r="AX612" t="s">
        <v>74</v>
      </c>
      <c r="AY612" t="s">
        <v>74</v>
      </c>
      <c r="AZ612" t="s">
        <v>74</v>
      </c>
      <c r="BA612" t="s">
        <v>74</v>
      </c>
      <c r="BB612">
        <v>341</v>
      </c>
      <c r="BC612">
        <v>342</v>
      </c>
      <c r="BD612" t="s">
        <v>74</v>
      </c>
      <c r="BE612" t="s">
        <v>11926</v>
      </c>
      <c r="BF612" t="str">
        <f>HYPERLINK("http://dx.doi.org/10.1017/S0954102017000128","http://dx.doi.org/10.1017/S0954102017000128")</f>
        <v>http://dx.doi.org/10.1017/S0954102017000128</v>
      </c>
      <c r="BG612" t="s">
        <v>74</v>
      </c>
      <c r="BH612" t="s">
        <v>74</v>
      </c>
      <c r="BI612">
        <v>2</v>
      </c>
      <c r="BJ612" t="s">
        <v>1688</v>
      </c>
      <c r="BK612" t="s">
        <v>101</v>
      </c>
      <c r="BL612" t="s">
        <v>1689</v>
      </c>
      <c r="BM612" t="s">
        <v>11861</v>
      </c>
      <c r="BN612" t="s">
        <v>74</v>
      </c>
      <c r="BO612" t="s">
        <v>74</v>
      </c>
      <c r="BP612" t="s">
        <v>74</v>
      </c>
      <c r="BQ612" t="s">
        <v>74</v>
      </c>
      <c r="BR612" t="s">
        <v>105</v>
      </c>
      <c r="BS612" t="s">
        <v>11927</v>
      </c>
      <c r="BT612" t="str">
        <f>HYPERLINK("https%3A%2F%2Fwww.webofscience.com%2Fwos%2Fwoscc%2Ffull-record%2FWOS:000407733900006","View Full Record in Web of Science")</f>
        <v>View Full Record in Web of Science</v>
      </c>
    </row>
    <row r="613" spans="1:72" x14ac:dyDescent="0.15">
      <c r="A613" t="s">
        <v>72</v>
      </c>
      <c r="B613" t="s">
        <v>11928</v>
      </c>
      <c r="C613" t="s">
        <v>74</v>
      </c>
      <c r="D613" t="s">
        <v>74</v>
      </c>
      <c r="E613" t="s">
        <v>74</v>
      </c>
      <c r="F613" t="s">
        <v>11929</v>
      </c>
      <c r="G613" t="s">
        <v>74</v>
      </c>
      <c r="H613" t="s">
        <v>74</v>
      </c>
      <c r="I613" t="s">
        <v>11930</v>
      </c>
      <c r="J613" t="s">
        <v>1670</v>
      </c>
      <c r="K613" t="s">
        <v>74</v>
      </c>
      <c r="L613" t="s">
        <v>74</v>
      </c>
      <c r="M613" t="s">
        <v>78</v>
      </c>
      <c r="N613" t="s">
        <v>79</v>
      </c>
      <c r="O613" t="s">
        <v>74</v>
      </c>
      <c r="P613" t="s">
        <v>74</v>
      </c>
      <c r="Q613" t="s">
        <v>74</v>
      </c>
      <c r="R613" t="s">
        <v>74</v>
      </c>
      <c r="S613" t="s">
        <v>74</v>
      </c>
      <c r="T613" t="s">
        <v>11931</v>
      </c>
      <c r="U613" t="s">
        <v>11932</v>
      </c>
      <c r="V613" t="s">
        <v>11933</v>
      </c>
      <c r="W613" t="s">
        <v>11934</v>
      </c>
      <c r="X613" t="s">
        <v>11935</v>
      </c>
      <c r="Y613" t="s">
        <v>11936</v>
      </c>
      <c r="Z613" t="s">
        <v>11937</v>
      </c>
      <c r="AA613" t="s">
        <v>11938</v>
      </c>
      <c r="AB613" t="s">
        <v>11939</v>
      </c>
      <c r="AC613" t="s">
        <v>11940</v>
      </c>
      <c r="AD613" t="s">
        <v>11941</v>
      </c>
      <c r="AE613" t="s">
        <v>11942</v>
      </c>
      <c r="AF613" t="s">
        <v>74</v>
      </c>
      <c r="AG613">
        <v>37</v>
      </c>
      <c r="AH613">
        <v>5</v>
      </c>
      <c r="AI613">
        <v>5</v>
      </c>
      <c r="AJ613">
        <v>0</v>
      </c>
      <c r="AK613">
        <v>7</v>
      </c>
      <c r="AL613" t="s">
        <v>1270</v>
      </c>
      <c r="AM613" t="s">
        <v>209</v>
      </c>
      <c r="AN613" t="s">
        <v>1682</v>
      </c>
      <c r="AO613" t="s">
        <v>1683</v>
      </c>
      <c r="AP613" t="s">
        <v>1684</v>
      </c>
      <c r="AQ613" t="s">
        <v>74</v>
      </c>
      <c r="AR613" t="s">
        <v>1685</v>
      </c>
      <c r="AS613" t="s">
        <v>1686</v>
      </c>
      <c r="AT613" t="s">
        <v>10370</v>
      </c>
      <c r="AU613">
        <v>2017</v>
      </c>
      <c r="AV613">
        <v>29</v>
      </c>
      <c r="AW613">
        <v>4</v>
      </c>
      <c r="AX613" t="s">
        <v>74</v>
      </c>
      <c r="AY613" t="s">
        <v>74</v>
      </c>
      <c r="AZ613" t="s">
        <v>74</v>
      </c>
      <c r="BA613" t="s">
        <v>74</v>
      </c>
      <c r="BB613">
        <v>356</v>
      </c>
      <c r="BC613">
        <v>368</v>
      </c>
      <c r="BD613" t="s">
        <v>74</v>
      </c>
      <c r="BE613" t="s">
        <v>11943</v>
      </c>
      <c r="BF613" t="str">
        <f>HYPERLINK("http://dx.doi.org/10.1017/S0954102017000050","http://dx.doi.org/10.1017/S0954102017000050")</f>
        <v>http://dx.doi.org/10.1017/S0954102017000050</v>
      </c>
      <c r="BG613" t="s">
        <v>74</v>
      </c>
      <c r="BH613" t="s">
        <v>74</v>
      </c>
      <c r="BI613">
        <v>13</v>
      </c>
      <c r="BJ613" t="s">
        <v>1688</v>
      </c>
      <c r="BK613" t="s">
        <v>101</v>
      </c>
      <c r="BL613" t="s">
        <v>1689</v>
      </c>
      <c r="BM613" t="s">
        <v>11861</v>
      </c>
      <c r="BN613" t="s">
        <v>74</v>
      </c>
      <c r="BO613" t="s">
        <v>74</v>
      </c>
      <c r="BP613" t="s">
        <v>74</v>
      </c>
      <c r="BQ613" t="s">
        <v>74</v>
      </c>
      <c r="BR613" t="s">
        <v>105</v>
      </c>
      <c r="BS613" t="s">
        <v>11944</v>
      </c>
      <c r="BT613" t="str">
        <f>HYPERLINK("https%3A%2F%2Fwww.webofscience.com%2Fwos%2Fwoscc%2Ffull-record%2FWOS:000407733900008","View Full Record in Web of Science")</f>
        <v>View Full Record in Web of Science</v>
      </c>
    </row>
    <row r="614" spans="1:72" x14ac:dyDescent="0.15">
      <c r="A614" t="s">
        <v>72</v>
      </c>
      <c r="B614" t="s">
        <v>11945</v>
      </c>
      <c r="C614" t="s">
        <v>74</v>
      </c>
      <c r="D614" t="s">
        <v>74</v>
      </c>
      <c r="E614" t="s">
        <v>74</v>
      </c>
      <c r="F614" t="s">
        <v>11946</v>
      </c>
      <c r="G614" t="s">
        <v>74</v>
      </c>
      <c r="H614" t="s">
        <v>74</v>
      </c>
      <c r="I614" t="s">
        <v>11947</v>
      </c>
      <c r="J614" t="s">
        <v>1670</v>
      </c>
      <c r="K614" t="s">
        <v>74</v>
      </c>
      <c r="L614" t="s">
        <v>74</v>
      </c>
      <c r="M614" t="s">
        <v>78</v>
      </c>
      <c r="N614" t="s">
        <v>79</v>
      </c>
      <c r="O614" t="s">
        <v>74</v>
      </c>
      <c r="P614" t="s">
        <v>74</v>
      </c>
      <c r="Q614" t="s">
        <v>74</v>
      </c>
      <c r="R614" t="s">
        <v>74</v>
      </c>
      <c r="S614" t="s">
        <v>74</v>
      </c>
      <c r="T614" t="s">
        <v>11948</v>
      </c>
      <c r="U614" t="s">
        <v>11949</v>
      </c>
      <c r="V614" t="s">
        <v>11950</v>
      </c>
      <c r="W614" t="s">
        <v>11951</v>
      </c>
      <c r="X614" t="s">
        <v>11952</v>
      </c>
      <c r="Y614" t="s">
        <v>11953</v>
      </c>
      <c r="Z614" t="s">
        <v>11954</v>
      </c>
      <c r="AA614" t="s">
        <v>11955</v>
      </c>
      <c r="AB614" t="s">
        <v>11956</v>
      </c>
      <c r="AC614" t="s">
        <v>11957</v>
      </c>
      <c r="AD614" t="s">
        <v>11958</v>
      </c>
      <c r="AE614" t="s">
        <v>11959</v>
      </c>
      <c r="AF614" t="s">
        <v>74</v>
      </c>
      <c r="AG614">
        <v>17</v>
      </c>
      <c r="AH614">
        <v>1</v>
      </c>
      <c r="AI614">
        <v>1</v>
      </c>
      <c r="AJ614">
        <v>1</v>
      </c>
      <c r="AK614">
        <v>11</v>
      </c>
      <c r="AL614" t="s">
        <v>1270</v>
      </c>
      <c r="AM614" t="s">
        <v>209</v>
      </c>
      <c r="AN614" t="s">
        <v>1682</v>
      </c>
      <c r="AO614" t="s">
        <v>1683</v>
      </c>
      <c r="AP614" t="s">
        <v>1684</v>
      </c>
      <c r="AQ614" t="s">
        <v>74</v>
      </c>
      <c r="AR614" t="s">
        <v>1685</v>
      </c>
      <c r="AS614" t="s">
        <v>1686</v>
      </c>
      <c r="AT614" t="s">
        <v>10370</v>
      </c>
      <c r="AU614">
        <v>2017</v>
      </c>
      <c r="AV614">
        <v>29</v>
      </c>
      <c r="AW614">
        <v>4</v>
      </c>
      <c r="AX614" t="s">
        <v>74</v>
      </c>
      <c r="AY614" t="s">
        <v>74</v>
      </c>
      <c r="AZ614" t="s">
        <v>74</v>
      </c>
      <c r="BA614" t="s">
        <v>74</v>
      </c>
      <c r="BB614">
        <v>382</v>
      </c>
      <c r="BC614">
        <v>393</v>
      </c>
      <c r="BD614" t="s">
        <v>74</v>
      </c>
      <c r="BE614" t="s">
        <v>11960</v>
      </c>
      <c r="BF614" t="str">
        <f>HYPERLINK("http://dx.doi.org/10.1017/S0954102017000025","http://dx.doi.org/10.1017/S0954102017000025")</f>
        <v>http://dx.doi.org/10.1017/S0954102017000025</v>
      </c>
      <c r="BG614" t="s">
        <v>74</v>
      </c>
      <c r="BH614" t="s">
        <v>74</v>
      </c>
      <c r="BI614">
        <v>12</v>
      </c>
      <c r="BJ614" t="s">
        <v>1688</v>
      </c>
      <c r="BK614" t="s">
        <v>101</v>
      </c>
      <c r="BL614" t="s">
        <v>1689</v>
      </c>
      <c r="BM614" t="s">
        <v>11861</v>
      </c>
      <c r="BN614" t="s">
        <v>74</v>
      </c>
      <c r="BO614" t="s">
        <v>1240</v>
      </c>
      <c r="BP614" t="s">
        <v>74</v>
      </c>
      <c r="BQ614" t="s">
        <v>74</v>
      </c>
      <c r="BR614" t="s">
        <v>105</v>
      </c>
      <c r="BS614" t="s">
        <v>11961</v>
      </c>
      <c r="BT614" t="str">
        <f>HYPERLINK("https%3A%2F%2Fwww.webofscience.com%2Fwos%2Fwoscc%2Ffull-record%2FWOS:000407733900010","View Full Record in Web of Science")</f>
        <v>View Full Record in Web of Science</v>
      </c>
    </row>
    <row r="615" spans="1:72" x14ac:dyDescent="0.15">
      <c r="A615" t="s">
        <v>72</v>
      </c>
      <c r="B615" t="s">
        <v>11962</v>
      </c>
      <c r="C615" t="s">
        <v>74</v>
      </c>
      <c r="D615" t="s">
        <v>74</v>
      </c>
      <c r="E615" t="s">
        <v>74</v>
      </c>
      <c r="F615" t="s">
        <v>11963</v>
      </c>
      <c r="G615" t="s">
        <v>74</v>
      </c>
      <c r="H615" t="s">
        <v>74</v>
      </c>
      <c r="I615" t="s">
        <v>11964</v>
      </c>
      <c r="J615" t="s">
        <v>11965</v>
      </c>
      <c r="K615" t="s">
        <v>74</v>
      </c>
      <c r="L615" t="s">
        <v>74</v>
      </c>
      <c r="M615" t="s">
        <v>78</v>
      </c>
      <c r="N615" t="s">
        <v>79</v>
      </c>
      <c r="O615" t="s">
        <v>74</v>
      </c>
      <c r="P615" t="s">
        <v>74</v>
      </c>
      <c r="Q615" t="s">
        <v>74</v>
      </c>
      <c r="R615" t="s">
        <v>74</v>
      </c>
      <c r="S615" t="s">
        <v>74</v>
      </c>
      <c r="T615" t="s">
        <v>11966</v>
      </c>
      <c r="U615" t="s">
        <v>11967</v>
      </c>
      <c r="V615" t="s">
        <v>11968</v>
      </c>
      <c r="W615" t="s">
        <v>11969</v>
      </c>
      <c r="X615" t="s">
        <v>11970</v>
      </c>
      <c r="Y615" t="s">
        <v>11971</v>
      </c>
      <c r="Z615" t="s">
        <v>11972</v>
      </c>
      <c r="AA615" t="s">
        <v>11973</v>
      </c>
      <c r="AB615" t="s">
        <v>11974</v>
      </c>
      <c r="AC615" t="s">
        <v>11975</v>
      </c>
      <c r="AD615" t="s">
        <v>11976</v>
      </c>
      <c r="AE615" t="s">
        <v>11977</v>
      </c>
      <c r="AF615" t="s">
        <v>74</v>
      </c>
      <c r="AG615">
        <v>57</v>
      </c>
      <c r="AH615">
        <v>0</v>
      </c>
      <c r="AI615">
        <v>0</v>
      </c>
      <c r="AJ615">
        <v>0</v>
      </c>
      <c r="AK615">
        <v>8</v>
      </c>
      <c r="AL615" t="s">
        <v>208</v>
      </c>
      <c r="AM615" t="s">
        <v>209</v>
      </c>
      <c r="AN615" t="s">
        <v>2659</v>
      </c>
      <c r="AO615" t="s">
        <v>11978</v>
      </c>
      <c r="AP615" t="s">
        <v>11979</v>
      </c>
      <c r="AQ615" t="s">
        <v>74</v>
      </c>
      <c r="AR615" t="s">
        <v>11980</v>
      </c>
      <c r="AS615" t="s">
        <v>11981</v>
      </c>
      <c r="AT615" t="s">
        <v>10370</v>
      </c>
      <c r="AU615">
        <v>2017</v>
      </c>
      <c r="AV615">
        <v>23</v>
      </c>
      <c r="AW615">
        <v>8</v>
      </c>
      <c r="AX615" t="s">
        <v>74</v>
      </c>
      <c r="AY615" t="s">
        <v>74</v>
      </c>
      <c r="AZ615" t="s">
        <v>74</v>
      </c>
      <c r="BA615" t="s">
        <v>74</v>
      </c>
      <c r="BB615" t="s">
        <v>74</v>
      </c>
      <c r="BC615" t="s">
        <v>74</v>
      </c>
      <c r="BD615">
        <v>232</v>
      </c>
      <c r="BE615" t="s">
        <v>11982</v>
      </c>
      <c r="BF615" t="str">
        <f>HYPERLINK("http://dx.doi.org/10.1007/s00894-017-3410-0","http://dx.doi.org/10.1007/s00894-017-3410-0")</f>
        <v>http://dx.doi.org/10.1007/s00894-017-3410-0</v>
      </c>
      <c r="BG615" t="s">
        <v>74</v>
      </c>
      <c r="BH615" t="s">
        <v>74</v>
      </c>
      <c r="BI615">
        <v>9</v>
      </c>
      <c r="BJ615" t="s">
        <v>11983</v>
      </c>
      <c r="BK615" t="s">
        <v>101</v>
      </c>
      <c r="BL615" t="s">
        <v>11984</v>
      </c>
      <c r="BM615" t="s">
        <v>11985</v>
      </c>
      <c r="BN615">
        <v>28730352</v>
      </c>
      <c r="BO615" t="s">
        <v>74</v>
      </c>
      <c r="BP615" t="s">
        <v>74</v>
      </c>
      <c r="BQ615" t="s">
        <v>74</v>
      </c>
      <c r="BR615" t="s">
        <v>105</v>
      </c>
      <c r="BS615" t="s">
        <v>11986</v>
      </c>
      <c r="BT615" t="str">
        <f>HYPERLINK("https%3A%2F%2Fwww.webofscience.com%2Fwos%2Fwoscc%2Ffull-record%2FWOS:000406293700014","View Full Record in Web of Science")</f>
        <v>View Full Record in Web of Science</v>
      </c>
    </row>
    <row r="616" spans="1:72" x14ac:dyDescent="0.15">
      <c r="A616" t="s">
        <v>72</v>
      </c>
      <c r="B616" t="s">
        <v>11987</v>
      </c>
      <c r="C616" t="s">
        <v>74</v>
      </c>
      <c r="D616" t="s">
        <v>74</v>
      </c>
      <c r="E616" t="s">
        <v>74</v>
      </c>
      <c r="F616" t="s">
        <v>11988</v>
      </c>
      <c r="G616" t="s">
        <v>74</v>
      </c>
      <c r="H616" t="s">
        <v>74</v>
      </c>
      <c r="I616" t="s">
        <v>11989</v>
      </c>
      <c r="J616" t="s">
        <v>2927</v>
      </c>
      <c r="K616" t="s">
        <v>74</v>
      </c>
      <c r="L616" t="s">
        <v>74</v>
      </c>
      <c r="M616" t="s">
        <v>78</v>
      </c>
      <c r="N616" t="s">
        <v>79</v>
      </c>
      <c r="O616" t="s">
        <v>74</v>
      </c>
      <c r="P616" t="s">
        <v>74</v>
      </c>
      <c r="Q616" t="s">
        <v>74</v>
      </c>
      <c r="R616" t="s">
        <v>74</v>
      </c>
      <c r="S616" t="s">
        <v>74</v>
      </c>
      <c r="T616" t="s">
        <v>11990</v>
      </c>
      <c r="U616" t="s">
        <v>11991</v>
      </c>
      <c r="V616" t="s">
        <v>11992</v>
      </c>
      <c r="W616" t="s">
        <v>11993</v>
      </c>
      <c r="X616" t="s">
        <v>11994</v>
      </c>
      <c r="Y616" t="s">
        <v>11995</v>
      </c>
      <c r="Z616" t="s">
        <v>11996</v>
      </c>
      <c r="AA616" t="s">
        <v>74</v>
      </c>
      <c r="AB616" t="s">
        <v>74</v>
      </c>
      <c r="AC616" t="s">
        <v>11997</v>
      </c>
      <c r="AD616" t="s">
        <v>11998</v>
      </c>
      <c r="AE616" t="s">
        <v>11999</v>
      </c>
      <c r="AF616" t="s">
        <v>74</v>
      </c>
      <c r="AG616">
        <v>40</v>
      </c>
      <c r="AH616">
        <v>9</v>
      </c>
      <c r="AI616">
        <v>9</v>
      </c>
      <c r="AJ616">
        <v>0</v>
      </c>
      <c r="AK616">
        <v>14</v>
      </c>
      <c r="AL616" t="s">
        <v>208</v>
      </c>
      <c r="AM616" t="s">
        <v>209</v>
      </c>
      <c r="AN616" t="s">
        <v>210</v>
      </c>
      <c r="AO616" t="s">
        <v>2939</v>
      </c>
      <c r="AP616" t="s">
        <v>2940</v>
      </c>
      <c r="AQ616" t="s">
        <v>74</v>
      </c>
      <c r="AR616" t="s">
        <v>2941</v>
      </c>
      <c r="AS616" t="s">
        <v>2942</v>
      </c>
      <c r="AT616" t="s">
        <v>10370</v>
      </c>
      <c r="AU616">
        <v>2017</v>
      </c>
      <c r="AV616">
        <v>49</v>
      </c>
      <c r="AW616">
        <v>3</v>
      </c>
      <c r="AX616" t="s">
        <v>74</v>
      </c>
      <c r="AY616" t="s">
        <v>74</v>
      </c>
      <c r="AZ616" t="s">
        <v>1188</v>
      </c>
      <c r="BA616" t="s">
        <v>74</v>
      </c>
      <c r="BB616">
        <v>731</v>
      </c>
      <c r="BC616">
        <v>751</v>
      </c>
      <c r="BD616" t="s">
        <v>74</v>
      </c>
      <c r="BE616" t="s">
        <v>12000</v>
      </c>
      <c r="BF616" t="str">
        <f>HYPERLINK("http://dx.doi.org/10.1007/s00382-015-2567-4","http://dx.doi.org/10.1007/s00382-015-2567-4")</f>
        <v>http://dx.doi.org/10.1007/s00382-015-2567-4</v>
      </c>
      <c r="BG616" t="s">
        <v>74</v>
      </c>
      <c r="BH616" t="s">
        <v>74</v>
      </c>
      <c r="BI616">
        <v>21</v>
      </c>
      <c r="BJ616" t="s">
        <v>162</v>
      </c>
      <c r="BK616" t="s">
        <v>101</v>
      </c>
      <c r="BL616" t="s">
        <v>162</v>
      </c>
      <c r="BM616" t="s">
        <v>10529</v>
      </c>
      <c r="BN616" t="s">
        <v>74</v>
      </c>
      <c r="BO616" t="s">
        <v>74</v>
      </c>
      <c r="BP616" t="s">
        <v>74</v>
      </c>
      <c r="BQ616" t="s">
        <v>74</v>
      </c>
      <c r="BR616" t="s">
        <v>105</v>
      </c>
      <c r="BS616" t="s">
        <v>12001</v>
      </c>
      <c r="BT616" t="str">
        <f>HYPERLINK("https%3A%2F%2Fwww.webofscience.com%2Fwos%2Fwoscc%2Ffull-record%2FWOS:000407244700003","View Full Record in Web of Science")</f>
        <v>View Full Record in Web of Science</v>
      </c>
    </row>
    <row r="617" spans="1:72" x14ac:dyDescent="0.15">
      <c r="A617" t="s">
        <v>72</v>
      </c>
      <c r="B617" t="s">
        <v>12002</v>
      </c>
      <c r="C617" t="s">
        <v>74</v>
      </c>
      <c r="D617" t="s">
        <v>74</v>
      </c>
      <c r="E617" t="s">
        <v>74</v>
      </c>
      <c r="F617" t="s">
        <v>12003</v>
      </c>
      <c r="G617" t="s">
        <v>74</v>
      </c>
      <c r="H617" t="s">
        <v>74</v>
      </c>
      <c r="I617" t="s">
        <v>12004</v>
      </c>
      <c r="J617" t="s">
        <v>2927</v>
      </c>
      <c r="K617" t="s">
        <v>74</v>
      </c>
      <c r="L617" t="s">
        <v>74</v>
      </c>
      <c r="M617" t="s">
        <v>78</v>
      </c>
      <c r="N617" t="s">
        <v>79</v>
      </c>
      <c r="O617" t="s">
        <v>74</v>
      </c>
      <c r="P617" t="s">
        <v>74</v>
      </c>
      <c r="Q617" t="s">
        <v>74</v>
      </c>
      <c r="R617" t="s">
        <v>74</v>
      </c>
      <c r="S617" t="s">
        <v>74</v>
      </c>
      <c r="T617" t="s">
        <v>12005</v>
      </c>
      <c r="U617" t="s">
        <v>12006</v>
      </c>
      <c r="V617" t="s">
        <v>12007</v>
      </c>
      <c r="W617" t="s">
        <v>12008</v>
      </c>
      <c r="X617" t="s">
        <v>12009</v>
      </c>
      <c r="Y617" t="s">
        <v>12010</v>
      </c>
      <c r="Z617" t="s">
        <v>12011</v>
      </c>
      <c r="AA617" t="s">
        <v>12012</v>
      </c>
      <c r="AB617" t="s">
        <v>12013</v>
      </c>
      <c r="AC617" t="s">
        <v>12014</v>
      </c>
      <c r="AD617" t="s">
        <v>9190</v>
      </c>
      <c r="AE617" t="s">
        <v>74</v>
      </c>
      <c r="AF617" t="s">
        <v>74</v>
      </c>
      <c r="AG617">
        <v>66</v>
      </c>
      <c r="AH617">
        <v>21</v>
      </c>
      <c r="AI617">
        <v>22</v>
      </c>
      <c r="AJ617">
        <v>1</v>
      </c>
      <c r="AK617">
        <v>19</v>
      </c>
      <c r="AL617" t="s">
        <v>208</v>
      </c>
      <c r="AM617" t="s">
        <v>209</v>
      </c>
      <c r="AN617" t="s">
        <v>2659</v>
      </c>
      <c r="AO617" t="s">
        <v>2939</v>
      </c>
      <c r="AP617" t="s">
        <v>2940</v>
      </c>
      <c r="AQ617" t="s">
        <v>74</v>
      </c>
      <c r="AR617" t="s">
        <v>2941</v>
      </c>
      <c r="AS617" t="s">
        <v>2942</v>
      </c>
      <c r="AT617" t="s">
        <v>10370</v>
      </c>
      <c r="AU617">
        <v>2017</v>
      </c>
      <c r="AV617">
        <v>49</v>
      </c>
      <c r="AW617">
        <v>3</v>
      </c>
      <c r="AX617" t="s">
        <v>74</v>
      </c>
      <c r="AY617" t="s">
        <v>74</v>
      </c>
      <c r="AZ617" t="s">
        <v>1188</v>
      </c>
      <c r="BA617" t="s">
        <v>74</v>
      </c>
      <c r="BB617">
        <v>1009</v>
      </c>
      <c r="BC617">
        <v>1029</v>
      </c>
      <c r="BD617" t="s">
        <v>74</v>
      </c>
      <c r="BE617" t="s">
        <v>12015</v>
      </c>
      <c r="BF617" t="str">
        <f>HYPERLINK("http://dx.doi.org/10.1007/s00382-015-2868-7","http://dx.doi.org/10.1007/s00382-015-2868-7")</f>
        <v>http://dx.doi.org/10.1007/s00382-015-2868-7</v>
      </c>
      <c r="BG617" t="s">
        <v>74</v>
      </c>
      <c r="BH617" t="s">
        <v>74</v>
      </c>
      <c r="BI617">
        <v>21</v>
      </c>
      <c r="BJ617" t="s">
        <v>162</v>
      </c>
      <c r="BK617" t="s">
        <v>101</v>
      </c>
      <c r="BL617" t="s">
        <v>162</v>
      </c>
      <c r="BM617" t="s">
        <v>10529</v>
      </c>
      <c r="BN617" t="s">
        <v>74</v>
      </c>
      <c r="BO617" t="s">
        <v>786</v>
      </c>
      <c r="BP617" t="s">
        <v>74</v>
      </c>
      <c r="BQ617" t="s">
        <v>74</v>
      </c>
      <c r="BR617" t="s">
        <v>105</v>
      </c>
      <c r="BS617" t="s">
        <v>12016</v>
      </c>
      <c r="BT617" t="str">
        <f>HYPERLINK("https%3A%2F%2Fwww.webofscience.com%2Fwos%2Fwoscc%2Ffull-record%2FWOS:000407244700015","View Full Record in Web of Science")</f>
        <v>View Full Record in Web of Science</v>
      </c>
    </row>
    <row r="618" spans="1:72" x14ac:dyDescent="0.15">
      <c r="A618" t="s">
        <v>72</v>
      </c>
      <c r="B618" t="s">
        <v>12017</v>
      </c>
      <c r="C618" t="s">
        <v>74</v>
      </c>
      <c r="D618" t="s">
        <v>74</v>
      </c>
      <c r="E618" t="s">
        <v>74</v>
      </c>
      <c r="F618" t="s">
        <v>12018</v>
      </c>
      <c r="G618" t="s">
        <v>74</v>
      </c>
      <c r="H618" t="s">
        <v>74</v>
      </c>
      <c r="I618" t="s">
        <v>12019</v>
      </c>
      <c r="J618" t="s">
        <v>12020</v>
      </c>
      <c r="K618" t="s">
        <v>74</v>
      </c>
      <c r="L618" t="s">
        <v>74</v>
      </c>
      <c r="M618" t="s">
        <v>78</v>
      </c>
      <c r="N618" t="s">
        <v>79</v>
      </c>
      <c r="O618" t="s">
        <v>74</v>
      </c>
      <c r="P618" t="s">
        <v>74</v>
      </c>
      <c r="Q618" t="s">
        <v>74</v>
      </c>
      <c r="R618" t="s">
        <v>74</v>
      </c>
      <c r="S618" t="s">
        <v>74</v>
      </c>
      <c r="T618" t="s">
        <v>12021</v>
      </c>
      <c r="U618" t="s">
        <v>12022</v>
      </c>
      <c r="V618" t="s">
        <v>12023</v>
      </c>
      <c r="W618" t="s">
        <v>12024</v>
      </c>
      <c r="X618" t="s">
        <v>12025</v>
      </c>
      <c r="Y618" t="s">
        <v>12026</v>
      </c>
      <c r="Z618" t="s">
        <v>12027</v>
      </c>
      <c r="AA618" t="s">
        <v>12028</v>
      </c>
      <c r="AB618" t="s">
        <v>12029</v>
      </c>
      <c r="AC618" t="s">
        <v>12030</v>
      </c>
      <c r="AD618" t="s">
        <v>12031</v>
      </c>
      <c r="AE618" t="s">
        <v>12032</v>
      </c>
      <c r="AF618" t="s">
        <v>74</v>
      </c>
      <c r="AG618">
        <v>48</v>
      </c>
      <c r="AH618">
        <v>22</v>
      </c>
      <c r="AI618">
        <v>22</v>
      </c>
      <c r="AJ618">
        <v>8</v>
      </c>
      <c r="AK618">
        <v>191</v>
      </c>
      <c r="AL618" t="s">
        <v>728</v>
      </c>
      <c r="AM618" t="s">
        <v>729</v>
      </c>
      <c r="AN618" t="s">
        <v>730</v>
      </c>
      <c r="AO618" t="s">
        <v>12033</v>
      </c>
      <c r="AP618" t="s">
        <v>12034</v>
      </c>
      <c r="AQ618" t="s">
        <v>74</v>
      </c>
      <c r="AR618" t="s">
        <v>12035</v>
      </c>
      <c r="AS618" t="s">
        <v>12036</v>
      </c>
      <c r="AT618" t="s">
        <v>10370</v>
      </c>
      <c r="AU618">
        <v>2017</v>
      </c>
      <c r="AV618">
        <v>212</v>
      </c>
      <c r="AW618" t="s">
        <v>74</v>
      </c>
      <c r="AX618" t="s">
        <v>12037</v>
      </c>
      <c r="AY618" t="s">
        <v>74</v>
      </c>
      <c r="AZ618" t="s">
        <v>74</v>
      </c>
      <c r="BA618" t="s">
        <v>74</v>
      </c>
      <c r="BB618">
        <v>63</v>
      </c>
      <c r="BC618">
        <v>73</v>
      </c>
      <c r="BD618" t="s">
        <v>74</v>
      </c>
      <c r="BE618" t="s">
        <v>12038</v>
      </c>
      <c r="BF618" t="str">
        <f>HYPERLINK("http://dx.doi.org/10.1016/j.biocon.2017.05.017","http://dx.doi.org/10.1016/j.biocon.2017.05.017")</f>
        <v>http://dx.doi.org/10.1016/j.biocon.2017.05.017</v>
      </c>
      <c r="BG618" t="s">
        <v>74</v>
      </c>
      <c r="BH618" t="s">
        <v>74</v>
      </c>
      <c r="BI618">
        <v>11</v>
      </c>
      <c r="BJ618" t="s">
        <v>12039</v>
      </c>
      <c r="BK618" t="s">
        <v>101</v>
      </c>
      <c r="BL618" t="s">
        <v>2593</v>
      </c>
      <c r="BM618" t="s">
        <v>12040</v>
      </c>
      <c r="BN618" t="s">
        <v>74</v>
      </c>
      <c r="BO618" t="s">
        <v>2091</v>
      </c>
      <c r="BP618" t="s">
        <v>74</v>
      </c>
      <c r="BQ618" t="s">
        <v>74</v>
      </c>
      <c r="BR618" t="s">
        <v>105</v>
      </c>
      <c r="BS618" t="s">
        <v>12041</v>
      </c>
      <c r="BT618" t="str">
        <f>HYPERLINK("https%3A%2F%2Fwww.webofscience.com%2Fwos%2Fwoscc%2Ffull-record%2FWOS:000407186000007","View Full Record in Web of Science")</f>
        <v>View Full Record in Web of Science</v>
      </c>
    </row>
    <row r="619" spans="1:72" x14ac:dyDescent="0.15">
      <c r="A619" t="s">
        <v>72</v>
      </c>
      <c r="B619" t="s">
        <v>12042</v>
      </c>
      <c r="C619" t="s">
        <v>74</v>
      </c>
      <c r="D619" t="s">
        <v>74</v>
      </c>
      <c r="E619" t="s">
        <v>74</v>
      </c>
      <c r="F619" t="s">
        <v>12043</v>
      </c>
      <c r="G619" t="s">
        <v>74</v>
      </c>
      <c r="H619" t="s">
        <v>74</v>
      </c>
      <c r="I619" t="s">
        <v>12044</v>
      </c>
      <c r="J619" t="s">
        <v>9899</v>
      </c>
      <c r="K619" t="s">
        <v>74</v>
      </c>
      <c r="L619" t="s">
        <v>74</v>
      </c>
      <c r="M619" t="s">
        <v>78</v>
      </c>
      <c r="N619" t="s">
        <v>79</v>
      </c>
      <c r="O619" t="s">
        <v>74</v>
      </c>
      <c r="P619" t="s">
        <v>74</v>
      </c>
      <c r="Q619" t="s">
        <v>74</v>
      </c>
      <c r="R619" t="s">
        <v>74</v>
      </c>
      <c r="S619" t="s">
        <v>74</v>
      </c>
      <c r="T619" t="s">
        <v>74</v>
      </c>
      <c r="U619" t="s">
        <v>12045</v>
      </c>
      <c r="V619" t="s">
        <v>12046</v>
      </c>
      <c r="W619" t="s">
        <v>12047</v>
      </c>
      <c r="X619" t="s">
        <v>12048</v>
      </c>
      <c r="Y619" t="s">
        <v>12049</v>
      </c>
      <c r="Z619" t="s">
        <v>12050</v>
      </c>
      <c r="AA619" t="s">
        <v>12051</v>
      </c>
      <c r="AB619" t="s">
        <v>12052</v>
      </c>
      <c r="AC619" t="s">
        <v>12053</v>
      </c>
      <c r="AD619" t="s">
        <v>12054</v>
      </c>
      <c r="AE619" t="s">
        <v>12055</v>
      </c>
      <c r="AF619" t="s">
        <v>74</v>
      </c>
      <c r="AG619">
        <v>54</v>
      </c>
      <c r="AH619">
        <v>59</v>
      </c>
      <c r="AI619">
        <v>64</v>
      </c>
      <c r="AJ619">
        <v>24</v>
      </c>
      <c r="AK619">
        <v>144</v>
      </c>
      <c r="AL619" t="s">
        <v>9467</v>
      </c>
      <c r="AM619" t="s">
        <v>92</v>
      </c>
      <c r="AN619" t="s">
        <v>9468</v>
      </c>
      <c r="AO619" t="s">
        <v>9911</v>
      </c>
      <c r="AP619" t="s">
        <v>9912</v>
      </c>
      <c r="AQ619" t="s">
        <v>74</v>
      </c>
      <c r="AR619" t="s">
        <v>9913</v>
      </c>
      <c r="AS619" t="s">
        <v>9914</v>
      </c>
      <c r="AT619" t="s">
        <v>10661</v>
      </c>
      <c r="AU619">
        <v>2017</v>
      </c>
      <c r="AV619">
        <v>51</v>
      </c>
      <c r="AW619">
        <v>15</v>
      </c>
      <c r="AX619" t="s">
        <v>74</v>
      </c>
      <c r="AY619" t="s">
        <v>74</v>
      </c>
      <c r="AZ619" t="s">
        <v>74</v>
      </c>
      <c r="BA619" t="s">
        <v>74</v>
      </c>
      <c r="BB619">
        <v>8460</v>
      </c>
      <c r="BC619">
        <v>8470</v>
      </c>
      <c r="BD619" t="s">
        <v>74</v>
      </c>
      <c r="BE619" t="s">
        <v>12056</v>
      </c>
      <c r="BF619" t="str">
        <f>HYPERLINK("http://dx.doi.org/10.1021/acs.est.7b02521","http://dx.doi.org/10.1021/acs.est.7b02521")</f>
        <v>http://dx.doi.org/10.1021/acs.est.7b02521</v>
      </c>
      <c r="BG619" t="s">
        <v>74</v>
      </c>
      <c r="BH619" t="s">
        <v>74</v>
      </c>
      <c r="BI619">
        <v>11</v>
      </c>
      <c r="BJ619" t="s">
        <v>3855</v>
      </c>
      <c r="BK619" t="s">
        <v>101</v>
      </c>
      <c r="BL619" t="s">
        <v>3856</v>
      </c>
      <c r="BM619" t="s">
        <v>12057</v>
      </c>
      <c r="BN619">
        <v>28665121</v>
      </c>
      <c r="BO619" t="s">
        <v>74</v>
      </c>
      <c r="BP619" t="s">
        <v>74</v>
      </c>
      <c r="BQ619" t="s">
        <v>74</v>
      </c>
      <c r="BR619" t="s">
        <v>105</v>
      </c>
      <c r="BS619" t="s">
        <v>12058</v>
      </c>
      <c r="BT619" t="str">
        <f>HYPERLINK("https%3A%2F%2Fwww.webofscience.com%2Fwos%2Fwoscc%2Ffull-record%2FWOS:000406982600028","View Full Record in Web of Science")</f>
        <v>View Full Record in Web of Science</v>
      </c>
    </row>
    <row r="620" spans="1:72" x14ac:dyDescent="0.15">
      <c r="A620" t="s">
        <v>72</v>
      </c>
      <c r="B620" t="s">
        <v>12059</v>
      </c>
      <c r="C620" t="s">
        <v>74</v>
      </c>
      <c r="D620" t="s">
        <v>74</v>
      </c>
      <c r="E620" t="s">
        <v>74</v>
      </c>
      <c r="F620" t="s">
        <v>12060</v>
      </c>
      <c r="G620" t="s">
        <v>74</v>
      </c>
      <c r="H620" t="s">
        <v>74</v>
      </c>
      <c r="I620" t="s">
        <v>12061</v>
      </c>
      <c r="J620" t="s">
        <v>12062</v>
      </c>
      <c r="K620" t="s">
        <v>74</v>
      </c>
      <c r="L620" t="s">
        <v>74</v>
      </c>
      <c r="M620" t="s">
        <v>78</v>
      </c>
      <c r="N620" t="s">
        <v>79</v>
      </c>
      <c r="O620" t="s">
        <v>74</v>
      </c>
      <c r="P620" t="s">
        <v>74</v>
      </c>
      <c r="Q620" t="s">
        <v>74</v>
      </c>
      <c r="R620" t="s">
        <v>74</v>
      </c>
      <c r="S620" t="s">
        <v>74</v>
      </c>
      <c r="T620" t="s">
        <v>12063</v>
      </c>
      <c r="U620" t="s">
        <v>12064</v>
      </c>
      <c r="V620" t="s">
        <v>12065</v>
      </c>
      <c r="W620" t="s">
        <v>12066</v>
      </c>
      <c r="X620" t="s">
        <v>9275</v>
      </c>
      <c r="Y620" t="s">
        <v>12067</v>
      </c>
      <c r="Z620" t="s">
        <v>12068</v>
      </c>
      <c r="AA620" t="s">
        <v>12069</v>
      </c>
      <c r="AB620" t="s">
        <v>12070</v>
      </c>
      <c r="AC620" t="s">
        <v>12071</v>
      </c>
      <c r="AD620" t="s">
        <v>12072</v>
      </c>
      <c r="AE620" t="s">
        <v>12073</v>
      </c>
      <c r="AF620" t="s">
        <v>74</v>
      </c>
      <c r="AG620">
        <v>29</v>
      </c>
      <c r="AH620">
        <v>6</v>
      </c>
      <c r="AI620">
        <v>7</v>
      </c>
      <c r="AJ620">
        <v>8</v>
      </c>
      <c r="AK620">
        <v>41</v>
      </c>
      <c r="AL620" t="s">
        <v>1338</v>
      </c>
      <c r="AM620" t="s">
        <v>1339</v>
      </c>
      <c r="AN620" t="s">
        <v>1340</v>
      </c>
      <c r="AO620" t="s">
        <v>12074</v>
      </c>
      <c r="AP620" t="s">
        <v>12075</v>
      </c>
      <c r="AQ620" t="s">
        <v>74</v>
      </c>
      <c r="AR620" t="s">
        <v>12076</v>
      </c>
      <c r="AS620" t="s">
        <v>12077</v>
      </c>
      <c r="AT620" t="s">
        <v>10370</v>
      </c>
      <c r="AU620">
        <v>2017</v>
      </c>
      <c r="AV620">
        <v>41</v>
      </c>
      <c r="AW620">
        <v>4</v>
      </c>
      <c r="AX620" t="s">
        <v>74</v>
      </c>
      <c r="AY620" t="s">
        <v>74</v>
      </c>
      <c r="AZ620" t="s">
        <v>74</v>
      </c>
      <c r="BA620" t="s">
        <v>74</v>
      </c>
      <c r="BB620" t="s">
        <v>74</v>
      </c>
      <c r="BC620" t="s">
        <v>74</v>
      </c>
      <c r="BD620" t="s">
        <v>12078</v>
      </c>
      <c r="BE620" t="s">
        <v>12079</v>
      </c>
      <c r="BF620" t="str">
        <f>HYPERLINK("http://dx.doi.org/10.1111/jfbc.12381","http://dx.doi.org/10.1111/jfbc.12381")</f>
        <v>http://dx.doi.org/10.1111/jfbc.12381</v>
      </c>
      <c r="BG620" t="s">
        <v>74</v>
      </c>
      <c r="BH620" t="s">
        <v>74</v>
      </c>
      <c r="BI620">
        <v>8</v>
      </c>
      <c r="BJ620" t="s">
        <v>12080</v>
      </c>
      <c r="BK620" t="s">
        <v>101</v>
      </c>
      <c r="BL620" t="s">
        <v>12080</v>
      </c>
      <c r="BM620" t="s">
        <v>12081</v>
      </c>
      <c r="BN620" t="s">
        <v>74</v>
      </c>
      <c r="BO620" t="s">
        <v>1278</v>
      </c>
      <c r="BP620" t="s">
        <v>74</v>
      </c>
      <c r="BQ620" t="s">
        <v>74</v>
      </c>
      <c r="BR620" t="s">
        <v>105</v>
      </c>
      <c r="BS620" t="s">
        <v>12082</v>
      </c>
      <c r="BT620" t="str">
        <f>HYPERLINK("https%3A%2F%2Fwww.webofscience.com%2Fwos%2Fwoscc%2Ffull-record%2FWOS:000407085800010","View Full Record in Web of Science")</f>
        <v>View Full Record in Web of Science</v>
      </c>
    </row>
    <row r="621" spans="1:72" x14ac:dyDescent="0.15">
      <c r="A621" t="s">
        <v>72</v>
      </c>
      <c r="B621" t="s">
        <v>12083</v>
      </c>
      <c r="C621" t="s">
        <v>74</v>
      </c>
      <c r="D621" t="s">
        <v>74</v>
      </c>
      <c r="E621" t="s">
        <v>74</v>
      </c>
      <c r="F621" t="s">
        <v>12084</v>
      </c>
      <c r="G621" t="s">
        <v>74</v>
      </c>
      <c r="H621" t="s">
        <v>74</v>
      </c>
      <c r="I621" t="s">
        <v>12085</v>
      </c>
      <c r="J621" t="s">
        <v>2576</v>
      </c>
      <c r="K621" t="s">
        <v>74</v>
      </c>
      <c r="L621" t="s">
        <v>74</v>
      </c>
      <c r="M621" t="s">
        <v>78</v>
      </c>
      <c r="N621" t="s">
        <v>79</v>
      </c>
      <c r="O621" t="s">
        <v>74</v>
      </c>
      <c r="P621" t="s">
        <v>74</v>
      </c>
      <c r="Q621" t="s">
        <v>74</v>
      </c>
      <c r="R621" t="s">
        <v>74</v>
      </c>
      <c r="S621" t="s">
        <v>74</v>
      </c>
      <c r="T621" t="s">
        <v>12086</v>
      </c>
      <c r="U621" t="s">
        <v>12087</v>
      </c>
      <c r="V621" t="s">
        <v>12088</v>
      </c>
      <c r="W621" t="s">
        <v>12089</v>
      </c>
      <c r="X621" t="s">
        <v>12090</v>
      </c>
      <c r="Y621" t="s">
        <v>12091</v>
      </c>
      <c r="Z621" t="s">
        <v>12092</v>
      </c>
      <c r="AA621" t="s">
        <v>12093</v>
      </c>
      <c r="AB621" t="s">
        <v>12094</v>
      </c>
      <c r="AC621" t="s">
        <v>12095</v>
      </c>
      <c r="AD621" t="s">
        <v>12095</v>
      </c>
      <c r="AE621" t="s">
        <v>12096</v>
      </c>
      <c r="AF621" t="s">
        <v>74</v>
      </c>
      <c r="AG621">
        <v>78</v>
      </c>
      <c r="AH621">
        <v>6</v>
      </c>
      <c r="AI621">
        <v>6</v>
      </c>
      <c r="AJ621">
        <v>1</v>
      </c>
      <c r="AK621">
        <v>11</v>
      </c>
      <c r="AL621" t="s">
        <v>208</v>
      </c>
      <c r="AM621" t="s">
        <v>209</v>
      </c>
      <c r="AN621" t="s">
        <v>210</v>
      </c>
      <c r="AO621" t="s">
        <v>2587</v>
      </c>
      <c r="AP621" t="s">
        <v>2588</v>
      </c>
      <c r="AQ621" t="s">
        <v>74</v>
      </c>
      <c r="AR621" t="s">
        <v>2589</v>
      </c>
      <c r="AS621" t="s">
        <v>2590</v>
      </c>
      <c r="AT621" t="s">
        <v>10370</v>
      </c>
      <c r="AU621">
        <v>2017</v>
      </c>
      <c r="AV621">
        <v>40</v>
      </c>
      <c r="AW621">
        <v>8</v>
      </c>
      <c r="AX621" t="s">
        <v>74</v>
      </c>
      <c r="AY621" t="s">
        <v>74</v>
      </c>
      <c r="AZ621" t="s">
        <v>74</v>
      </c>
      <c r="BA621" t="s">
        <v>74</v>
      </c>
      <c r="BB621">
        <v>1557</v>
      </c>
      <c r="BC621">
        <v>1568</v>
      </c>
      <c r="BD621" t="s">
        <v>74</v>
      </c>
      <c r="BE621" t="s">
        <v>12097</v>
      </c>
      <c r="BF621" t="str">
        <f>HYPERLINK("http://dx.doi.org/10.1007/s00300-017-2077-4","http://dx.doi.org/10.1007/s00300-017-2077-4")</f>
        <v>http://dx.doi.org/10.1007/s00300-017-2077-4</v>
      </c>
      <c r="BG621" t="s">
        <v>74</v>
      </c>
      <c r="BH621" t="s">
        <v>74</v>
      </c>
      <c r="BI621">
        <v>12</v>
      </c>
      <c r="BJ621" t="s">
        <v>2592</v>
      </c>
      <c r="BK621" t="s">
        <v>101</v>
      </c>
      <c r="BL621" t="s">
        <v>2593</v>
      </c>
      <c r="BM621" t="s">
        <v>12098</v>
      </c>
      <c r="BN621" t="s">
        <v>74</v>
      </c>
      <c r="BO621" t="s">
        <v>164</v>
      </c>
      <c r="BP621" t="s">
        <v>74</v>
      </c>
      <c r="BQ621" t="s">
        <v>74</v>
      </c>
      <c r="BR621" t="s">
        <v>105</v>
      </c>
      <c r="BS621" t="s">
        <v>12099</v>
      </c>
      <c r="BT621" t="str">
        <f>HYPERLINK("https%3A%2F%2Fwww.webofscience.com%2Fwos%2Fwoscc%2Ffull-record%2FWOS:000406963800008","View Full Record in Web of Science")</f>
        <v>View Full Record in Web of Science</v>
      </c>
    </row>
    <row r="622" spans="1:72" x14ac:dyDescent="0.15">
      <c r="A622" t="s">
        <v>72</v>
      </c>
      <c r="B622" t="s">
        <v>12100</v>
      </c>
      <c r="C622" t="s">
        <v>74</v>
      </c>
      <c r="D622" t="s">
        <v>74</v>
      </c>
      <c r="E622" t="s">
        <v>74</v>
      </c>
      <c r="F622" t="s">
        <v>12101</v>
      </c>
      <c r="G622" t="s">
        <v>74</v>
      </c>
      <c r="H622" t="s">
        <v>74</v>
      </c>
      <c r="I622" t="s">
        <v>12102</v>
      </c>
      <c r="J622" t="s">
        <v>2576</v>
      </c>
      <c r="K622" t="s">
        <v>74</v>
      </c>
      <c r="L622" t="s">
        <v>74</v>
      </c>
      <c r="M622" t="s">
        <v>78</v>
      </c>
      <c r="N622" t="s">
        <v>79</v>
      </c>
      <c r="O622" t="s">
        <v>74</v>
      </c>
      <c r="P622" t="s">
        <v>74</v>
      </c>
      <c r="Q622" t="s">
        <v>74</v>
      </c>
      <c r="R622" t="s">
        <v>74</v>
      </c>
      <c r="S622" t="s">
        <v>74</v>
      </c>
      <c r="T622" t="s">
        <v>12103</v>
      </c>
      <c r="U622" t="s">
        <v>12104</v>
      </c>
      <c r="V622" t="s">
        <v>12105</v>
      </c>
      <c r="W622" t="s">
        <v>12106</v>
      </c>
      <c r="X622" t="s">
        <v>12107</v>
      </c>
      <c r="Y622" t="s">
        <v>12108</v>
      </c>
      <c r="Z622" t="s">
        <v>12109</v>
      </c>
      <c r="AA622" t="s">
        <v>12110</v>
      </c>
      <c r="AB622" t="s">
        <v>12111</v>
      </c>
      <c r="AC622" t="s">
        <v>12112</v>
      </c>
      <c r="AD622" t="s">
        <v>12113</v>
      </c>
      <c r="AE622" t="s">
        <v>12114</v>
      </c>
      <c r="AF622" t="s">
        <v>74</v>
      </c>
      <c r="AG622">
        <v>60</v>
      </c>
      <c r="AH622">
        <v>5</v>
      </c>
      <c r="AI622">
        <v>5</v>
      </c>
      <c r="AJ622">
        <v>3</v>
      </c>
      <c r="AK622">
        <v>42</v>
      </c>
      <c r="AL622" t="s">
        <v>208</v>
      </c>
      <c r="AM622" t="s">
        <v>209</v>
      </c>
      <c r="AN622" t="s">
        <v>210</v>
      </c>
      <c r="AO622" t="s">
        <v>2587</v>
      </c>
      <c r="AP622" t="s">
        <v>2588</v>
      </c>
      <c r="AQ622" t="s">
        <v>74</v>
      </c>
      <c r="AR622" t="s">
        <v>2589</v>
      </c>
      <c r="AS622" t="s">
        <v>2590</v>
      </c>
      <c r="AT622" t="s">
        <v>10370</v>
      </c>
      <c r="AU622">
        <v>2017</v>
      </c>
      <c r="AV622">
        <v>40</v>
      </c>
      <c r="AW622">
        <v>8</v>
      </c>
      <c r="AX622" t="s">
        <v>74</v>
      </c>
      <c r="AY622" t="s">
        <v>74</v>
      </c>
      <c r="AZ622" t="s">
        <v>74</v>
      </c>
      <c r="BA622" t="s">
        <v>74</v>
      </c>
      <c r="BB622">
        <v>1569</v>
      </c>
      <c r="BC622">
        <v>1580</v>
      </c>
      <c r="BD622" t="s">
        <v>74</v>
      </c>
      <c r="BE622" t="s">
        <v>12115</v>
      </c>
      <c r="BF622" t="str">
        <f>HYPERLINK("http://dx.doi.org/10.1007/s00300-017-2079-2","http://dx.doi.org/10.1007/s00300-017-2079-2")</f>
        <v>http://dx.doi.org/10.1007/s00300-017-2079-2</v>
      </c>
      <c r="BG622" t="s">
        <v>74</v>
      </c>
      <c r="BH622" t="s">
        <v>74</v>
      </c>
      <c r="BI622">
        <v>12</v>
      </c>
      <c r="BJ622" t="s">
        <v>2592</v>
      </c>
      <c r="BK622" t="s">
        <v>101</v>
      </c>
      <c r="BL622" t="s">
        <v>2593</v>
      </c>
      <c r="BM622" t="s">
        <v>12098</v>
      </c>
      <c r="BN622" t="s">
        <v>74</v>
      </c>
      <c r="BO622" t="s">
        <v>74</v>
      </c>
      <c r="BP622" t="s">
        <v>74</v>
      </c>
      <c r="BQ622" t="s">
        <v>74</v>
      </c>
      <c r="BR622" t="s">
        <v>105</v>
      </c>
      <c r="BS622" t="s">
        <v>12116</v>
      </c>
      <c r="BT622" t="str">
        <f>HYPERLINK("https%3A%2F%2Fwww.webofscience.com%2Fwos%2Fwoscc%2Ffull-record%2FWOS:000406963800009","View Full Record in Web of Science")</f>
        <v>View Full Record in Web of Science</v>
      </c>
    </row>
    <row r="623" spans="1:72" x14ac:dyDescent="0.15">
      <c r="A623" t="s">
        <v>72</v>
      </c>
      <c r="B623" t="s">
        <v>12117</v>
      </c>
      <c r="C623" t="s">
        <v>74</v>
      </c>
      <c r="D623" t="s">
        <v>74</v>
      </c>
      <c r="E623" t="s">
        <v>74</v>
      </c>
      <c r="F623" t="s">
        <v>12118</v>
      </c>
      <c r="G623" t="s">
        <v>74</v>
      </c>
      <c r="H623" t="s">
        <v>74</v>
      </c>
      <c r="I623" t="s">
        <v>12119</v>
      </c>
      <c r="J623" t="s">
        <v>2576</v>
      </c>
      <c r="K623" t="s">
        <v>74</v>
      </c>
      <c r="L623" t="s">
        <v>74</v>
      </c>
      <c r="M623" t="s">
        <v>78</v>
      </c>
      <c r="N623" t="s">
        <v>79</v>
      </c>
      <c r="O623" t="s">
        <v>74</v>
      </c>
      <c r="P623" t="s">
        <v>74</v>
      </c>
      <c r="Q623" t="s">
        <v>74</v>
      </c>
      <c r="R623" t="s">
        <v>74</v>
      </c>
      <c r="S623" t="s">
        <v>74</v>
      </c>
      <c r="T623" t="s">
        <v>12120</v>
      </c>
      <c r="U623" t="s">
        <v>12121</v>
      </c>
      <c r="V623" t="s">
        <v>12122</v>
      </c>
      <c r="W623" t="s">
        <v>12123</v>
      </c>
      <c r="X623" t="s">
        <v>12124</v>
      </c>
      <c r="Y623" t="s">
        <v>12125</v>
      </c>
      <c r="Z623" t="s">
        <v>12126</v>
      </c>
      <c r="AA623" t="s">
        <v>74</v>
      </c>
      <c r="AB623" t="s">
        <v>12127</v>
      </c>
      <c r="AC623" t="s">
        <v>12128</v>
      </c>
      <c r="AD623" t="s">
        <v>12129</v>
      </c>
      <c r="AE623" t="s">
        <v>12130</v>
      </c>
      <c r="AF623" t="s">
        <v>74</v>
      </c>
      <c r="AG623">
        <v>70</v>
      </c>
      <c r="AH623">
        <v>4</v>
      </c>
      <c r="AI623">
        <v>4</v>
      </c>
      <c r="AJ623">
        <v>0</v>
      </c>
      <c r="AK623">
        <v>11</v>
      </c>
      <c r="AL623" t="s">
        <v>208</v>
      </c>
      <c r="AM623" t="s">
        <v>209</v>
      </c>
      <c r="AN623" t="s">
        <v>210</v>
      </c>
      <c r="AO623" t="s">
        <v>2587</v>
      </c>
      <c r="AP623" t="s">
        <v>2588</v>
      </c>
      <c r="AQ623" t="s">
        <v>74</v>
      </c>
      <c r="AR623" t="s">
        <v>2589</v>
      </c>
      <c r="AS623" t="s">
        <v>2590</v>
      </c>
      <c r="AT623" t="s">
        <v>10370</v>
      </c>
      <c r="AU623">
        <v>2017</v>
      </c>
      <c r="AV623">
        <v>40</v>
      </c>
      <c r="AW623">
        <v>8</v>
      </c>
      <c r="AX623" t="s">
        <v>74</v>
      </c>
      <c r="AY623" t="s">
        <v>74</v>
      </c>
      <c r="AZ623" t="s">
        <v>74</v>
      </c>
      <c r="BA623" t="s">
        <v>74</v>
      </c>
      <c r="BB623">
        <v>1607</v>
      </c>
      <c r="BC623">
        <v>1616</v>
      </c>
      <c r="BD623" t="s">
        <v>74</v>
      </c>
      <c r="BE623" t="s">
        <v>12131</v>
      </c>
      <c r="BF623" t="str">
        <f>HYPERLINK("http://dx.doi.org/10.1007/s00300-017-2083-6","http://dx.doi.org/10.1007/s00300-017-2083-6")</f>
        <v>http://dx.doi.org/10.1007/s00300-017-2083-6</v>
      </c>
      <c r="BG623" t="s">
        <v>74</v>
      </c>
      <c r="BH623" t="s">
        <v>74</v>
      </c>
      <c r="BI623">
        <v>10</v>
      </c>
      <c r="BJ623" t="s">
        <v>2592</v>
      </c>
      <c r="BK623" t="s">
        <v>101</v>
      </c>
      <c r="BL623" t="s">
        <v>2593</v>
      </c>
      <c r="BM623" t="s">
        <v>12098</v>
      </c>
      <c r="BN623" t="s">
        <v>74</v>
      </c>
      <c r="BO623" t="s">
        <v>74</v>
      </c>
      <c r="BP623" t="s">
        <v>74</v>
      </c>
      <c r="BQ623" t="s">
        <v>74</v>
      </c>
      <c r="BR623" t="s">
        <v>105</v>
      </c>
      <c r="BS623" t="s">
        <v>12132</v>
      </c>
      <c r="BT623" t="str">
        <f>HYPERLINK("https%3A%2F%2Fwww.webofscience.com%2Fwos%2Fwoscc%2Ffull-record%2FWOS:000406963800012","View Full Record in Web of Science")</f>
        <v>View Full Record in Web of Science</v>
      </c>
    </row>
    <row r="624" spans="1:72" x14ac:dyDescent="0.15">
      <c r="A624" t="s">
        <v>72</v>
      </c>
      <c r="B624" t="s">
        <v>12133</v>
      </c>
      <c r="C624" t="s">
        <v>74</v>
      </c>
      <c r="D624" t="s">
        <v>74</v>
      </c>
      <c r="E624" t="s">
        <v>74</v>
      </c>
      <c r="F624" t="s">
        <v>12134</v>
      </c>
      <c r="G624" t="s">
        <v>74</v>
      </c>
      <c r="H624" t="s">
        <v>74</v>
      </c>
      <c r="I624" t="s">
        <v>12135</v>
      </c>
      <c r="J624" t="s">
        <v>2576</v>
      </c>
      <c r="K624" t="s">
        <v>74</v>
      </c>
      <c r="L624" t="s">
        <v>74</v>
      </c>
      <c r="M624" t="s">
        <v>78</v>
      </c>
      <c r="N624" t="s">
        <v>79</v>
      </c>
      <c r="O624" t="s">
        <v>74</v>
      </c>
      <c r="P624" t="s">
        <v>74</v>
      </c>
      <c r="Q624" t="s">
        <v>74</v>
      </c>
      <c r="R624" t="s">
        <v>74</v>
      </c>
      <c r="S624" t="s">
        <v>74</v>
      </c>
      <c r="T624" t="s">
        <v>12136</v>
      </c>
      <c r="U624" t="s">
        <v>12137</v>
      </c>
      <c r="V624" t="s">
        <v>12138</v>
      </c>
      <c r="W624" t="s">
        <v>12139</v>
      </c>
      <c r="X624" t="s">
        <v>12140</v>
      </c>
      <c r="Y624" t="s">
        <v>12141</v>
      </c>
      <c r="Z624" t="s">
        <v>12142</v>
      </c>
      <c r="AA624" t="s">
        <v>12143</v>
      </c>
      <c r="AB624" t="s">
        <v>12144</v>
      </c>
      <c r="AC624" t="s">
        <v>12145</v>
      </c>
      <c r="AD624" t="s">
        <v>12146</v>
      </c>
      <c r="AE624" t="s">
        <v>12147</v>
      </c>
      <c r="AF624" t="s">
        <v>74</v>
      </c>
      <c r="AG624">
        <v>56</v>
      </c>
      <c r="AH624">
        <v>4</v>
      </c>
      <c r="AI624">
        <v>4</v>
      </c>
      <c r="AJ624">
        <v>0</v>
      </c>
      <c r="AK624">
        <v>13</v>
      </c>
      <c r="AL624" t="s">
        <v>208</v>
      </c>
      <c r="AM624" t="s">
        <v>209</v>
      </c>
      <c r="AN624" t="s">
        <v>210</v>
      </c>
      <c r="AO624" t="s">
        <v>2587</v>
      </c>
      <c r="AP624" t="s">
        <v>2588</v>
      </c>
      <c r="AQ624" t="s">
        <v>74</v>
      </c>
      <c r="AR624" t="s">
        <v>2589</v>
      </c>
      <c r="AS624" t="s">
        <v>2590</v>
      </c>
      <c r="AT624" t="s">
        <v>10370</v>
      </c>
      <c r="AU624">
        <v>2017</v>
      </c>
      <c r="AV624">
        <v>40</v>
      </c>
      <c r="AW624">
        <v>8</v>
      </c>
      <c r="AX624" t="s">
        <v>74</v>
      </c>
      <c r="AY624" t="s">
        <v>74</v>
      </c>
      <c r="AZ624" t="s">
        <v>74</v>
      </c>
      <c r="BA624" t="s">
        <v>74</v>
      </c>
      <c r="BB624">
        <v>1617</v>
      </c>
      <c r="BC624">
        <v>1628</v>
      </c>
      <c r="BD624" t="s">
        <v>74</v>
      </c>
      <c r="BE624" t="s">
        <v>12148</v>
      </c>
      <c r="BF624" t="str">
        <f>HYPERLINK("http://dx.doi.org/10.1007/s00300-017-2084-5","http://dx.doi.org/10.1007/s00300-017-2084-5")</f>
        <v>http://dx.doi.org/10.1007/s00300-017-2084-5</v>
      </c>
      <c r="BG624" t="s">
        <v>74</v>
      </c>
      <c r="BH624" t="s">
        <v>74</v>
      </c>
      <c r="BI624">
        <v>12</v>
      </c>
      <c r="BJ624" t="s">
        <v>2592</v>
      </c>
      <c r="BK624" t="s">
        <v>101</v>
      </c>
      <c r="BL624" t="s">
        <v>2593</v>
      </c>
      <c r="BM624" t="s">
        <v>12098</v>
      </c>
      <c r="BN624" t="s">
        <v>74</v>
      </c>
      <c r="BO624" t="s">
        <v>2091</v>
      </c>
      <c r="BP624" t="s">
        <v>74</v>
      </c>
      <c r="BQ624" t="s">
        <v>74</v>
      </c>
      <c r="BR624" t="s">
        <v>105</v>
      </c>
      <c r="BS624" t="s">
        <v>12149</v>
      </c>
      <c r="BT624" t="str">
        <f>HYPERLINK("https%3A%2F%2Fwww.webofscience.com%2Fwos%2Fwoscc%2Ffull-record%2FWOS:000406963800013","View Full Record in Web of Science")</f>
        <v>View Full Record in Web of Science</v>
      </c>
    </row>
    <row r="625" spans="1:72" x14ac:dyDescent="0.15">
      <c r="A625" t="s">
        <v>72</v>
      </c>
      <c r="B625" t="s">
        <v>12150</v>
      </c>
      <c r="C625" t="s">
        <v>74</v>
      </c>
      <c r="D625" t="s">
        <v>74</v>
      </c>
      <c r="E625" t="s">
        <v>74</v>
      </c>
      <c r="F625" t="s">
        <v>12151</v>
      </c>
      <c r="G625" t="s">
        <v>74</v>
      </c>
      <c r="H625" t="s">
        <v>74</v>
      </c>
      <c r="I625" t="s">
        <v>12152</v>
      </c>
      <c r="J625" t="s">
        <v>2576</v>
      </c>
      <c r="K625" t="s">
        <v>74</v>
      </c>
      <c r="L625" t="s">
        <v>74</v>
      </c>
      <c r="M625" t="s">
        <v>78</v>
      </c>
      <c r="N625" t="s">
        <v>79</v>
      </c>
      <c r="O625" t="s">
        <v>74</v>
      </c>
      <c r="P625" t="s">
        <v>74</v>
      </c>
      <c r="Q625" t="s">
        <v>74</v>
      </c>
      <c r="R625" t="s">
        <v>74</v>
      </c>
      <c r="S625" t="s">
        <v>74</v>
      </c>
      <c r="T625" t="s">
        <v>12153</v>
      </c>
      <c r="U625" t="s">
        <v>12154</v>
      </c>
      <c r="V625" t="s">
        <v>12155</v>
      </c>
      <c r="W625" t="s">
        <v>12156</v>
      </c>
      <c r="X625" t="s">
        <v>12157</v>
      </c>
      <c r="Y625" t="s">
        <v>12158</v>
      </c>
      <c r="Z625" t="s">
        <v>12159</v>
      </c>
      <c r="AA625" t="s">
        <v>12160</v>
      </c>
      <c r="AB625" t="s">
        <v>12161</v>
      </c>
      <c r="AC625" t="s">
        <v>12162</v>
      </c>
      <c r="AD625" t="s">
        <v>12163</v>
      </c>
      <c r="AE625" t="s">
        <v>12164</v>
      </c>
      <c r="AF625" t="s">
        <v>74</v>
      </c>
      <c r="AG625">
        <v>66</v>
      </c>
      <c r="AH625">
        <v>20</v>
      </c>
      <c r="AI625">
        <v>22</v>
      </c>
      <c r="AJ625">
        <v>0</v>
      </c>
      <c r="AK625">
        <v>18</v>
      </c>
      <c r="AL625" t="s">
        <v>208</v>
      </c>
      <c r="AM625" t="s">
        <v>209</v>
      </c>
      <c r="AN625" t="s">
        <v>210</v>
      </c>
      <c r="AO625" t="s">
        <v>2587</v>
      </c>
      <c r="AP625" t="s">
        <v>2588</v>
      </c>
      <c r="AQ625" t="s">
        <v>74</v>
      </c>
      <c r="AR625" t="s">
        <v>2589</v>
      </c>
      <c r="AS625" t="s">
        <v>2590</v>
      </c>
      <c r="AT625" t="s">
        <v>10370</v>
      </c>
      <c r="AU625">
        <v>2017</v>
      </c>
      <c r="AV625">
        <v>40</v>
      </c>
      <c r="AW625">
        <v>8</v>
      </c>
      <c r="AX625" t="s">
        <v>74</v>
      </c>
      <c r="AY625" t="s">
        <v>74</v>
      </c>
      <c r="AZ625" t="s">
        <v>74</v>
      </c>
      <c r="BA625" t="s">
        <v>74</v>
      </c>
      <c r="BB625">
        <v>1629</v>
      </c>
      <c r="BC625">
        <v>1643</v>
      </c>
      <c r="BD625" t="s">
        <v>74</v>
      </c>
      <c r="BE625" t="s">
        <v>12165</v>
      </c>
      <c r="BF625" t="str">
        <f>HYPERLINK("http://dx.doi.org/10.1007/s00300-017-2087-2","http://dx.doi.org/10.1007/s00300-017-2087-2")</f>
        <v>http://dx.doi.org/10.1007/s00300-017-2087-2</v>
      </c>
      <c r="BG625" t="s">
        <v>74</v>
      </c>
      <c r="BH625" t="s">
        <v>74</v>
      </c>
      <c r="BI625">
        <v>15</v>
      </c>
      <c r="BJ625" t="s">
        <v>2592</v>
      </c>
      <c r="BK625" t="s">
        <v>101</v>
      </c>
      <c r="BL625" t="s">
        <v>2593</v>
      </c>
      <c r="BM625" t="s">
        <v>12098</v>
      </c>
      <c r="BN625" t="s">
        <v>74</v>
      </c>
      <c r="BO625" t="s">
        <v>74</v>
      </c>
      <c r="BP625" t="s">
        <v>74</v>
      </c>
      <c r="BQ625" t="s">
        <v>74</v>
      </c>
      <c r="BR625" t="s">
        <v>105</v>
      </c>
      <c r="BS625" t="s">
        <v>12166</v>
      </c>
      <c r="BT625" t="str">
        <f>HYPERLINK("https%3A%2F%2Fwww.webofscience.com%2Fwos%2Fwoscc%2Ffull-record%2FWOS:000406963800014","View Full Record in Web of Science")</f>
        <v>View Full Record in Web of Science</v>
      </c>
    </row>
    <row r="626" spans="1:72" x14ac:dyDescent="0.15">
      <c r="A626" t="s">
        <v>72</v>
      </c>
      <c r="B626" t="s">
        <v>12167</v>
      </c>
      <c r="C626" t="s">
        <v>74</v>
      </c>
      <c r="D626" t="s">
        <v>74</v>
      </c>
      <c r="E626" t="s">
        <v>74</v>
      </c>
      <c r="F626" t="s">
        <v>12168</v>
      </c>
      <c r="G626" t="s">
        <v>74</v>
      </c>
      <c r="H626" t="s">
        <v>74</v>
      </c>
      <c r="I626" t="s">
        <v>12169</v>
      </c>
      <c r="J626" t="s">
        <v>2576</v>
      </c>
      <c r="K626" t="s">
        <v>74</v>
      </c>
      <c r="L626" t="s">
        <v>74</v>
      </c>
      <c r="M626" t="s">
        <v>78</v>
      </c>
      <c r="N626" t="s">
        <v>79</v>
      </c>
      <c r="O626" t="s">
        <v>74</v>
      </c>
      <c r="P626" t="s">
        <v>74</v>
      </c>
      <c r="Q626" t="s">
        <v>74</v>
      </c>
      <c r="R626" t="s">
        <v>74</v>
      </c>
      <c r="S626" t="s">
        <v>74</v>
      </c>
      <c r="T626" t="s">
        <v>12170</v>
      </c>
      <c r="U626" t="s">
        <v>12171</v>
      </c>
      <c r="V626" t="s">
        <v>12172</v>
      </c>
      <c r="W626" t="s">
        <v>12173</v>
      </c>
      <c r="X626" t="s">
        <v>12174</v>
      </c>
      <c r="Y626" t="s">
        <v>12175</v>
      </c>
      <c r="Z626" t="s">
        <v>12176</v>
      </c>
      <c r="AA626" t="s">
        <v>12177</v>
      </c>
      <c r="AB626" t="s">
        <v>12178</v>
      </c>
      <c r="AC626" t="s">
        <v>12179</v>
      </c>
      <c r="AD626" t="s">
        <v>12180</v>
      </c>
      <c r="AE626" t="s">
        <v>12181</v>
      </c>
      <c r="AF626" t="s">
        <v>74</v>
      </c>
      <c r="AG626">
        <v>49</v>
      </c>
      <c r="AH626">
        <v>29</v>
      </c>
      <c r="AI626">
        <v>32</v>
      </c>
      <c r="AJ626">
        <v>3</v>
      </c>
      <c r="AK626">
        <v>54</v>
      </c>
      <c r="AL626" t="s">
        <v>208</v>
      </c>
      <c r="AM626" t="s">
        <v>209</v>
      </c>
      <c r="AN626" t="s">
        <v>2659</v>
      </c>
      <c r="AO626" t="s">
        <v>2587</v>
      </c>
      <c r="AP626" t="s">
        <v>2588</v>
      </c>
      <c r="AQ626" t="s">
        <v>74</v>
      </c>
      <c r="AR626" t="s">
        <v>2589</v>
      </c>
      <c r="AS626" t="s">
        <v>2590</v>
      </c>
      <c r="AT626" t="s">
        <v>10370</v>
      </c>
      <c r="AU626">
        <v>2017</v>
      </c>
      <c r="AV626">
        <v>40</v>
      </c>
      <c r="AW626">
        <v>8</v>
      </c>
      <c r="AX626" t="s">
        <v>74</v>
      </c>
      <c r="AY626" t="s">
        <v>74</v>
      </c>
      <c r="AZ626" t="s">
        <v>74</v>
      </c>
      <c r="BA626" t="s">
        <v>74</v>
      </c>
      <c r="BB626">
        <v>1671</v>
      </c>
      <c r="BC626">
        <v>1685</v>
      </c>
      <c r="BD626" t="s">
        <v>74</v>
      </c>
      <c r="BE626" t="s">
        <v>12182</v>
      </c>
      <c r="BF626" t="str">
        <f>HYPERLINK("http://dx.doi.org/10.1007/s00300-017-2092-5","http://dx.doi.org/10.1007/s00300-017-2092-5")</f>
        <v>http://dx.doi.org/10.1007/s00300-017-2092-5</v>
      </c>
      <c r="BG626" t="s">
        <v>74</v>
      </c>
      <c r="BH626" t="s">
        <v>74</v>
      </c>
      <c r="BI626">
        <v>15</v>
      </c>
      <c r="BJ626" t="s">
        <v>2592</v>
      </c>
      <c r="BK626" t="s">
        <v>101</v>
      </c>
      <c r="BL626" t="s">
        <v>2593</v>
      </c>
      <c r="BM626" t="s">
        <v>12098</v>
      </c>
      <c r="BN626" t="s">
        <v>74</v>
      </c>
      <c r="BO626" t="s">
        <v>74</v>
      </c>
      <c r="BP626" t="s">
        <v>74</v>
      </c>
      <c r="BQ626" t="s">
        <v>74</v>
      </c>
      <c r="BR626" t="s">
        <v>105</v>
      </c>
      <c r="BS626" t="s">
        <v>12183</v>
      </c>
      <c r="BT626" t="str">
        <f>HYPERLINK("https%3A%2F%2Fwww.webofscience.com%2Fwos%2Fwoscc%2Ffull-record%2FWOS:000406963800017","View Full Record in Web of Science")</f>
        <v>View Full Record in Web of Science</v>
      </c>
    </row>
    <row r="627" spans="1:72" x14ac:dyDescent="0.15">
      <c r="A627" t="s">
        <v>72</v>
      </c>
      <c r="B627" t="s">
        <v>12184</v>
      </c>
      <c r="C627" t="s">
        <v>74</v>
      </c>
      <c r="D627" t="s">
        <v>74</v>
      </c>
      <c r="E627" t="s">
        <v>74</v>
      </c>
      <c r="F627" t="s">
        <v>12185</v>
      </c>
      <c r="G627" t="s">
        <v>74</v>
      </c>
      <c r="H627" t="s">
        <v>74</v>
      </c>
      <c r="I627" t="s">
        <v>12186</v>
      </c>
      <c r="J627" t="s">
        <v>12187</v>
      </c>
      <c r="K627" t="s">
        <v>74</v>
      </c>
      <c r="L627" t="s">
        <v>74</v>
      </c>
      <c r="M627" t="s">
        <v>78</v>
      </c>
      <c r="N627" t="s">
        <v>79</v>
      </c>
      <c r="O627" t="s">
        <v>74</v>
      </c>
      <c r="P627" t="s">
        <v>74</v>
      </c>
      <c r="Q627" t="s">
        <v>74</v>
      </c>
      <c r="R627" t="s">
        <v>74</v>
      </c>
      <c r="S627" t="s">
        <v>74</v>
      </c>
      <c r="T627" t="s">
        <v>12188</v>
      </c>
      <c r="U627" t="s">
        <v>12189</v>
      </c>
      <c r="V627" t="s">
        <v>12190</v>
      </c>
      <c r="W627" t="s">
        <v>12191</v>
      </c>
      <c r="X627" t="s">
        <v>12192</v>
      </c>
      <c r="Y627" t="s">
        <v>12193</v>
      </c>
      <c r="Z627" t="s">
        <v>12194</v>
      </c>
      <c r="AA627" t="s">
        <v>12195</v>
      </c>
      <c r="AB627" t="s">
        <v>12196</v>
      </c>
      <c r="AC627" t="s">
        <v>12197</v>
      </c>
      <c r="AD627" t="s">
        <v>12198</v>
      </c>
      <c r="AE627" t="s">
        <v>12199</v>
      </c>
      <c r="AF627" t="s">
        <v>74</v>
      </c>
      <c r="AG627">
        <v>57</v>
      </c>
      <c r="AH627">
        <v>30</v>
      </c>
      <c r="AI627">
        <v>33</v>
      </c>
      <c r="AJ627">
        <v>1</v>
      </c>
      <c r="AK627">
        <v>40</v>
      </c>
      <c r="AL627" t="s">
        <v>5918</v>
      </c>
      <c r="AM627" t="s">
        <v>729</v>
      </c>
      <c r="AN627" t="s">
        <v>5919</v>
      </c>
      <c r="AO627" t="s">
        <v>12200</v>
      </c>
      <c r="AP627" t="s">
        <v>12201</v>
      </c>
      <c r="AQ627" t="s">
        <v>74</v>
      </c>
      <c r="AR627" t="s">
        <v>12202</v>
      </c>
      <c r="AS627" t="s">
        <v>12203</v>
      </c>
      <c r="AT627" t="s">
        <v>10370</v>
      </c>
      <c r="AU627">
        <v>2017</v>
      </c>
      <c r="AV627">
        <v>184</v>
      </c>
      <c r="AW627">
        <v>4</v>
      </c>
      <c r="AX627" t="s">
        <v>74</v>
      </c>
      <c r="AY627" t="s">
        <v>74</v>
      </c>
      <c r="AZ627" t="s">
        <v>74</v>
      </c>
      <c r="BA627" t="s">
        <v>74</v>
      </c>
      <c r="BB627">
        <v>518</v>
      </c>
      <c r="BC627">
        <v>533</v>
      </c>
      <c r="BD627" t="s">
        <v>74</v>
      </c>
      <c r="BE627" t="s">
        <v>12204</v>
      </c>
      <c r="BF627" t="str">
        <f>HYPERLINK("http://dx.doi.org/10.1093/botlinnean/box040","http://dx.doi.org/10.1093/botlinnean/box040")</f>
        <v>http://dx.doi.org/10.1093/botlinnean/box040</v>
      </c>
      <c r="BG627" t="s">
        <v>74</v>
      </c>
      <c r="BH627" t="s">
        <v>74</v>
      </c>
      <c r="BI627">
        <v>16</v>
      </c>
      <c r="BJ627" t="s">
        <v>811</v>
      </c>
      <c r="BK627" t="s">
        <v>101</v>
      </c>
      <c r="BL627" t="s">
        <v>811</v>
      </c>
      <c r="BM627" t="s">
        <v>12205</v>
      </c>
      <c r="BN627" t="s">
        <v>74</v>
      </c>
      <c r="BO627" t="s">
        <v>1240</v>
      </c>
      <c r="BP627" t="s">
        <v>74</v>
      </c>
      <c r="BQ627" t="s">
        <v>74</v>
      </c>
      <c r="BR627" t="s">
        <v>105</v>
      </c>
      <c r="BS627" t="s">
        <v>12206</v>
      </c>
      <c r="BT627" t="str">
        <f>HYPERLINK("https%3A%2F%2Fwww.webofscience.com%2Fwos%2Fwoscc%2Ffull-record%2FWOS:000406943300007","View Full Record in Web of Science")</f>
        <v>View Full Record in Web of Science</v>
      </c>
    </row>
    <row r="628" spans="1:72" x14ac:dyDescent="0.15">
      <c r="A628" t="s">
        <v>72</v>
      </c>
      <c r="B628" t="s">
        <v>12207</v>
      </c>
      <c r="C628" t="s">
        <v>74</v>
      </c>
      <c r="D628" t="s">
        <v>74</v>
      </c>
      <c r="E628" t="s">
        <v>74</v>
      </c>
      <c r="F628" t="s">
        <v>12208</v>
      </c>
      <c r="G628" t="s">
        <v>74</v>
      </c>
      <c r="H628" t="s">
        <v>74</v>
      </c>
      <c r="I628" t="s">
        <v>12209</v>
      </c>
      <c r="J628" t="s">
        <v>2406</v>
      </c>
      <c r="K628" t="s">
        <v>74</v>
      </c>
      <c r="L628" t="s">
        <v>74</v>
      </c>
      <c r="M628" t="s">
        <v>78</v>
      </c>
      <c r="N628" t="s">
        <v>79</v>
      </c>
      <c r="O628" t="s">
        <v>74</v>
      </c>
      <c r="P628" t="s">
        <v>74</v>
      </c>
      <c r="Q628" t="s">
        <v>74</v>
      </c>
      <c r="R628" t="s">
        <v>74</v>
      </c>
      <c r="S628" t="s">
        <v>74</v>
      </c>
      <c r="T628" t="s">
        <v>74</v>
      </c>
      <c r="U628" t="s">
        <v>12210</v>
      </c>
      <c r="V628" t="s">
        <v>12211</v>
      </c>
      <c r="W628" t="s">
        <v>12212</v>
      </c>
      <c r="X628" t="s">
        <v>12213</v>
      </c>
      <c r="Y628" t="s">
        <v>12214</v>
      </c>
      <c r="Z628" t="s">
        <v>12215</v>
      </c>
      <c r="AA628" t="s">
        <v>12216</v>
      </c>
      <c r="AB628" t="s">
        <v>12217</v>
      </c>
      <c r="AC628" t="s">
        <v>12218</v>
      </c>
      <c r="AD628" t="s">
        <v>12219</v>
      </c>
      <c r="AE628" t="s">
        <v>12220</v>
      </c>
      <c r="AF628" t="s">
        <v>74</v>
      </c>
      <c r="AG628">
        <v>78</v>
      </c>
      <c r="AH628">
        <v>30</v>
      </c>
      <c r="AI628">
        <v>35</v>
      </c>
      <c r="AJ628">
        <v>0</v>
      </c>
      <c r="AK628">
        <v>36</v>
      </c>
      <c r="AL628" t="s">
        <v>1366</v>
      </c>
      <c r="AM628" t="s">
        <v>1367</v>
      </c>
      <c r="AN628" t="s">
        <v>1368</v>
      </c>
      <c r="AO628" t="s">
        <v>2418</v>
      </c>
      <c r="AP628" t="s">
        <v>2419</v>
      </c>
      <c r="AQ628" t="s">
        <v>74</v>
      </c>
      <c r="AR628" t="s">
        <v>2420</v>
      </c>
      <c r="AS628" t="s">
        <v>2421</v>
      </c>
      <c r="AT628" t="s">
        <v>10370</v>
      </c>
      <c r="AU628">
        <v>2017</v>
      </c>
      <c r="AV628">
        <v>30</v>
      </c>
      <c r="AW628">
        <v>16</v>
      </c>
      <c r="AX628" t="s">
        <v>74</v>
      </c>
      <c r="AY628" t="s">
        <v>74</v>
      </c>
      <c r="AZ628" t="s">
        <v>74</v>
      </c>
      <c r="BA628" t="s">
        <v>74</v>
      </c>
      <c r="BB628">
        <v>6151</v>
      </c>
      <c r="BC628">
        <v>6170</v>
      </c>
      <c r="BD628" t="s">
        <v>74</v>
      </c>
      <c r="BE628" t="s">
        <v>12221</v>
      </c>
      <c r="BF628" t="str">
        <f>HYPERLINK("http://dx.doi.org/10.1175/JCLI-D-16-0644.1","http://dx.doi.org/10.1175/JCLI-D-16-0644.1")</f>
        <v>http://dx.doi.org/10.1175/JCLI-D-16-0644.1</v>
      </c>
      <c r="BG628" t="s">
        <v>74</v>
      </c>
      <c r="BH628" t="s">
        <v>74</v>
      </c>
      <c r="BI628">
        <v>20</v>
      </c>
      <c r="BJ628" t="s">
        <v>162</v>
      </c>
      <c r="BK628" t="s">
        <v>101</v>
      </c>
      <c r="BL628" t="s">
        <v>162</v>
      </c>
      <c r="BM628" t="s">
        <v>12222</v>
      </c>
      <c r="BN628" t="s">
        <v>74</v>
      </c>
      <c r="BO628" t="s">
        <v>511</v>
      </c>
      <c r="BP628" t="s">
        <v>74</v>
      </c>
      <c r="BQ628" t="s">
        <v>74</v>
      </c>
      <c r="BR628" t="s">
        <v>105</v>
      </c>
      <c r="BS628" t="s">
        <v>12223</v>
      </c>
      <c r="BT628" t="str">
        <f>HYPERLINK("https%3A%2F%2Fwww.webofscience.com%2Fwos%2Fwoscc%2Ffull-record%2FWOS:000406040200006","View Full Record in Web of Science")</f>
        <v>View Full Record in Web of Science</v>
      </c>
    </row>
    <row r="629" spans="1:72" x14ac:dyDescent="0.15">
      <c r="A629" t="s">
        <v>72</v>
      </c>
      <c r="B629" t="s">
        <v>12224</v>
      </c>
      <c r="C629" t="s">
        <v>74</v>
      </c>
      <c r="D629" t="s">
        <v>74</v>
      </c>
      <c r="E629" t="s">
        <v>74</v>
      </c>
      <c r="F629" t="s">
        <v>12225</v>
      </c>
      <c r="G629" t="s">
        <v>74</v>
      </c>
      <c r="H629" t="s">
        <v>74</v>
      </c>
      <c r="I629" t="s">
        <v>12226</v>
      </c>
      <c r="J629" t="s">
        <v>12227</v>
      </c>
      <c r="K629" t="s">
        <v>74</v>
      </c>
      <c r="L629" t="s">
        <v>74</v>
      </c>
      <c r="M629" t="s">
        <v>78</v>
      </c>
      <c r="N629" t="s">
        <v>79</v>
      </c>
      <c r="O629" t="s">
        <v>74</v>
      </c>
      <c r="P629" t="s">
        <v>74</v>
      </c>
      <c r="Q629" t="s">
        <v>74</v>
      </c>
      <c r="R629" t="s">
        <v>74</v>
      </c>
      <c r="S629" t="s">
        <v>74</v>
      </c>
      <c r="T629" t="s">
        <v>12228</v>
      </c>
      <c r="U629" t="s">
        <v>12229</v>
      </c>
      <c r="V629" t="s">
        <v>12230</v>
      </c>
      <c r="W629" t="s">
        <v>12231</v>
      </c>
      <c r="X629" t="s">
        <v>12232</v>
      </c>
      <c r="Y629" t="s">
        <v>12233</v>
      </c>
      <c r="Z629" t="s">
        <v>74</v>
      </c>
      <c r="AA629" t="s">
        <v>12234</v>
      </c>
      <c r="AB629" t="s">
        <v>12235</v>
      </c>
      <c r="AC629" t="s">
        <v>12236</v>
      </c>
      <c r="AD629" t="s">
        <v>12237</v>
      </c>
      <c r="AE629" t="s">
        <v>12238</v>
      </c>
      <c r="AF629" t="s">
        <v>74</v>
      </c>
      <c r="AG629">
        <v>35</v>
      </c>
      <c r="AH629">
        <v>40</v>
      </c>
      <c r="AI629">
        <v>53</v>
      </c>
      <c r="AJ629">
        <v>0</v>
      </c>
      <c r="AK629">
        <v>2</v>
      </c>
      <c r="AL629" t="s">
        <v>12239</v>
      </c>
      <c r="AM629" t="s">
        <v>341</v>
      </c>
      <c r="AN629" t="s">
        <v>342</v>
      </c>
      <c r="AO629" t="s">
        <v>12240</v>
      </c>
      <c r="AP629" t="s">
        <v>12241</v>
      </c>
      <c r="AQ629" t="s">
        <v>74</v>
      </c>
      <c r="AR629" t="s">
        <v>12242</v>
      </c>
      <c r="AS629" t="s">
        <v>12243</v>
      </c>
      <c r="AT629" t="s">
        <v>10661</v>
      </c>
      <c r="AU629">
        <v>2017</v>
      </c>
      <c r="AV629">
        <v>844</v>
      </c>
      <c r="AW629">
        <v>2</v>
      </c>
      <c r="AX629" t="s">
        <v>74</v>
      </c>
      <c r="AY629" t="s">
        <v>74</v>
      </c>
      <c r="AZ629" t="s">
        <v>74</v>
      </c>
      <c r="BA629" t="s">
        <v>74</v>
      </c>
      <c r="BB629" t="s">
        <v>74</v>
      </c>
      <c r="BC629" t="s">
        <v>74</v>
      </c>
      <c r="BD629">
        <v>151</v>
      </c>
      <c r="BE629" t="s">
        <v>12244</v>
      </c>
      <c r="BF629" t="str">
        <f>HYPERLINK("http://dx.doi.org/10.3847/1538-4357/aa7cfd","http://dx.doi.org/10.3847/1538-4357/aa7cfd")</f>
        <v>http://dx.doi.org/10.3847/1538-4357/aa7cfd</v>
      </c>
      <c r="BG629" t="s">
        <v>74</v>
      </c>
      <c r="BH629" t="s">
        <v>74</v>
      </c>
      <c r="BI629">
        <v>7</v>
      </c>
      <c r="BJ629" t="s">
        <v>349</v>
      </c>
      <c r="BK629" t="s">
        <v>101</v>
      </c>
      <c r="BL629" t="s">
        <v>349</v>
      </c>
      <c r="BM629" t="s">
        <v>12245</v>
      </c>
      <c r="BN629" t="s">
        <v>74</v>
      </c>
      <c r="BO629" t="s">
        <v>12246</v>
      </c>
      <c r="BP629" t="s">
        <v>74</v>
      </c>
      <c r="BQ629" t="s">
        <v>74</v>
      </c>
      <c r="BR629" t="s">
        <v>105</v>
      </c>
      <c r="BS629" t="s">
        <v>12247</v>
      </c>
      <c r="BT629" t="str">
        <f>HYPERLINK("https%3A%2F%2Fwww.webofscience.com%2Fwos%2Fwoscc%2Ffull-record%2FWOS:000406841700004","View Full Record in Web of Science")</f>
        <v>View Full Record in Web of Science</v>
      </c>
    </row>
    <row r="630" spans="1:72" x14ac:dyDescent="0.15">
      <c r="A630" t="s">
        <v>72</v>
      </c>
      <c r="B630" t="s">
        <v>12248</v>
      </c>
      <c r="C630" t="s">
        <v>74</v>
      </c>
      <c r="D630" t="s">
        <v>74</v>
      </c>
      <c r="E630" t="s">
        <v>74</v>
      </c>
      <c r="F630" t="s">
        <v>12249</v>
      </c>
      <c r="G630" t="s">
        <v>74</v>
      </c>
      <c r="H630" t="s">
        <v>74</v>
      </c>
      <c r="I630" t="s">
        <v>12250</v>
      </c>
      <c r="J630" t="s">
        <v>12251</v>
      </c>
      <c r="K630" t="s">
        <v>74</v>
      </c>
      <c r="L630" t="s">
        <v>74</v>
      </c>
      <c r="M630" t="s">
        <v>78</v>
      </c>
      <c r="N630" t="s">
        <v>79</v>
      </c>
      <c r="O630" t="s">
        <v>74</v>
      </c>
      <c r="P630" t="s">
        <v>74</v>
      </c>
      <c r="Q630" t="s">
        <v>74</v>
      </c>
      <c r="R630" t="s">
        <v>74</v>
      </c>
      <c r="S630" t="s">
        <v>74</v>
      </c>
      <c r="T630" t="s">
        <v>12252</v>
      </c>
      <c r="U630" t="s">
        <v>12253</v>
      </c>
      <c r="V630" t="s">
        <v>12254</v>
      </c>
      <c r="W630" t="s">
        <v>12255</v>
      </c>
      <c r="X630" t="s">
        <v>12256</v>
      </c>
      <c r="Y630" t="s">
        <v>12257</v>
      </c>
      <c r="Z630" t="s">
        <v>12258</v>
      </c>
      <c r="AA630" t="s">
        <v>12259</v>
      </c>
      <c r="AB630" t="s">
        <v>12260</v>
      </c>
      <c r="AC630" t="s">
        <v>12261</v>
      </c>
      <c r="AD630" t="s">
        <v>12262</v>
      </c>
      <c r="AE630" t="s">
        <v>12263</v>
      </c>
      <c r="AF630" t="s">
        <v>74</v>
      </c>
      <c r="AG630">
        <v>51</v>
      </c>
      <c r="AH630">
        <v>11</v>
      </c>
      <c r="AI630">
        <v>11</v>
      </c>
      <c r="AJ630">
        <v>0</v>
      </c>
      <c r="AK630">
        <v>27</v>
      </c>
      <c r="AL630" t="s">
        <v>340</v>
      </c>
      <c r="AM630" t="s">
        <v>341</v>
      </c>
      <c r="AN630" t="s">
        <v>342</v>
      </c>
      <c r="AO630" t="s">
        <v>12264</v>
      </c>
      <c r="AP630" t="s">
        <v>74</v>
      </c>
      <c r="AQ630" t="s">
        <v>74</v>
      </c>
      <c r="AR630" t="s">
        <v>12265</v>
      </c>
      <c r="AS630" t="s">
        <v>12266</v>
      </c>
      <c r="AT630" t="s">
        <v>10370</v>
      </c>
      <c r="AU630">
        <v>2017</v>
      </c>
      <c r="AV630">
        <v>12</v>
      </c>
      <c r="AW630">
        <v>8</v>
      </c>
      <c r="AX630" t="s">
        <v>74</v>
      </c>
      <c r="AY630" t="s">
        <v>74</v>
      </c>
      <c r="AZ630" t="s">
        <v>74</v>
      </c>
      <c r="BA630" t="s">
        <v>74</v>
      </c>
      <c r="BB630" t="s">
        <v>74</v>
      </c>
      <c r="BC630" t="s">
        <v>74</v>
      </c>
      <c r="BD630">
        <v>84010</v>
      </c>
      <c r="BE630" t="s">
        <v>12267</v>
      </c>
      <c r="BF630" t="str">
        <f>HYPERLINK("http://dx.doi.org/10.1088/1748-9326/aa7a17","http://dx.doi.org/10.1088/1748-9326/aa7a17")</f>
        <v>http://dx.doi.org/10.1088/1748-9326/aa7a17</v>
      </c>
      <c r="BG630" t="s">
        <v>74</v>
      </c>
      <c r="BH630" t="s">
        <v>74</v>
      </c>
      <c r="BI630">
        <v>11</v>
      </c>
      <c r="BJ630" t="s">
        <v>834</v>
      </c>
      <c r="BK630" t="s">
        <v>101</v>
      </c>
      <c r="BL630" t="s">
        <v>835</v>
      </c>
      <c r="BM630" t="s">
        <v>12268</v>
      </c>
      <c r="BN630" t="s">
        <v>74</v>
      </c>
      <c r="BO630" t="s">
        <v>3410</v>
      </c>
      <c r="BP630" t="s">
        <v>74</v>
      </c>
      <c r="BQ630" t="s">
        <v>74</v>
      </c>
      <c r="BR630" t="s">
        <v>105</v>
      </c>
      <c r="BS630" t="s">
        <v>12269</v>
      </c>
      <c r="BT630" t="str">
        <f>HYPERLINK("https%3A%2F%2Fwww.webofscience.com%2Fwos%2Fwoscc%2Ffull-record%2FWOS:000406858700001","View Full Record in Web of Science")</f>
        <v>View Full Record in Web of Science</v>
      </c>
    </row>
    <row r="631" spans="1:72" x14ac:dyDescent="0.15">
      <c r="A631" t="s">
        <v>72</v>
      </c>
      <c r="B631" t="s">
        <v>12270</v>
      </c>
      <c r="C631" t="s">
        <v>74</v>
      </c>
      <c r="D631" t="s">
        <v>74</v>
      </c>
      <c r="E631" t="s">
        <v>74</v>
      </c>
      <c r="F631" t="s">
        <v>12271</v>
      </c>
      <c r="G631" t="s">
        <v>74</v>
      </c>
      <c r="H631" t="s">
        <v>74</v>
      </c>
      <c r="I631" t="s">
        <v>12272</v>
      </c>
      <c r="J631" t="s">
        <v>12273</v>
      </c>
      <c r="K631" t="s">
        <v>74</v>
      </c>
      <c r="L631" t="s">
        <v>74</v>
      </c>
      <c r="M631" t="s">
        <v>78</v>
      </c>
      <c r="N631" t="s">
        <v>79</v>
      </c>
      <c r="O631" t="s">
        <v>74</v>
      </c>
      <c r="P631" t="s">
        <v>74</v>
      </c>
      <c r="Q631" t="s">
        <v>74</v>
      </c>
      <c r="R631" t="s">
        <v>74</v>
      </c>
      <c r="S631" t="s">
        <v>74</v>
      </c>
      <c r="T631" t="s">
        <v>12274</v>
      </c>
      <c r="U631" t="s">
        <v>12275</v>
      </c>
      <c r="V631" t="s">
        <v>12276</v>
      </c>
      <c r="W631" t="s">
        <v>12277</v>
      </c>
      <c r="X631" t="s">
        <v>12278</v>
      </c>
      <c r="Y631" t="s">
        <v>12279</v>
      </c>
      <c r="Z631" t="s">
        <v>12280</v>
      </c>
      <c r="AA631" t="s">
        <v>12281</v>
      </c>
      <c r="AB631" t="s">
        <v>74</v>
      </c>
      <c r="AC631" t="s">
        <v>12282</v>
      </c>
      <c r="AD631" t="s">
        <v>12283</v>
      </c>
      <c r="AE631" t="s">
        <v>12284</v>
      </c>
      <c r="AF631" t="s">
        <v>74</v>
      </c>
      <c r="AG631">
        <v>57</v>
      </c>
      <c r="AH631">
        <v>18</v>
      </c>
      <c r="AI631">
        <v>19</v>
      </c>
      <c r="AJ631">
        <v>0</v>
      </c>
      <c r="AK631">
        <v>26</v>
      </c>
      <c r="AL631" t="s">
        <v>1338</v>
      </c>
      <c r="AM631" t="s">
        <v>1339</v>
      </c>
      <c r="AN631" t="s">
        <v>1340</v>
      </c>
      <c r="AO631" t="s">
        <v>12285</v>
      </c>
      <c r="AP631" t="s">
        <v>12286</v>
      </c>
      <c r="AQ631" t="s">
        <v>74</v>
      </c>
      <c r="AR631" t="s">
        <v>12287</v>
      </c>
      <c r="AS631" t="s">
        <v>12288</v>
      </c>
      <c r="AT631" t="s">
        <v>10370</v>
      </c>
      <c r="AU631">
        <v>2017</v>
      </c>
      <c r="AV631">
        <v>302</v>
      </c>
      <c r="AW631">
        <v>4</v>
      </c>
      <c r="AX631" t="s">
        <v>74</v>
      </c>
      <c r="AY631" t="s">
        <v>74</v>
      </c>
      <c r="AZ631" t="s">
        <v>74</v>
      </c>
      <c r="BA631" t="s">
        <v>74</v>
      </c>
      <c r="BB631">
        <v>252</v>
      </c>
      <c r="BC631">
        <v>262</v>
      </c>
      <c r="BD631" t="s">
        <v>74</v>
      </c>
      <c r="BE631" t="s">
        <v>12289</v>
      </c>
      <c r="BF631" t="str">
        <f>HYPERLINK("http://dx.doi.org/10.1111/jzo.12453","http://dx.doi.org/10.1111/jzo.12453")</f>
        <v>http://dx.doi.org/10.1111/jzo.12453</v>
      </c>
      <c r="BG631" t="s">
        <v>74</v>
      </c>
      <c r="BH631" t="s">
        <v>74</v>
      </c>
      <c r="BI631">
        <v>11</v>
      </c>
      <c r="BJ631" t="s">
        <v>2802</v>
      </c>
      <c r="BK631" t="s">
        <v>101</v>
      </c>
      <c r="BL631" t="s">
        <v>2802</v>
      </c>
      <c r="BM631" t="s">
        <v>12290</v>
      </c>
      <c r="BN631" t="s">
        <v>74</v>
      </c>
      <c r="BO631" t="s">
        <v>164</v>
      </c>
      <c r="BP631" t="s">
        <v>74</v>
      </c>
      <c r="BQ631" t="s">
        <v>74</v>
      </c>
      <c r="BR631" t="s">
        <v>105</v>
      </c>
      <c r="BS631" t="s">
        <v>12291</v>
      </c>
      <c r="BT631" t="str">
        <f>HYPERLINK("https%3A%2F%2Fwww.webofscience.com%2Fwos%2Fwoscc%2Ffull-record%2FWOS:000406710100006","View Full Record in Web of Science")</f>
        <v>View Full Record in Web of Science</v>
      </c>
    </row>
    <row r="632" spans="1:72" x14ac:dyDescent="0.15">
      <c r="A632" t="s">
        <v>72</v>
      </c>
      <c r="B632" t="s">
        <v>12292</v>
      </c>
      <c r="C632" t="s">
        <v>74</v>
      </c>
      <c r="D632" t="s">
        <v>74</v>
      </c>
      <c r="E632" t="s">
        <v>74</v>
      </c>
      <c r="F632" t="s">
        <v>12293</v>
      </c>
      <c r="G632" t="s">
        <v>74</v>
      </c>
      <c r="H632" t="s">
        <v>74</v>
      </c>
      <c r="I632" t="s">
        <v>12294</v>
      </c>
      <c r="J632" t="s">
        <v>12295</v>
      </c>
      <c r="K632" t="s">
        <v>74</v>
      </c>
      <c r="L632" t="s">
        <v>74</v>
      </c>
      <c r="M632" t="s">
        <v>78</v>
      </c>
      <c r="N632" t="s">
        <v>79</v>
      </c>
      <c r="O632" t="s">
        <v>74</v>
      </c>
      <c r="P632" t="s">
        <v>74</v>
      </c>
      <c r="Q632" t="s">
        <v>74</v>
      </c>
      <c r="R632" t="s">
        <v>74</v>
      </c>
      <c r="S632" t="s">
        <v>74</v>
      </c>
      <c r="T632" t="s">
        <v>12296</v>
      </c>
      <c r="U632" t="s">
        <v>12297</v>
      </c>
      <c r="V632" t="s">
        <v>12298</v>
      </c>
      <c r="W632" t="s">
        <v>12299</v>
      </c>
      <c r="X632" t="s">
        <v>12300</v>
      </c>
      <c r="Y632" t="s">
        <v>12301</v>
      </c>
      <c r="Z632" t="s">
        <v>12302</v>
      </c>
      <c r="AA632" t="s">
        <v>12303</v>
      </c>
      <c r="AB632" t="s">
        <v>12304</v>
      </c>
      <c r="AC632" t="s">
        <v>12305</v>
      </c>
      <c r="AD632" t="s">
        <v>12306</v>
      </c>
      <c r="AE632" t="s">
        <v>12307</v>
      </c>
      <c r="AF632" t="s">
        <v>74</v>
      </c>
      <c r="AG632">
        <v>34</v>
      </c>
      <c r="AH632">
        <v>8</v>
      </c>
      <c r="AI632">
        <v>10</v>
      </c>
      <c r="AJ632">
        <v>0</v>
      </c>
      <c r="AK632">
        <v>22</v>
      </c>
      <c r="AL632" t="s">
        <v>208</v>
      </c>
      <c r="AM632" t="s">
        <v>209</v>
      </c>
      <c r="AN632" t="s">
        <v>2659</v>
      </c>
      <c r="AO632" t="s">
        <v>12308</v>
      </c>
      <c r="AP632" t="s">
        <v>12309</v>
      </c>
      <c r="AQ632" t="s">
        <v>74</v>
      </c>
      <c r="AR632" t="s">
        <v>12310</v>
      </c>
      <c r="AS632" t="s">
        <v>12311</v>
      </c>
      <c r="AT632" t="s">
        <v>10370</v>
      </c>
      <c r="AU632">
        <v>2017</v>
      </c>
      <c r="AV632">
        <v>36</v>
      </c>
      <c r="AW632">
        <v>8</v>
      </c>
      <c r="AX632" t="s">
        <v>74</v>
      </c>
      <c r="AY632" t="s">
        <v>74</v>
      </c>
      <c r="AZ632" t="s">
        <v>74</v>
      </c>
      <c r="BA632" t="s">
        <v>74</v>
      </c>
      <c r="BB632">
        <v>66</v>
      </c>
      <c r="BC632">
        <v>75</v>
      </c>
      <c r="BD632" t="s">
        <v>74</v>
      </c>
      <c r="BE632" t="s">
        <v>12312</v>
      </c>
      <c r="BF632" t="str">
        <f>HYPERLINK("http://dx.doi.org/10.1007/s13131-017-1020-4","http://dx.doi.org/10.1007/s13131-017-1020-4")</f>
        <v>http://dx.doi.org/10.1007/s13131-017-1020-4</v>
      </c>
      <c r="BG632" t="s">
        <v>74</v>
      </c>
      <c r="BH632" t="s">
        <v>74</v>
      </c>
      <c r="BI632">
        <v>10</v>
      </c>
      <c r="BJ632" t="s">
        <v>1459</v>
      </c>
      <c r="BK632" t="s">
        <v>101</v>
      </c>
      <c r="BL632" t="s">
        <v>1459</v>
      </c>
      <c r="BM632" t="s">
        <v>12313</v>
      </c>
      <c r="BN632" t="s">
        <v>74</v>
      </c>
      <c r="BO632" t="s">
        <v>74</v>
      </c>
      <c r="BP632" t="s">
        <v>74</v>
      </c>
      <c r="BQ632" t="s">
        <v>74</v>
      </c>
      <c r="BR632" t="s">
        <v>105</v>
      </c>
      <c r="BS632" t="s">
        <v>12314</v>
      </c>
      <c r="BT632" t="str">
        <f>HYPERLINK("https%3A%2F%2Fwww.webofscience.com%2Fwos%2Fwoscc%2Ffull-record%2FWOS:000406437400008","View Full Record in Web of Science")</f>
        <v>View Full Record in Web of Science</v>
      </c>
    </row>
    <row r="633" spans="1:72" x14ac:dyDescent="0.15">
      <c r="A633" t="s">
        <v>72</v>
      </c>
      <c r="B633" t="s">
        <v>12315</v>
      </c>
      <c r="C633" t="s">
        <v>74</v>
      </c>
      <c r="D633" t="s">
        <v>74</v>
      </c>
      <c r="E633" t="s">
        <v>74</v>
      </c>
      <c r="F633" t="s">
        <v>12316</v>
      </c>
      <c r="G633" t="s">
        <v>74</v>
      </c>
      <c r="H633" t="s">
        <v>74</v>
      </c>
      <c r="I633" t="s">
        <v>12317</v>
      </c>
      <c r="J633" t="s">
        <v>12295</v>
      </c>
      <c r="K633" t="s">
        <v>74</v>
      </c>
      <c r="L633" t="s">
        <v>74</v>
      </c>
      <c r="M633" t="s">
        <v>78</v>
      </c>
      <c r="N633" t="s">
        <v>79</v>
      </c>
      <c r="O633" t="s">
        <v>74</v>
      </c>
      <c r="P633" t="s">
        <v>74</v>
      </c>
      <c r="Q633" t="s">
        <v>74</v>
      </c>
      <c r="R633" t="s">
        <v>74</v>
      </c>
      <c r="S633" t="s">
        <v>74</v>
      </c>
      <c r="T633" t="s">
        <v>12318</v>
      </c>
      <c r="U633" t="s">
        <v>12319</v>
      </c>
      <c r="V633" t="s">
        <v>12320</v>
      </c>
      <c r="W633" t="s">
        <v>12321</v>
      </c>
      <c r="X633" t="s">
        <v>12322</v>
      </c>
      <c r="Y633" t="s">
        <v>12323</v>
      </c>
      <c r="Z633" t="s">
        <v>12324</v>
      </c>
      <c r="AA633" t="s">
        <v>74</v>
      </c>
      <c r="AB633" t="s">
        <v>74</v>
      </c>
      <c r="AC633" t="s">
        <v>12325</v>
      </c>
      <c r="AD633" t="s">
        <v>12326</v>
      </c>
      <c r="AE633" t="s">
        <v>12327</v>
      </c>
      <c r="AF633" t="s">
        <v>74</v>
      </c>
      <c r="AG633">
        <v>15</v>
      </c>
      <c r="AH633">
        <v>3</v>
      </c>
      <c r="AI633">
        <v>6</v>
      </c>
      <c r="AJ633">
        <v>0</v>
      </c>
      <c r="AK633">
        <v>12</v>
      </c>
      <c r="AL633" t="s">
        <v>208</v>
      </c>
      <c r="AM633" t="s">
        <v>209</v>
      </c>
      <c r="AN633" t="s">
        <v>210</v>
      </c>
      <c r="AO633" t="s">
        <v>12308</v>
      </c>
      <c r="AP633" t="s">
        <v>12309</v>
      </c>
      <c r="AQ633" t="s">
        <v>74</v>
      </c>
      <c r="AR633" t="s">
        <v>12310</v>
      </c>
      <c r="AS633" t="s">
        <v>12311</v>
      </c>
      <c r="AT633" t="s">
        <v>10370</v>
      </c>
      <c r="AU633">
        <v>2017</v>
      </c>
      <c r="AV633">
        <v>36</v>
      </c>
      <c r="AW633">
        <v>8</v>
      </c>
      <c r="AX633" t="s">
        <v>74</v>
      </c>
      <c r="AY633" t="s">
        <v>74</v>
      </c>
      <c r="AZ633" t="s">
        <v>74</v>
      </c>
      <c r="BA633" t="s">
        <v>74</v>
      </c>
      <c r="BB633">
        <v>76</v>
      </c>
      <c r="BC633">
        <v>83</v>
      </c>
      <c r="BD633" t="s">
        <v>74</v>
      </c>
      <c r="BE633" t="s">
        <v>12328</v>
      </c>
      <c r="BF633" t="str">
        <f>HYPERLINK("http://dx.doi.org/10.1007/s13131-017-1022-2","http://dx.doi.org/10.1007/s13131-017-1022-2")</f>
        <v>http://dx.doi.org/10.1007/s13131-017-1022-2</v>
      </c>
      <c r="BG633" t="s">
        <v>74</v>
      </c>
      <c r="BH633" t="s">
        <v>74</v>
      </c>
      <c r="BI633">
        <v>8</v>
      </c>
      <c r="BJ633" t="s">
        <v>1459</v>
      </c>
      <c r="BK633" t="s">
        <v>101</v>
      </c>
      <c r="BL633" t="s">
        <v>1459</v>
      </c>
      <c r="BM633" t="s">
        <v>12313</v>
      </c>
      <c r="BN633" t="s">
        <v>74</v>
      </c>
      <c r="BO633" t="s">
        <v>74</v>
      </c>
      <c r="BP633" t="s">
        <v>74</v>
      </c>
      <c r="BQ633" t="s">
        <v>74</v>
      </c>
      <c r="BR633" t="s">
        <v>105</v>
      </c>
      <c r="BS633" t="s">
        <v>12329</v>
      </c>
      <c r="BT633" t="str">
        <f>HYPERLINK("https%3A%2F%2Fwww.webofscience.com%2Fwos%2Fwoscc%2Ffull-record%2FWOS:000406437400009","View Full Record in Web of Science")</f>
        <v>View Full Record in Web of Science</v>
      </c>
    </row>
    <row r="634" spans="1:72" x14ac:dyDescent="0.15">
      <c r="A634" t="s">
        <v>72</v>
      </c>
      <c r="B634" t="s">
        <v>12330</v>
      </c>
      <c r="C634" t="s">
        <v>74</v>
      </c>
      <c r="D634" t="s">
        <v>74</v>
      </c>
      <c r="E634" t="s">
        <v>74</v>
      </c>
      <c r="F634" t="s">
        <v>12331</v>
      </c>
      <c r="G634" t="s">
        <v>74</v>
      </c>
      <c r="H634" t="s">
        <v>74</v>
      </c>
      <c r="I634" t="s">
        <v>12332</v>
      </c>
      <c r="J634" t="s">
        <v>12295</v>
      </c>
      <c r="K634" t="s">
        <v>74</v>
      </c>
      <c r="L634" t="s">
        <v>74</v>
      </c>
      <c r="M634" t="s">
        <v>78</v>
      </c>
      <c r="N634" t="s">
        <v>79</v>
      </c>
      <c r="O634" t="s">
        <v>74</v>
      </c>
      <c r="P634" t="s">
        <v>74</v>
      </c>
      <c r="Q634" t="s">
        <v>74</v>
      </c>
      <c r="R634" t="s">
        <v>74</v>
      </c>
      <c r="S634" t="s">
        <v>74</v>
      </c>
      <c r="T634" t="s">
        <v>12333</v>
      </c>
      <c r="U634" t="s">
        <v>12334</v>
      </c>
      <c r="V634" t="s">
        <v>12335</v>
      </c>
      <c r="W634" t="s">
        <v>12336</v>
      </c>
      <c r="X634" t="s">
        <v>12337</v>
      </c>
      <c r="Y634" t="s">
        <v>12338</v>
      </c>
      <c r="Z634" t="s">
        <v>12339</v>
      </c>
      <c r="AA634" t="s">
        <v>12340</v>
      </c>
      <c r="AB634" t="s">
        <v>12341</v>
      </c>
      <c r="AC634" t="s">
        <v>12342</v>
      </c>
      <c r="AD634" t="s">
        <v>12343</v>
      </c>
      <c r="AE634" t="s">
        <v>12344</v>
      </c>
      <c r="AF634" t="s">
        <v>74</v>
      </c>
      <c r="AG634">
        <v>45</v>
      </c>
      <c r="AH634">
        <v>2</v>
      </c>
      <c r="AI634">
        <v>3</v>
      </c>
      <c r="AJ634">
        <v>0</v>
      </c>
      <c r="AK634">
        <v>16</v>
      </c>
      <c r="AL634" t="s">
        <v>208</v>
      </c>
      <c r="AM634" t="s">
        <v>209</v>
      </c>
      <c r="AN634" t="s">
        <v>210</v>
      </c>
      <c r="AO634" t="s">
        <v>12308</v>
      </c>
      <c r="AP634" t="s">
        <v>12309</v>
      </c>
      <c r="AQ634" t="s">
        <v>74</v>
      </c>
      <c r="AR634" t="s">
        <v>12310</v>
      </c>
      <c r="AS634" t="s">
        <v>12311</v>
      </c>
      <c r="AT634" t="s">
        <v>10370</v>
      </c>
      <c r="AU634">
        <v>2017</v>
      </c>
      <c r="AV634">
        <v>36</v>
      </c>
      <c r="AW634">
        <v>8</v>
      </c>
      <c r="AX634" t="s">
        <v>74</v>
      </c>
      <c r="AY634" t="s">
        <v>74</v>
      </c>
      <c r="AZ634" t="s">
        <v>74</v>
      </c>
      <c r="BA634" t="s">
        <v>74</v>
      </c>
      <c r="BB634">
        <v>94</v>
      </c>
      <c r="BC634">
        <v>100</v>
      </c>
      <c r="BD634" t="s">
        <v>74</v>
      </c>
      <c r="BE634" t="s">
        <v>12345</v>
      </c>
      <c r="BF634" t="str">
        <f>HYPERLINK("http://dx.doi.org/10.1007/s13131-017-1028-9","http://dx.doi.org/10.1007/s13131-017-1028-9")</f>
        <v>http://dx.doi.org/10.1007/s13131-017-1028-9</v>
      </c>
      <c r="BG634" t="s">
        <v>74</v>
      </c>
      <c r="BH634" t="s">
        <v>74</v>
      </c>
      <c r="BI634">
        <v>7</v>
      </c>
      <c r="BJ634" t="s">
        <v>1459</v>
      </c>
      <c r="BK634" t="s">
        <v>101</v>
      </c>
      <c r="BL634" t="s">
        <v>1459</v>
      </c>
      <c r="BM634" t="s">
        <v>12313</v>
      </c>
      <c r="BN634" t="s">
        <v>74</v>
      </c>
      <c r="BO634" t="s">
        <v>74</v>
      </c>
      <c r="BP634" t="s">
        <v>74</v>
      </c>
      <c r="BQ634" t="s">
        <v>74</v>
      </c>
      <c r="BR634" t="s">
        <v>105</v>
      </c>
      <c r="BS634" t="s">
        <v>12346</v>
      </c>
      <c r="BT634" t="str">
        <f>HYPERLINK("https%3A%2F%2Fwww.webofscience.com%2Fwos%2Fwoscc%2Ffull-record%2FWOS:000406437400011","View Full Record in Web of Science")</f>
        <v>View Full Record in Web of Science</v>
      </c>
    </row>
    <row r="635" spans="1:72" x14ac:dyDescent="0.15">
      <c r="A635" t="s">
        <v>72</v>
      </c>
      <c r="B635" t="s">
        <v>12347</v>
      </c>
      <c r="C635" t="s">
        <v>74</v>
      </c>
      <c r="D635" t="s">
        <v>74</v>
      </c>
      <c r="E635" t="s">
        <v>74</v>
      </c>
      <c r="F635" t="s">
        <v>12348</v>
      </c>
      <c r="G635" t="s">
        <v>74</v>
      </c>
      <c r="H635" t="s">
        <v>74</v>
      </c>
      <c r="I635" t="s">
        <v>12349</v>
      </c>
      <c r="J635" t="s">
        <v>2406</v>
      </c>
      <c r="K635" t="s">
        <v>74</v>
      </c>
      <c r="L635" t="s">
        <v>74</v>
      </c>
      <c r="M635" t="s">
        <v>78</v>
      </c>
      <c r="N635" t="s">
        <v>79</v>
      </c>
      <c r="O635" t="s">
        <v>74</v>
      </c>
      <c r="P635" t="s">
        <v>74</v>
      </c>
      <c r="Q635" t="s">
        <v>74</v>
      </c>
      <c r="R635" t="s">
        <v>74</v>
      </c>
      <c r="S635" t="s">
        <v>74</v>
      </c>
      <c r="T635" t="s">
        <v>74</v>
      </c>
      <c r="U635" t="s">
        <v>12350</v>
      </c>
      <c r="V635" t="s">
        <v>12351</v>
      </c>
      <c r="W635" t="s">
        <v>12352</v>
      </c>
      <c r="X635" t="s">
        <v>4340</v>
      </c>
      <c r="Y635" t="s">
        <v>12353</v>
      </c>
      <c r="Z635" t="s">
        <v>12354</v>
      </c>
      <c r="AA635" t="s">
        <v>6730</v>
      </c>
      <c r="AB635" t="s">
        <v>12355</v>
      </c>
      <c r="AC635" t="s">
        <v>12356</v>
      </c>
      <c r="AD635" t="s">
        <v>12357</v>
      </c>
      <c r="AE635" t="s">
        <v>12358</v>
      </c>
      <c r="AF635" t="s">
        <v>74</v>
      </c>
      <c r="AG635">
        <v>48</v>
      </c>
      <c r="AH635">
        <v>108</v>
      </c>
      <c r="AI635">
        <v>120</v>
      </c>
      <c r="AJ635">
        <v>4</v>
      </c>
      <c r="AK635">
        <v>28</v>
      </c>
      <c r="AL635" t="s">
        <v>1366</v>
      </c>
      <c r="AM635" t="s">
        <v>1367</v>
      </c>
      <c r="AN635" t="s">
        <v>1574</v>
      </c>
      <c r="AO635" t="s">
        <v>2418</v>
      </c>
      <c r="AP635" t="s">
        <v>2419</v>
      </c>
      <c r="AQ635" t="s">
        <v>74</v>
      </c>
      <c r="AR635" t="s">
        <v>2420</v>
      </c>
      <c r="AS635" t="s">
        <v>2421</v>
      </c>
      <c r="AT635" t="s">
        <v>10370</v>
      </c>
      <c r="AU635">
        <v>2017</v>
      </c>
      <c r="AV635">
        <v>30</v>
      </c>
      <c r="AW635">
        <v>16</v>
      </c>
      <c r="AX635" t="s">
        <v>74</v>
      </c>
      <c r="AY635" t="s">
        <v>74</v>
      </c>
      <c r="AZ635" t="s">
        <v>74</v>
      </c>
      <c r="BA635" t="s">
        <v>74</v>
      </c>
      <c r="BB635">
        <v>6265</v>
      </c>
      <c r="BC635">
        <v>6278</v>
      </c>
      <c r="BD635" t="s">
        <v>74</v>
      </c>
      <c r="BE635" t="s">
        <v>12359</v>
      </c>
      <c r="BF635" t="str">
        <f>HYPERLINK("http://dx.doi.org/10.1175/JCLI-D-16-0455.1","http://dx.doi.org/10.1175/JCLI-D-16-0455.1")</f>
        <v>http://dx.doi.org/10.1175/JCLI-D-16-0455.1</v>
      </c>
      <c r="BG635" t="s">
        <v>74</v>
      </c>
      <c r="BH635" t="s">
        <v>74</v>
      </c>
      <c r="BI635">
        <v>14</v>
      </c>
      <c r="BJ635" t="s">
        <v>162</v>
      </c>
      <c r="BK635" t="s">
        <v>101</v>
      </c>
      <c r="BL635" t="s">
        <v>162</v>
      </c>
      <c r="BM635" t="s">
        <v>12222</v>
      </c>
      <c r="BN635" t="s">
        <v>74</v>
      </c>
      <c r="BO635" t="s">
        <v>699</v>
      </c>
      <c r="BP635" t="s">
        <v>74</v>
      </c>
      <c r="BQ635" t="s">
        <v>74</v>
      </c>
      <c r="BR635" t="s">
        <v>105</v>
      </c>
      <c r="BS635" t="s">
        <v>12360</v>
      </c>
      <c r="BT635" t="str">
        <f>HYPERLINK("https%3A%2F%2Fwww.webofscience.com%2Fwos%2Fwoscc%2Ffull-record%2FWOS:000406040200012","View Full Record in Web of Science")</f>
        <v>View Full Record in Web of Science</v>
      </c>
    </row>
    <row r="636" spans="1:72" x14ac:dyDescent="0.15">
      <c r="A636" t="s">
        <v>72</v>
      </c>
      <c r="B636" t="s">
        <v>12361</v>
      </c>
      <c r="C636" t="s">
        <v>74</v>
      </c>
      <c r="D636" t="s">
        <v>74</v>
      </c>
      <c r="E636" t="s">
        <v>74</v>
      </c>
      <c r="F636" t="s">
        <v>12362</v>
      </c>
      <c r="G636" t="s">
        <v>74</v>
      </c>
      <c r="H636" t="s">
        <v>74</v>
      </c>
      <c r="I636" t="s">
        <v>12363</v>
      </c>
      <c r="J636" t="s">
        <v>2406</v>
      </c>
      <c r="K636" t="s">
        <v>74</v>
      </c>
      <c r="L636" t="s">
        <v>74</v>
      </c>
      <c r="M636" t="s">
        <v>78</v>
      </c>
      <c r="N636" t="s">
        <v>79</v>
      </c>
      <c r="O636" t="s">
        <v>74</v>
      </c>
      <c r="P636" t="s">
        <v>74</v>
      </c>
      <c r="Q636" t="s">
        <v>74</v>
      </c>
      <c r="R636" t="s">
        <v>74</v>
      </c>
      <c r="S636" t="s">
        <v>74</v>
      </c>
      <c r="T636" t="s">
        <v>74</v>
      </c>
      <c r="U636" t="s">
        <v>12364</v>
      </c>
      <c r="V636" t="s">
        <v>12365</v>
      </c>
      <c r="W636" t="s">
        <v>12366</v>
      </c>
      <c r="X636" t="s">
        <v>12367</v>
      </c>
      <c r="Y636" t="s">
        <v>12368</v>
      </c>
      <c r="Z636" t="s">
        <v>12369</v>
      </c>
      <c r="AA636" t="s">
        <v>12370</v>
      </c>
      <c r="AB636" t="s">
        <v>12371</v>
      </c>
      <c r="AC636" t="s">
        <v>12372</v>
      </c>
      <c r="AD636" t="s">
        <v>9659</v>
      </c>
      <c r="AE636" t="s">
        <v>12373</v>
      </c>
      <c r="AF636" t="s">
        <v>74</v>
      </c>
      <c r="AG636">
        <v>81</v>
      </c>
      <c r="AH636">
        <v>22</v>
      </c>
      <c r="AI636">
        <v>23</v>
      </c>
      <c r="AJ636">
        <v>0</v>
      </c>
      <c r="AK636">
        <v>16</v>
      </c>
      <c r="AL636" t="s">
        <v>1366</v>
      </c>
      <c r="AM636" t="s">
        <v>1367</v>
      </c>
      <c r="AN636" t="s">
        <v>1368</v>
      </c>
      <c r="AO636" t="s">
        <v>2418</v>
      </c>
      <c r="AP636" t="s">
        <v>2419</v>
      </c>
      <c r="AQ636" t="s">
        <v>74</v>
      </c>
      <c r="AR636" t="s">
        <v>2420</v>
      </c>
      <c r="AS636" t="s">
        <v>2421</v>
      </c>
      <c r="AT636" t="s">
        <v>10370</v>
      </c>
      <c r="AU636">
        <v>2017</v>
      </c>
      <c r="AV636">
        <v>30</v>
      </c>
      <c r="AW636">
        <v>16</v>
      </c>
      <c r="AX636" t="s">
        <v>74</v>
      </c>
      <c r="AY636" t="s">
        <v>74</v>
      </c>
      <c r="AZ636" t="s">
        <v>74</v>
      </c>
      <c r="BA636" t="s">
        <v>74</v>
      </c>
      <c r="BB636">
        <v>6371</v>
      </c>
      <c r="BC636">
        <v>6389</v>
      </c>
      <c r="BD636" t="s">
        <v>74</v>
      </c>
      <c r="BE636" t="s">
        <v>12374</v>
      </c>
      <c r="BF636" t="str">
        <f>HYPERLINK("http://dx.doi.org/10.1175/JCLI-D-16-0646.1","http://dx.doi.org/10.1175/JCLI-D-16-0646.1")</f>
        <v>http://dx.doi.org/10.1175/JCLI-D-16-0646.1</v>
      </c>
      <c r="BG636" t="s">
        <v>74</v>
      </c>
      <c r="BH636" t="s">
        <v>74</v>
      </c>
      <c r="BI636">
        <v>19</v>
      </c>
      <c r="BJ636" t="s">
        <v>162</v>
      </c>
      <c r="BK636" t="s">
        <v>101</v>
      </c>
      <c r="BL636" t="s">
        <v>162</v>
      </c>
      <c r="BM636" t="s">
        <v>12222</v>
      </c>
      <c r="BN636" t="s">
        <v>74</v>
      </c>
      <c r="BO636" t="s">
        <v>529</v>
      </c>
      <c r="BP636" t="s">
        <v>74</v>
      </c>
      <c r="BQ636" t="s">
        <v>74</v>
      </c>
      <c r="BR636" t="s">
        <v>105</v>
      </c>
      <c r="BS636" t="s">
        <v>12375</v>
      </c>
      <c r="BT636" t="str">
        <f>HYPERLINK("https%3A%2F%2Fwww.webofscience.com%2Fwos%2Fwoscc%2Ffull-record%2FWOS:000406040200018","View Full Record in Web of Science")</f>
        <v>View Full Record in Web of Science</v>
      </c>
    </row>
    <row r="637" spans="1:72" x14ac:dyDescent="0.15">
      <c r="A637" t="s">
        <v>72</v>
      </c>
      <c r="B637" t="s">
        <v>12376</v>
      </c>
      <c r="C637" t="s">
        <v>74</v>
      </c>
      <c r="D637" t="s">
        <v>74</v>
      </c>
      <c r="E637" t="s">
        <v>74</v>
      </c>
      <c r="F637" t="s">
        <v>12377</v>
      </c>
      <c r="G637" t="s">
        <v>74</v>
      </c>
      <c r="H637" t="s">
        <v>74</v>
      </c>
      <c r="I637" t="s">
        <v>12378</v>
      </c>
      <c r="J637" t="s">
        <v>11533</v>
      </c>
      <c r="K637" t="s">
        <v>74</v>
      </c>
      <c r="L637" t="s">
        <v>74</v>
      </c>
      <c r="M637" t="s">
        <v>78</v>
      </c>
      <c r="N637" t="s">
        <v>79</v>
      </c>
      <c r="O637" t="s">
        <v>74</v>
      </c>
      <c r="P637" t="s">
        <v>74</v>
      </c>
      <c r="Q637" t="s">
        <v>74</v>
      </c>
      <c r="R637" t="s">
        <v>74</v>
      </c>
      <c r="S637" t="s">
        <v>74</v>
      </c>
      <c r="T637" t="s">
        <v>12379</v>
      </c>
      <c r="U637" t="s">
        <v>12380</v>
      </c>
      <c r="V637" t="s">
        <v>12381</v>
      </c>
      <c r="W637" t="s">
        <v>12382</v>
      </c>
      <c r="X637" t="s">
        <v>12383</v>
      </c>
      <c r="Y637" t="s">
        <v>12384</v>
      </c>
      <c r="Z637" t="s">
        <v>12385</v>
      </c>
      <c r="AA637" t="s">
        <v>12386</v>
      </c>
      <c r="AB637" t="s">
        <v>12387</v>
      </c>
      <c r="AC637" t="s">
        <v>12388</v>
      </c>
      <c r="AD637" t="s">
        <v>12389</v>
      </c>
      <c r="AE637" t="s">
        <v>12390</v>
      </c>
      <c r="AF637" t="s">
        <v>74</v>
      </c>
      <c r="AG637">
        <v>47</v>
      </c>
      <c r="AH637">
        <v>20</v>
      </c>
      <c r="AI637">
        <v>20</v>
      </c>
      <c r="AJ637">
        <v>3</v>
      </c>
      <c r="AK637">
        <v>19</v>
      </c>
      <c r="AL637" t="s">
        <v>1981</v>
      </c>
      <c r="AM637" t="s">
        <v>729</v>
      </c>
      <c r="AN637" t="s">
        <v>1982</v>
      </c>
      <c r="AO637" t="s">
        <v>11546</v>
      </c>
      <c r="AP637" t="s">
        <v>74</v>
      </c>
      <c r="AQ637" t="s">
        <v>74</v>
      </c>
      <c r="AR637" t="s">
        <v>11547</v>
      </c>
      <c r="AS637" t="s">
        <v>11548</v>
      </c>
      <c r="AT637" t="s">
        <v>10370</v>
      </c>
      <c r="AU637">
        <v>2017</v>
      </c>
      <c r="AV637">
        <v>68</v>
      </c>
      <c r="AW637" t="s">
        <v>74</v>
      </c>
      <c r="AX637" t="s">
        <v>12037</v>
      </c>
      <c r="AY637" t="s">
        <v>74</v>
      </c>
      <c r="AZ637" t="s">
        <v>74</v>
      </c>
      <c r="BA637" t="s">
        <v>74</v>
      </c>
      <c r="BB637">
        <v>119</v>
      </c>
      <c r="BC637">
        <v>127</v>
      </c>
      <c r="BD637" t="s">
        <v>74</v>
      </c>
      <c r="BE637" t="s">
        <v>12391</v>
      </c>
      <c r="BF637" t="str">
        <f>HYPERLINK("http://dx.doi.org/10.1016/j.jtherbio.2017.02.013","http://dx.doi.org/10.1016/j.jtherbio.2017.02.013")</f>
        <v>http://dx.doi.org/10.1016/j.jtherbio.2017.02.013</v>
      </c>
      <c r="BG637" t="s">
        <v>74</v>
      </c>
      <c r="BH637" t="s">
        <v>74</v>
      </c>
      <c r="BI637">
        <v>9</v>
      </c>
      <c r="BJ637" t="s">
        <v>11550</v>
      </c>
      <c r="BK637" t="s">
        <v>101</v>
      </c>
      <c r="BL637" t="s">
        <v>11551</v>
      </c>
      <c r="BM637" t="s">
        <v>12392</v>
      </c>
      <c r="BN637">
        <v>28689713</v>
      </c>
      <c r="BO637" t="s">
        <v>74</v>
      </c>
      <c r="BP637" t="s">
        <v>74</v>
      </c>
      <c r="BQ637" t="s">
        <v>74</v>
      </c>
      <c r="BR637" t="s">
        <v>105</v>
      </c>
      <c r="BS637" t="s">
        <v>12393</v>
      </c>
      <c r="BT637" t="str">
        <f>HYPERLINK("https%3A%2F%2Fwww.webofscience.com%2Fwos%2Fwoscc%2Ffull-record%2FWOS:000405976100016","View Full Record in Web of Science")</f>
        <v>View Full Record in Web of Science</v>
      </c>
    </row>
    <row r="638" spans="1:72" x14ac:dyDescent="0.15">
      <c r="A638" t="s">
        <v>72</v>
      </c>
      <c r="B638" t="s">
        <v>12394</v>
      </c>
      <c r="C638" t="s">
        <v>74</v>
      </c>
      <c r="D638" t="s">
        <v>74</v>
      </c>
      <c r="E638" t="s">
        <v>74</v>
      </c>
      <c r="F638" t="s">
        <v>12395</v>
      </c>
      <c r="G638" t="s">
        <v>74</v>
      </c>
      <c r="H638" t="s">
        <v>74</v>
      </c>
      <c r="I638" t="s">
        <v>12396</v>
      </c>
      <c r="J638" t="s">
        <v>12397</v>
      </c>
      <c r="K638" t="s">
        <v>74</v>
      </c>
      <c r="L638" t="s">
        <v>74</v>
      </c>
      <c r="M638" t="s">
        <v>78</v>
      </c>
      <c r="N638" t="s">
        <v>79</v>
      </c>
      <c r="O638" t="s">
        <v>74</v>
      </c>
      <c r="P638" t="s">
        <v>74</v>
      </c>
      <c r="Q638" t="s">
        <v>74</v>
      </c>
      <c r="R638" t="s">
        <v>74</v>
      </c>
      <c r="S638" t="s">
        <v>74</v>
      </c>
      <c r="T638" t="s">
        <v>12398</v>
      </c>
      <c r="U638" t="s">
        <v>12399</v>
      </c>
      <c r="V638" t="s">
        <v>12400</v>
      </c>
      <c r="W638" t="s">
        <v>12401</v>
      </c>
      <c r="X638" t="s">
        <v>12402</v>
      </c>
      <c r="Y638" t="s">
        <v>12403</v>
      </c>
      <c r="Z638" t="s">
        <v>12404</v>
      </c>
      <c r="AA638" t="s">
        <v>74</v>
      </c>
      <c r="AB638" t="s">
        <v>12405</v>
      </c>
      <c r="AC638" t="s">
        <v>12406</v>
      </c>
      <c r="AD638" t="s">
        <v>12406</v>
      </c>
      <c r="AE638" t="s">
        <v>12407</v>
      </c>
      <c r="AF638" t="s">
        <v>74</v>
      </c>
      <c r="AG638">
        <v>14</v>
      </c>
      <c r="AH638">
        <v>2</v>
      </c>
      <c r="AI638">
        <v>2</v>
      </c>
      <c r="AJ638">
        <v>0</v>
      </c>
      <c r="AK638">
        <v>7</v>
      </c>
      <c r="AL638" t="s">
        <v>12408</v>
      </c>
      <c r="AM638" t="s">
        <v>12409</v>
      </c>
      <c r="AN638" t="s">
        <v>12410</v>
      </c>
      <c r="AO638" t="s">
        <v>12411</v>
      </c>
      <c r="AP638" t="s">
        <v>12412</v>
      </c>
      <c r="AQ638" t="s">
        <v>74</v>
      </c>
      <c r="AR638" t="s">
        <v>12413</v>
      </c>
      <c r="AS638" t="s">
        <v>12414</v>
      </c>
      <c r="AT638" t="s">
        <v>10370</v>
      </c>
      <c r="AU638">
        <v>2017</v>
      </c>
      <c r="AV638">
        <v>88</v>
      </c>
      <c r="AW638">
        <v>8</v>
      </c>
      <c r="AX638" t="s">
        <v>74</v>
      </c>
      <c r="AY638" t="s">
        <v>74</v>
      </c>
      <c r="AZ638" t="s">
        <v>74</v>
      </c>
      <c r="BA638" t="s">
        <v>74</v>
      </c>
      <c r="BB638">
        <v>784</v>
      </c>
      <c r="BC638">
        <v>788</v>
      </c>
      <c r="BD638" t="s">
        <v>74</v>
      </c>
      <c r="BE638" t="s">
        <v>12415</v>
      </c>
      <c r="BF638" t="str">
        <f>HYPERLINK("http://dx.doi.org/10.3357/AMHP.4450.2017","http://dx.doi.org/10.3357/AMHP.4450.2017")</f>
        <v>http://dx.doi.org/10.3357/AMHP.4450.2017</v>
      </c>
      <c r="BG638" t="s">
        <v>74</v>
      </c>
      <c r="BH638" t="s">
        <v>74</v>
      </c>
      <c r="BI638">
        <v>5</v>
      </c>
      <c r="BJ638" t="s">
        <v>12416</v>
      </c>
      <c r="BK638" t="s">
        <v>101</v>
      </c>
      <c r="BL638" t="s">
        <v>12417</v>
      </c>
      <c r="BM638" t="s">
        <v>12418</v>
      </c>
      <c r="BN638">
        <v>28720190</v>
      </c>
      <c r="BO638" t="s">
        <v>74</v>
      </c>
      <c r="BP638" t="s">
        <v>74</v>
      </c>
      <c r="BQ638" t="s">
        <v>74</v>
      </c>
      <c r="BR638" t="s">
        <v>105</v>
      </c>
      <c r="BS638" t="s">
        <v>12419</v>
      </c>
      <c r="BT638" t="str">
        <f>HYPERLINK("https%3A%2F%2Fwww.webofscience.com%2Fwos%2Fwoscc%2Ffull-record%2FWOS:000406066400010","View Full Record in Web of Science")</f>
        <v>View Full Record in Web of Science</v>
      </c>
    </row>
    <row r="639" spans="1:72" x14ac:dyDescent="0.15">
      <c r="A639" t="s">
        <v>72</v>
      </c>
      <c r="B639" t="s">
        <v>12420</v>
      </c>
      <c r="C639" t="s">
        <v>74</v>
      </c>
      <c r="D639" t="s">
        <v>74</v>
      </c>
      <c r="E639" t="s">
        <v>74</v>
      </c>
      <c r="F639" t="s">
        <v>12421</v>
      </c>
      <c r="G639" t="s">
        <v>74</v>
      </c>
      <c r="H639" t="s">
        <v>74</v>
      </c>
      <c r="I639" t="s">
        <v>12422</v>
      </c>
      <c r="J639" t="s">
        <v>10616</v>
      </c>
      <c r="K639" t="s">
        <v>74</v>
      </c>
      <c r="L639" t="s">
        <v>74</v>
      </c>
      <c r="M639" t="s">
        <v>78</v>
      </c>
      <c r="N639" t="s">
        <v>273</v>
      </c>
      <c r="O639" t="s">
        <v>74</v>
      </c>
      <c r="P639" t="s">
        <v>74</v>
      </c>
      <c r="Q639" t="s">
        <v>74</v>
      </c>
      <c r="R639" t="s">
        <v>74</v>
      </c>
      <c r="S639" t="s">
        <v>74</v>
      </c>
      <c r="T639" t="s">
        <v>12423</v>
      </c>
      <c r="U639" t="s">
        <v>12424</v>
      </c>
      <c r="V639" t="s">
        <v>12425</v>
      </c>
      <c r="W639" t="s">
        <v>12426</v>
      </c>
      <c r="X639" t="s">
        <v>12427</v>
      </c>
      <c r="Y639" t="s">
        <v>12428</v>
      </c>
      <c r="Z639" t="s">
        <v>12429</v>
      </c>
      <c r="AA639" t="s">
        <v>12430</v>
      </c>
      <c r="AB639" t="s">
        <v>12431</v>
      </c>
      <c r="AC639" t="s">
        <v>74</v>
      </c>
      <c r="AD639" t="s">
        <v>74</v>
      </c>
      <c r="AE639" t="s">
        <v>74</v>
      </c>
      <c r="AF639" t="s">
        <v>74</v>
      </c>
      <c r="AG639">
        <v>500</v>
      </c>
      <c r="AH639">
        <v>39</v>
      </c>
      <c r="AI639">
        <v>42</v>
      </c>
      <c r="AJ639">
        <v>6</v>
      </c>
      <c r="AK639">
        <v>44</v>
      </c>
      <c r="AL639" t="s">
        <v>208</v>
      </c>
      <c r="AM639" t="s">
        <v>209</v>
      </c>
      <c r="AN639" t="s">
        <v>210</v>
      </c>
      <c r="AO639" t="s">
        <v>10628</v>
      </c>
      <c r="AP639" t="s">
        <v>74</v>
      </c>
      <c r="AQ639" t="s">
        <v>74</v>
      </c>
      <c r="AR639" t="s">
        <v>10629</v>
      </c>
      <c r="AS639" t="s">
        <v>10630</v>
      </c>
      <c r="AT639" t="s">
        <v>10370</v>
      </c>
      <c r="AU639">
        <v>2017</v>
      </c>
      <c r="AV639">
        <v>45</v>
      </c>
      <c r="AW639">
        <v>2</v>
      </c>
      <c r="AX639" t="s">
        <v>74</v>
      </c>
      <c r="AY639" t="s">
        <v>74</v>
      </c>
      <c r="AZ639" t="s">
        <v>74</v>
      </c>
      <c r="BA639" t="s">
        <v>74</v>
      </c>
      <c r="BB639">
        <v>179</v>
      </c>
      <c r="BC639">
        <v>241</v>
      </c>
      <c r="BD639" t="s">
        <v>74</v>
      </c>
      <c r="BE639" t="s">
        <v>12432</v>
      </c>
      <c r="BF639" t="str">
        <f>HYPERLINK("http://dx.doi.org/10.1007/s40857-017-0101-z","http://dx.doi.org/10.1007/s40857-017-0101-z")</f>
        <v>http://dx.doi.org/10.1007/s40857-017-0101-z</v>
      </c>
      <c r="BG639" t="s">
        <v>74</v>
      </c>
      <c r="BH639" t="s">
        <v>74</v>
      </c>
      <c r="BI639">
        <v>63</v>
      </c>
      <c r="BJ639" t="s">
        <v>10632</v>
      </c>
      <c r="BK639" t="s">
        <v>101</v>
      </c>
      <c r="BL639" t="s">
        <v>10632</v>
      </c>
      <c r="BM639" t="s">
        <v>10633</v>
      </c>
      <c r="BN639" t="s">
        <v>74</v>
      </c>
      <c r="BO639" t="s">
        <v>74</v>
      </c>
      <c r="BP639" t="s">
        <v>74</v>
      </c>
      <c r="BQ639" t="s">
        <v>74</v>
      </c>
      <c r="BR639" t="s">
        <v>105</v>
      </c>
      <c r="BS639" t="s">
        <v>12433</v>
      </c>
      <c r="BT639" t="str">
        <f>HYPERLINK("https%3A%2F%2Fwww.webofscience.com%2Fwos%2Fwoscc%2Ffull-record%2FWOS:000415005000006","View Full Record in Web of Science")</f>
        <v>View Full Record in Web of Science</v>
      </c>
    </row>
    <row r="640" spans="1:72" x14ac:dyDescent="0.15">
      <c r="A640" t="s">
        <v>72</v>
      </c>
      <c r="B640" t="s">
        <v>12434</v>
      </c>
      <c r="C640" t="s">
        <v>74</v>
      </c>
      <c r="D640" t="s">
        <v>74</v>
      </c>
      <c r="E640" t="s">
        <v>74</v>
      </c>
      <c r="F640" t="s">
        <v>12435</v>
      </c>
      <c r="G640" t="s">
        <v>74</v>
      </c>
      <c r="H640" t="s">
        <v>74</v>
      </c>
      <c r="I640" t="s">
        <v>12436</v>
      </c>
      <c r="J640" t="s">
        <v>1670</v>
      </c>
      <c r="K640" t="s">
        <v>74</v>
      </c>
      <c r="L640" t="s">
        <v>74</v>
      </c>
      <c r="M640" t="s">
        <v>78</v>
      </c>
      <c r="N640" t="s">
        <v>2737</v>
      </c>
      <c r="O640" t="s">
        <v>74</v>
      </c>
      <c r="P640" t="s">
        <v>74</v>
      </c>
      <c r="Q640" t="s">
        <v>74</v>
      </c>
      <c r="R640" t="s">
        <v>74</v>
      </c>
      <c r="S640" t="s">
        <v>74</v>
      </c>
      <c r="T640" t="s">
        <v>74</v>
      </c>
      <c r="U640" t="s">
        <v>74</v>
      </c>
      <c r="V640" t="s">
        <v>74</v>
      </c>
      <c r="W640" t="s">
        <v>74</v>
      </c>
      <c r="X640" t="s">
        <v>74</v>
      </c>
      <c r="Y640" t="s">
        <v>74</v>
      </c>
      <c r="Z640" t="s">
        <v>74</v>
      </c>
      <c r="AA640" t="s">
        <v>12437</v>
      </c>
      <c r="AB640" t="s">
        <v>12438</v>
      </c>
      <c r="AC640" t="s">
        <v>74</v>
      </c>
      <c r="AD640" t="s">
        <v>74</v>
      </c>
      <c r="AE640" t="s">
        <v>74</v>
      </c>
      <c r="AF640" t="s">
        <v>74</v>
      </c>
      <c r="AG640">
        <v>0</v>
      </c>
      <c r="AH640">
        <v>1</v>
      </c>
      <c r="AI640">
        <v>1</v>
      </c>
      <c r="AJ640">
        <v>0</v>
      </c>
      <c r="AK640">
        <v>6</v>
      </c>
      <c r="AL640" t="s">
        <v>1270</v>
      </c>
      <c r="AM640" t="s">
        <v>209</v>
      </c>
      <c r="AN640" t="s">
        <v>1682</v>
      </c>
      <c r="AO640" t="s">
        <v>1683</v>
      </c>
      <c r="AP640" t="s">
        <v>1684</v>
      </c>
      <c r="AQ640" t="s">
        <v>74</v>
      </c>
      <c r="AR640" t="s">
        <v>1685</v>
      </c>
      <c r="AS640" t="s">
        <v>1686</v>
      </c>
      <c r="AT640" t="s">
        <v>10370</v>
      </c>
      <c r="AU640">
        <v>2017</v>
      </c>
      <c r="AV640">
        <v>29</v>
      </c>
      <c r="AW640">
        <v>4</v>
      </c>
      <c r="AX640" t="s">
        <v>74</v>
      </c>
      <c r="AY640" t="s">
        <v>74</v>
      </c>
      <c r="AZ640" t="s">
        <v>74</v>
      </c>
      <c r="BA640" t="s">
        <v>74</v>
      </c>
      <c r="BB640">
        <v>297</v>
      </c>
      <c r="BC640">
        <v>297</v>
      </c>
      <c r="BD640" t="s">
        <v>74</v>
      </c>
      <c r="BE640" t="s">
        <v>12439</v>
      </c>
      <c r="BF640" t="str">
        <f>HYPERLINK("http://dx.doi.org/10.1017/S0954102017000232","http://dx.doi.org/10.1017/S0954102017000232")</f>
        <v>http://dx.doi.org/10.1017/S0954102017000232</v>
      </c>
      <c r="BG640" t="s">
        <v>74</v>
      </c>
      <c r="BH640" t="s">
        <v>74</v>
      </c>
      <c r="BI640">
        <v>1</v>
      </c>
      <c r="BJ640" t="s">
        <v>1688</v>
      </c>
      <c r="BK640" t="s">
        <v>101</v>
      </c>
      <c r="BL640" t="s">
        <v>1689</v>
      </c>
      <c r="BM640" t="s">
        <v>11861</v>
      </c>
      <c r="BN640" t="s">
        <v>74</v>
      </c>
      <c r="BO640" t="s">
        <v>122</v>
      </c>
      <c r="BP640" t="s">
        <v>74</v>
      </c>
      <c r="BQ640" t="s">
        <v>74</v>
      </c>
      <c r="BR640" t="s">
        <v>105</v>
      </c>
      <c r="BS640" t="s">
        <v>12440</v>
      </c>
      <c r="BT640" t="str">
        <f>HYPERLINK("https%3A%2F%2Fwww.webofscience.com%2Fwos%2Fwoscc%2Ffull-record%2FWOS:000407733900001","View Full Record in Web of Science")</f>
        <v>View Full Record in Web of Science</v>
      </c>
    </row>
    <row r="641" spans="1:72" x14ac:dyDescent="0.15">
      <c r="A641" t="s">
        <v>72</v>
      </c>
      <c r="B641" t="s">
        <v>12441</v>
      </c>
      <c r="C641" t="s">
        <v>74</v>
      </c>
      <c r="D641" t="s">
        <v>74</v>
      </c>
      <c r="E641" t="s">
        <v>74</v>
      </c>
      <c r="F641" t="s">
        <v>12442</v>
      </c>
      <c r="G641" t="s">
        <v>74</v>
      </c>
      <c r="H641" t="s">
        <v>74</v>
      </c>
      <c r="I641" t="s">
        <v>12443</v>
      </c>
      <c r="J641" t="s">
        <v>1670</v>
      </c>
      <c r="K641" t="s">
        <v>74</v>
      </c>
      <c r="L641" t="s">
        <v>74</v>
      </c>
      <c r="M641" t="s">
        <v>78</v>
      </c>
      <c r="N641" t="s">
        <v>79</v>
      </c>
      <c r="O641" t="s">
        <v>74</v>
      </c>
      <c r="P641" t="s">
        <v>74</v>
      </c>
      <c r="Q641" t="s">
        <v>74</v>
      </c>
      <c r="R641" t="s">
        <v>74</v>
      </c>
      <c r="S641" t="s">
        <v>74</v>
      </c>
      <c r="T641" t="s">
        <v>12444</v>
      </c>
      <c r="U641" t="s">
        <v>12445</v>
      </c>
      <c r="V641" t="s">
        <v>12446</v>
      </c>
      <c r="W641" t="s">
        <v>12447</v>
      </c>
      <c r="X641" t="s">
        <v>12448</v>
      </c>
      <c r="Y641" t="s">
        <v>12449</v>
      </c>
      <c r="Z641" t="s">
        <v>12450</v>
      </c>
      <c r="AA641" t="s">
        <v>74</v>
      </c>
      <c r="AB641" t="s">
        <v>74</v>
      </c>
      <c r="AC641" t="s">
        <v>12451</v>
      </c>
      <c r="AD641" t="s">
        <v>12451</v>
      </c>
      <c r="AE641" t="s">
        <v>12452</v>
      </c>
      <c r="AF641" t="s">
        <v>74</v>
      </c>
      <c r="AG641">
        <v>36</v>
      </c>
      <c r="AH641">
        <v>2</v>
      </c>
      <c r="AI641">
        <v>3</v>
      </c>
      <c r="AJ641">
        <v>0</v>
      </c>
      <c r="AK641">
        <v>3</v>
      </c>
      <c r="AL641" t="s">
        <v>1270</v>
      </c>
      <c r="AM641" t="s">
        <v>209</v>
      </c>
      <c r="AN641" t="s">
        <v>1682</v>
      </c>
      <c r="AO641" t="s">
        <v>1683</v>
      </c>
      <c r="AP641" t="s">
        <v>1684</v>
      </c>
      <c r="AQ641" t="s">
        <v>74</v>
      </c>
      <c r="AR641" t="s">
        <v>1685</v>
      </c>
      <c r="AS641" t="s">
        <v>1686</v>
      </c>
      <c r="AT641" t="s">
        <v>10370</v>
      </c>
      <c r="AU641">
        <v>2017</v>
      </c>
      <c r="AV641">
        <v>29</v>
      </c>
      <c r="AW641">
        <v>4</v>
      </c>
      <c r="AX641" t="s">
        <v>74</v>
      </c>
      <c r="AY641" t="s">
        <v>74</v>
      </c>
      <c r="AZ641" t="s">
        <v>74</v>
      </c>
      <c r="BA641" t="s">
        <v>74</v>
      </c>
      <c r="BB641">
        <v>343</v>
      </c>
      <c r="BC641">
        <v>355</v>
      </c>
      <c r="BD641" t="s">
        <v>74</v>
      </c>
      <c r="BE641" t="s">
        <v>12453</v>
      </c>
      <c r="BF641" t="str">
        <f>HYPERLINK("http://dx.doi.org/10.1017/S0954102017000013","http://dx.doi.org/10.1017/S0954102017000013")</f>
        <v>http://dx.doi.org/10.1017/S0954102017000013</v>
      </c>
      <c r="BG641" t="s">
        <v>74</v>
      </c>
      <c r="BH641" t="s">
        <v>74</v>
      </c>
      <c r="BI641">
        <v>13</v>
      </c>
      <c r="BJ641" t="s">
        <v>1688</v>
      </c>
      <c r="BK641" t="s">
        <v>101</v>
      </c>
      <c r="BL641" t="s">
        <v>1689</v>
      </c>
      <c r="BM641" t="s">
        <v>11861</v>
      </c>
      <c r="BN641" t="s">
        <v>74</v>
      </c>
      <c r="BO641" t="s">
        <v>74</v>
      </c>
      <c r="BP641" t="s">
        <v>74</v>
      </c>
      <c r="BQ641" t="s">
        <v>74</v>
      </c>
      <c r="BR641" t="s">
        <v>105</v>
      </c>
      <c r="BS641" t="s">
        <v>12454</v>
      </c>
      <c r="BT641" t="str">
        <f>HYPERLINK("https%3A%2F%2Fwww.webofscience.com%2Fwos%2Fwoscc%2Ffull-record%2FWOS:000407733900007","View Full Record in Web of Science")</f>
        <v>View Full Record in Web of Science</v>
      </c>
    </row>
    <row r="642" spans="1:72" x14ac:dyDescent="0.15">
      <c r="A642" t="s">
        <v>72</v>
      </c>
      <c r="B642" t="s">
        <v>12455</v>
      </c>
      <c r="C642" t="s">
        <v>74</v>
      </c>
      <c r="D642" t="s">
        <v>74</v>
      </c>
      <c r="E642" t="s">
        <v>74</v>
      </c>
      <c r="F642" t="s">
        <v>12456</v>
      </c>
      <c r="G642" t="s">
        <v>74</v>
      </c>
      <c r="H642" t="s">
        <v>74</v>
      </c>
      <c r="I642" t="s">
        <v>12457</v>
      </c>
      <c r="J642" t="s">
        <v>1670</v>
      </c>
      <c r="K642" t="s">
        <v>74</v>
      </c>
      <c r="L642" t="s">
        <v>74</v>
      </c>
      <c r="M642" t="s">
        <v>78</v>
      </c>
      <c r="N642" t="s">
        <v>79</v>
      </c>
      <c r="O642" t="s">
        <v>74</v>
      </c>
      <c r="P642" t="s">
        <v>74</v>
      </c>
      <c r="Q642" t="s">
        <v>74</v>
      </c>
      <c r="R642" t="s">
        <v>74</v>
      </c>
      <c r="S642" t="s">
        <v>74</v>
      </c>
      <c r="T642" t="s">
        <v>12458</v>
      </c>
      <c r="U642" t="s">
        <v>12459</v>
      </c>
      <c r="V642" t="s">
        <v>12460</v>
      </c>
      <c r="W642" t="s">
        <v>12461</v>
      </c>
      <c r="X642" t="s">
        <v>12462</v>
      </c>
      <c r="Y642" t="s">
        <v>12463</v>
      </c>
      <c r="Z642" t="s">
        <v>12464</v>
      </c>
      <c r="AA642" t="s">
        <v>12465</v>
      </c>
      <c r="AB642" t="s">
        <v>12466</v>
      </c>
      <c r="AC642" t="s">
        <v>12467</v>
      </c>
      <c r="AD642" t="s">
        <v>12468</v>
      </c>
      <c r="AE642" t="s">
        <v>12469</v>
      </c>
      <c r="AF642" t="s">
        <v>74</v>
      </c>
      <c r="AG642">
        <v>40</v>
      </c>
      <c r="AH642">
        <v>6</v>
      </c>
      <c r="AI642">
        <v>6</v>
      </c>
      <c r="AJ642">
        <v>0</v>
      </c>
      <c r="AK642">
        <v>23</v>
      </c>
      <c r="AL642" t="s">
        <v>1270</v>
      </c>
      <c r="AM642" t="s">
        <v>209</v>
      </c>
      <c r="AN642" t="s">
        <v>1682</v>
      </c>
      <c r="AO642" t="s">
        <v>1683</v>
      </c>
      <c r="AP642" t="s">
        <v>1684</v>
      </c>
      <c r="AQ642" t="s">
        <v>74</v>
      </c>
      <c r="AR642" t="s">
        <v>1685</v>
      </c>
      <c r="AS642" t="s">
        <v>1686</v>
      </c>
      <c r="AT642" t="s">
        <v>10370</v>
      </c>
      <c r="AU642">
        <v>2017</v>
      </c>
      <c r="AV642">
        <v>29</v>
      </c>
      <c r="AW642">
        <v>4</v>
      </c>
      <c r="AX642" t="s">
        <v>74</v>
      </c>
      <c r="AY642" t="s">
        <v>74</v>
      </c>
      <c r="AZ642" t="s">
        <v>74</v>
      </c>
      <c r="BA642" t="s">
        <v>74</v>
      </c>
      <c r="BB642">
        <v>369</v>
      </c>
      <c r="BC642">
        <v>381</v>
      </c>
      <c r="BD642" t="s">
        <v>74</v>
      </c>
      <c r="BE642" t="s">
        <v>12470</v>
      </c>
      <c r="BF642" t="str">
        <f>HYPERLINK("http://dx.doi.org/10.1017/S0954102016000729","http://dx.doi.org/10.1017/S0954102016000729")</f>
        <v>http://dx.doi.org/10.1017/S0954102016000729</v>
      </c>
      <c r="BG642" t="s">
        <v>74</v>
      </c>
      <c r="BH642" t="s">
        <v>74</v>
      </c>
      <c r="BI642">
        <v>13</v>
      </c>
      <c r="BJ642" t="s">
        <v>1688</v>
      </c>
      <c r="BK642" t="s">
        <v>101</v>
      </c>
      <c r="BL642" t="s">
        <v>1689</v>
      </c>
      <c r="BM642" t="s">
        <v>11861</v>
      </c>
      <c r="BN642" t="s">
        <v>74</v>
      </c>
      <c r="BO642" t="s">
        <v>74</v>
      </c>
      <c r="BP642" t="s">
        <v>74</v>
      </c>
      <c r="BQ642" t="s">
        <v>74</v>
      </c>
      <c r="BR642" t="s">
        <v>105</v>
      </c>
      <c r="BS642" t="s">
        <v>12471</v>
      </c>
      <c r="BT642" t="str">
        <f>HYPERLINK("https%3A%2F%2Fwww.webofscience.com%2Fwos%2Fwoscc%2Ffull-record%2FWOS:000407733900009","View Full Record in Web of Science")</f>
        <v>View Full Record in Web of Science</v>
      </c>
    </row>
    <row r="643" spans="1:72" x14ac:dyDescent="0.15">
      <c r="A643" t="s">
        <v>72</v>
      </c>
      <c r="B643" t="s">
        <v>12472</v>
      </c>
      <c r="C643" t="s">
        <v>74</v>
      </c>
      <c r="D643" t="s">
        <v>74</v>
      </c>
      <c r="E643" t="s">
        <v>74</v>
      </c>
      <c r="F643" t="s">
        <v>12473</v>
      </c>
      <c r="G643" t="s">
        <v>74</v>
      </c>
      <c r="H643" t="s">
        <v>74</v>
      </c>
      <c r="I643" t="s">
        <v>12474</v>
      </c>
      <c r="J643" t="s">
        <v>12475</v>
      </c>
      <c r="K643" t="s">
        <v>74</v>
      </c>
      <c r="L643" t="s">
        <v>74</v>
      </c>
      <c r="M643" t="s">
        <v>78</v>
      </c>
      <c r="N643" t="s">
        <v>79</v>
      </c>
      <c r="O643" t="s">
        <v>74</v>
      </c>
      <c r="P643" t="s">
        <v>74</v>
      </c>
      <c r="Q643" t="s">
        <v>74</v>
      </c>
      <c r="R643" t="s">
        <v>74</v>
      </c>
      <c r="S643" t="s">
        <v>74</v>
      </c>
      <c r="T643" t="s">
        <v>12476</v>
      </c>
      <c r="U643" t="s">
        <v>12477</v>
      </c>
      <c r="V643" t="s">
        <v>12478</v>
      </c>
      <c r="W643" t="s">
        <v>12479</v>
      </c>
      <c r="X643" t="s">
        <v>12480</v>
      </c>
      <c r="Y643" t="s">
        <v>12481</v>
      </c>
      <c r="Z643" t="s">
        <v>12482</v>
      </c>
      <c r="AA643" t="s">
        <v>12483</v>
      </c>
      <c r="AB643" t="s">
        <v>12484</v>
      </c>
      <c r="AC643" t="s">
        <v>12485</v>
      </c>
      <c r="AD643" t="s">
        <v>12485</v>
      </c>
      <c r="AE643" t="s">
        <v>12486</v>
      </c>
      <c r="AF643" t="s">
        <v>74</v>
      </c>
      <c r="AG643">
        <v>87</v>
      </c>
      <c r="AH643">
        <v>266</v>
      </c>
      <c r="AI643">
        <v>288</v>
      </c>
      <c r="AJ643">
        <v>30</v>
      </c>
      <c r="AK643">
        <v>503</v>
      </c>
      <c r="AL643" t="s">
        <v>502</v>
      </c>
      <c r="AM643" t="s">
        <v>372</v>
      </c>
      <c r="AN643" t="s">
        <v>503</v>
      </c>
      <c r="AO643" t="s">
        <v>12487</v>
      </c>
      <c r="AP643" t="s">
        <v>12488</v>
      </c>
      <c r="AQ643" t="s">
        <v>74</v>
      </c>
      <c r="AR643" t="s">
        <v>12489</v>
      </c>
      <c r="AS643" t="s">
        <v>12490</v>
      </c>
      <c r="AT643" t="s">
        <v>10370</v>
      </c>
      <c r="AU643">
        <v>2017</v>
      </c>
      <c r="AV643">
        <v>189</v>
      </c>
      <c r="AW643" t="s">
        <v>74</v>
      </c>
      <c r="AX643" t="s">
        <v>74</v>
      </c>
      <c r="AY643" t="s">
        <v>74</v>
      </c>
      <c r="AZ643" t="s">
        <v>74</v>
      </c>
      <c r="BA643" t="s">
        <v>74</v>
      </c>
      <c r="BB643">
        <v>159</v>
      </c>
      <c r="BC643">
        <v>169</v>
      </c>
      <c r="BD643" t="s">
        <v>74</v>
      </c>
      <c r="BE643" t="s">
        <v>12491</v>
      </c>
      <c r="BF643" t="str">
        <f>HYPERLINK("http://dx.doi.org/10.1016/j.aquatox.2017.06.008","http://dx.doi.org/10.1016/j.aquatox.2017.06.008")</f>
        <v>http://dx.doi.org/10.1016/j.aquatox.2017.06.008</v>
      </c>
      <c r="BG643" t="s">
        <v>74</v>
      </c>
      <c r="BH643" t="s">
        <v>74</v>
      </c>
      <c r="BI643">
        <v>11</v>
      </c>
      <c r="BJ643" t="s">
        <v>12492</v>
      </c>
      <c r="BK643" t="s">
        <v>101</v>
      </c>
      <c r="BL643" t="s">
        <v>12492</v>
      </c>
      <c r="BM643" t="s">
        <v>12493</v>
      </c>
      <c r="BN643">
        <v>28644993</v>
      </c>
      <c r="BO643" t="s">
        <v>2091</v>
      </c>
      <c r="BP643" t="s">
        <v>352</v>
      </c>
      <c r="BQ643" t="s">
        <v>353</v>
      </c>
      <c r="BR643" t="s">
        <v>105</v>
      </c>
      <c r="BS643" t="s">
        <v>12494</v>
      </c>
      <c r="BT643" t="str">
        <f>HYPERLINK("https%3A%2F%2Fwww.webofscience.com%2Fwos%2Fwoscc%2Ffull-record%2FWOS:000405765300018","View Full Record in Web of Science")</f>
        <v>View Full Record in Web of Science</v>
      </c>
    </row>
    <row r="644" spans="1:72" x14ac:dyDescent="0.15">
      <c r="A644" t="s">
        <v>72</v>
      </c>
      <c r="B644" t="s">
        <v>12495</v>
      </c>
      <c r="C644" t="s">
        <v>74</v>
      </c>
      <c r="D644" t="s">
        <v>74</v>
      </c>
      <c r="E644" t="s">
        <v>74</v>
      </c>
      <c r="F644" t="s">
        <v>12496</v>
      </c>
      <c r="G644" t="s">
        <v>74</v>
      </c>
      <c r="H644" t="s">
        <v>74</v>
      </c>
      <c r="I644" t="s">
        <v>12497</v>
      </c>
      <c r="J644" t="s">
        <v>11712</v>
      </c>
      <c r="K644" t="s">
        <v>74</v>
      </c>
      <c r="L644" t="s">
        <v>74</v>
      </c>
      <c r="M644" t="s">
        <v>78</v>
      </c>
      <c r="N644" t="s">
        <v>79</v>
      </c>
      <c r="O644" t="s">
        <v>74</v>
      </c>
      <c r="P644" t="s">
        <v>74</v>
      </c>
      <c r="Q644" t="s">
        <v>74</v>
      </c>
      <c r="R644" t="s">
        <v>74</v>
      </c>
      <c r="S644" t="s">
        <v>74</v>
      </c>
      <c r="T644" t="s">
        <v>74</v>
      </c>
      <c r="U644" t="s">
        <v>12498</v>
      </c>
      <c r="V644" t="s">
        <v>12499</v>
      </c>
      <c r="W644" t="s">
        <v>12500</v>
      </c>
      <c r="X644" t="s">
        <v>12501</v>
      </c>
      <c r="Y644" t="s">
        <v>12502</v>
      </c>
      <c r="Z644" t="s">
        <v>12503</v>
      </c>
      <c r="AA644" t="s">
        <v>12504</v>
      </c>
      <c r="AB644" t="s">
        <v>12505</v>
      </c>
      <c r="AC644" t="s">
        <v>12506</v>
      </c>
      <c r="AD644" t="s">
        <v>12507</v>
      </c>
      <c r="AE644" t="s">
        <v>12508</v>
      </c>
      <c r="AF644" t="s">
        <v>74</v>
      </c>
      <c r="AG644">
        <v>63</v>
      </c>
      <c r="AH644">
        <v>19</v>
      </c>
      <c r="AI644">
        <v>19</v>
      </c>
      <c r="AJ644">
        <v>1</v>
      </c>
      <c r="AK644">
        <v>23</v>
      </c>
      <c r="AL644" t="s">
        <v>1017</v>
      </c>
      <c r="AM644" t="s">
        <v>1018</v>
      </c>
      <c r="AN644" t="s">
        <v>1019</v>
      </c>
      <c r="AO644" t="s">
        <v>11726</v>
      </c>
      <c r="AP644" t="s">
        <v>11727</v>
      </c>
      <c r="AQ644" t="s">
        <v>74</v>
      </c>
      <c r="AR644" t="s">
        <v>11728</v>
      </c>
      <c r="AS644" t="s">
        <v>11729</v>
      </c>
      <c r="AT644" t="s">
        <v>10370</v>
      </c>
      <c r="AU644">
        <v>2017</v>
      </c>
      <c r="AV644">
        <v>49</v>
      </c>
      <c r="AW644">
        <v>3</v>
      </c>
      <c r="AX644" t="s">
        <v>74</v>
      </c>
      <c r="AY644" t="s">
        <v>74</v>
      </c>
      <c r="AZ644" t="s">
        <v>74</v>
      </c>
      <c r="BA644" t="s">
        <v>74</v>
      </c>
      <c r="BB644">
        <v>359</v>
      </c>
      <c r="BC644">
        <v>371</v>
      </c>
      <c r="BD644" t="s">
        <v>74</v>
      </c>
      <c r="BE644" t="s">
        <v>12509</v>
      </c>
      <c r="BF644" t="str">
        <f>HYPERLINK("http://dx.doi.org/10.1657/AAAR0016-041","http://dx.doi.org/10.1657/AAAR0016-041")</f>
        <v>http://dx.doi.org/10.1657/AAAR0016-041</v>
      </c>
      <c r="BG644" t="s">
        <v>74</v>
      </c>
      <c r="BH644" t="s">
        <v>74</v>
      </c>
      <c r="BI644">
        <v>13</v>
      </c>
      <c r="BJ644" t="s">
        <v>11731</v>
      </c>
      <c r="BK644" t="s">
        <v>101</v>
      </c>
      <c r="BL644" t="s">
        <v>2553</v>
      </c>
      <c r="BM644" t="s">
        <v>11732</v>
      </c>
      <c r="BN644" t="s">
        <v>74</v>
      </c>
      <c r="BO644" t="s">
        <v>122</v>
      </c>
      <c r="BP644" t="s">
        <v>74</v>
      </c>
      <c r="BQ644" t="s">
        <v>74</v>
      </c>
      <c r="BR644" t="s">
        <v>105</v>
      </c>
      <c r="BS644" t="s">
        <v>12510</v>
      </c>
      <c r="BT644" t="str">
        <f>HYPERLINK("https%3A%2F%2Fwww.webofscience.com%2Fwos%2Fwoscc%2Ffull-record%2FWOS:000407837100002","View Full Record in Web of Science")</f>
        <v>View Full Record in Web of Science</v>
      </c>
    </row>
    <row r="645" spans="1:72" x14ac:dyDescent="0.15">
      <c r="A645" t="s">
        <v>72</v>
      </c>
      <c r="B645" t="s">
        <v>12511</v>
      </c>
      <c r="C645" t="s">
        <v>74</v>
      </c>
      <c r="D645" t="s">
        <v>74</v>
      </c>
      <c r="E645" t="s">
        <v>74</v>
      </c>
      <c r="F645" t="s">
        <v>12512</v>
      </c>
      <c r="G645" t="s">
        <v>74</v>
      </c>
      <c r="H645" t="s">
        <v>74</v>
      </c>
      <c r="I645" t="s">
        <v>12513</v>
      </c>
      <c r="J645" t="s">
        <v>11712</v>
      </c>
      <c r="K645" t="s">
        <v>74</v>
      </c>
      <c r="L645" t="s">
        <v>74</v>
      </c>
      <c r="M645" t="s">
        <v>78</v>
      </c>
      <c r="N645" t="s">
        <v>79</v>
      </c>
      <c r="O645" t="s">
        <v>74</v>
      </c>
      <c r="P645" t="s">
        <v>74</v>
      </c>
      <c r="Q645" t="s">
        <v>74</v>
      </c>
      <c r="R645" t="s">
        <v>74</v>
      </c>
      <c r="S645" t="s">
        <v>74</v>
      </c>
      <c r="T645" t="s">
        <v>74</v>
      </c>
      <c r="U645" t="s">
        <v>12514</v>
      </c>
      <c r="V645" t="s">
        <v>12515</v>
      </c>
      <c r="W645" t="s">
        <v>12516</v>
      </c>
      <c r="X645" t="s">
        <v>12517</v>
      </c>
      <c r="Y645" t="s">
        <v>12518</v>
      </c>
      <c r="Z645" t="s">
        <v>12519</v>
      </c>
      <c r="AA645" t="s">
        <v>12520</v>
      </c>
      <c r="AB645" t="s">
        <v>74</v>
      </c>
      <c r="AC645" t="s">
        <v>12521</v>
      </c>
      <c r="AD645" t="s">
        <v>12522</v>
      </c>
      <c r="AE645" t="s">
        <v>12523</v>
      </c>
      <c r="AF645" t="s">
        <v>74</v>
      </c>
      <c r="AG645">
        <v>35</v>
      </c>
      <c r="AH645">
        <v>15</v>
      </c>
      <c r="AI645">
        <v>17</v>
      </c>
      <c r="AJ645">
        <v>4</v>
      </c>
      <c r="AK645">
        <v>67</v>
      </c>
      <c r="AL645" t="s">
        <v>1017</v>
      </c>
      <c r="AM645" t="s">
        <v>1018</v>
      </c>
      <c r="AN645" t="s">
        <v>1019</v>
      </c>
      <c r="AO645" t="s">
        <v>11726</v>
      </c>
      <c r="AP645" t="s">
        <v>11727</v>
      </c>
      <c r="AQ645" t="s">
        <v>74</v>
      </c>
      <c r="AR645" t="s">
        <v>11728</v>
      </c>
      <c r="AS645" t="s">
        <v>11729</v>
      </c>
      <c r="AT645" t="s">
        <v>10370</v>
      </c>
      <c r="AU645">
        <v>2017</v>
      </c>
      <c r="AV645">
        <v>49</v>
      </c>
      <c r="AW645">
        <v>3</v>
      </c>
      <c r="AX645" t="s">
        <v>74</v>
      </c>
      <c r="AY645" t="s">
        <v>74</v>
      </c>
      <c r="AZ645" t="s">
        <v>74</v>
      </c>
      <c r="BA645" t="s">
        <v>74</v>
      </c>
      <c r="BB645">
        <v>373</v>
      </c>
      <c r="BC645">
        <v>390</v>
      </c>
      <c r="BD645" t="s">
        <v>74</v>
      </c>
      <c r="BE645" t="s">
        <v>12524</v>
      </c>
      <c r="BF645" t="str">
        <f>HYPERLINK("http://dx.doi.org/10.1657/AAAR0017-019","http://dx.doi.org/10.1657/AAAR0017-019")</f>
        <v>http://dx.doi.org/10.1657/AAAR0017-019</v>
      </c>
      <c r="BG645" t="s">
        <v>74</v>
      </c>
      <c r="BH645" t="s">
        <v>74</v>
      </c>
      <c r="BI645">
        <v>18</v>
      </c>
      <c r="BJ645" t="s">
        <v>11731</v>
      </c>
      <c r="BK645" t="s">
        <v>101</v>
      </c>
      <c r="BL645" t="s">
        <v>2553</v>
      </c>
      <c r="BM645" t="s">
        <v>11732</v>
      </c>
      <c r="BN645" t="s">
        <v>74</v>
      </c>
      <c r="BO645" t="s">
        <v>122</v>
      </c>
      <c r="BP645" t="s">
        <v>74</v>
      </c>
      <c r="BQ645" t="s">
        <v>74</v>
      </c>
      <c r="BR645" t="s">
        <v>105</v>
      </c>
      <c r="BS645" t="s">
        <v>12525</v>
      </c>
      <c r="BT645" t="str">
        <f>HYPERLINK("https%3A%2F%2Fwww.webofscience.com%2Fwos%2Fwoscc%2Ffull-record%2FWOS:000407837100003","View Full Record in Web of Science")</f>
        <v>View Full Record in Web of Science</v>
      </c>
    </row>
    <row r="646" spans="1:72" x14ac:dyDescent="0.15">
      <c r="A646" t="s">
        <v>72</v>
      </c>
      <c r="B646" t="s">
        <v>12526</v>
      </c>
      <c r="C646" t="s">
        <v>74</v>
      </c>
      <c r="D646" t="s">
        <v>74</v>
      </c>
      <c r="E646" t="s">
        <v>74</v>
      </c>
      <c r="F646" t="s">
        <v>12527</v>
      </c>
      <c r="G646" t="s">
        <v>74</v>
      </c>
      <c r="H646" t="s">
        <v>74</v>
      </c>
      <c r="I646" t="s">
        <v>12528</v>
      </c>
      <c r="J646" t="s">
        <v>11712</v>
      </c>
      <c r="K646" t="s">
        <v>74</v>
      </c>
      <c r="L646" t="s">
        <v>74</v>
      </c>
      <c r="M646" t="s">
        <v>78</v>
      </c>
      <c r="N646" t="s">
        <v>79</v>
      </c>
      <c r="O646" t="s">
        <v>74</v>
      </c>
      <c r="P646" t="s">
        <v>74</v>
      </c>
      <c r="Q646" t="s">
        <v>74</v>
      </c>
      <c r="R646" t="s">
        <v>74</v>
      </c>
      <c r="S646" t="s">
        <v>74</v>
      </c>
      <c r="T646" t="s">
        <v>74</v>
      </c>
      <c r="U646" t="s">
        <v>12529</v>
      </c>
      <c r="V646" t="s">
        <v>12530</v>
      </c>
      <c r="W646" t="s">
        <v>12531</v>
      </c>
      <c r="X646" t="s">
        <v>12532</v>
      </c>
      <c r="Y646" t="s">
        <v>12533</v>
      </c>
      <c r="Z646" t="s">
        <v>12534</v>
      </c>
      <c r="AA646" t="s">
        <v>12535</v>
      </c>
      <c r="AB646" t="s">
        <v>12536</v>
      </c>
      <c r="AC646" t="s">
        <v>12537</v>
      </c>
      <c r="AD646" t="s">
        <v>12538</v>
      </c>
      <c r="AE646" t="s">
        <v>12539</v>
      </c>
      <c r="AF646" t="s">
        <v>74</v>
      </c>
      <c r="AG646">
        <v>38</v>
      </c>
      <c r="AH646">
        <v>10</v>
      </c>
      <c r="AI646">
        <v>11</v>
      </c>
      <c r="AJ646">
        <v>6</v>
      </c>
      <c r="AK646">
        <v>58</v>
      </c>
      <c r="AL646" t="s">
        <v>1017</v>
      </c>
      <c r="AM646" t="s">
        <v>1018</v>
      </c>
      <c r="AN646" t="s">
        <v>1019</v>
      </c>
      <c r="AO646" t="s">
        <v>11726</v>
      </c>
      <c r="AP646" t="s">
        <v>11727</v>
      </c>
      <c r="AQ646" t="s">
        <v>74</v>
      </c>
      <c r="AR646" t="s">
        <v>11728</v>
      </c>
      <c r="AS646" t="s">
        <v>11729</v>
      </c>
      <c r="AT646" t="s">
        <v>10370</v>
      </c>
      <c r="AU646">
        <v>2017</v>
      </c>
      <c r="AV646">
        <v>49</v>
      </c>
      <c r="AW646">
        <v>3</v>
      </c>
      <c r="AX646" t="s">
        <v>74</v>
      </c>
      <c r="AY646" t="s">
        <v>74</v>
      </c>
      <c r="AZ646" t="s">
        <v>74</v>
      </c>
      <c r="BA646" t="s">
        <v>74</v>
      </c>
      <c r="BB646">
        <v>441</v>
      </c>
      <c r="BC646">
        <v>453</v>
      </c>
      <c r="BD646" t="s">
        <v>74</v>
      </c>
      <c r="BE646" t="s">
        <v>12540</v>
      </c>
      <c r="BF646" t="str">
        <f>HYPERLINK("http://dx.doi.org/10.1657/AAAR0016-050","http://dx.doi.org/10.1657/AAAR0016-050")</f>
        <v>http://dx.doi.org/10.1657/AAAR0016-050</v>
      </c>
      <c r="BG646" t="s">
        <v>74</v>
      </c>
      <c r="BH646" t="s">
        <v>74</v>
      </c>
      <c r="BI646">
        <v>13</v>
      </c>
      <c r="BJ646" t="s">
        <v>11731</v>
      </c>
      <c r="BK646" t="s">
        <v>101</v>
      </c>
      <c r="BL646" t="s">
        <v>2553</v>
      </c>
      <c r="BM646" t="s">
        <v>11732</v>
      </c>
      <c r="BN646" t="s">
        <v>74</v>
      </c>
      <c r="BO646" t="s">
        <v>1170</v>
      </c>
      <c r="BP646" t="s">
        <v>74</v>
      </c>
      <c r="BQ646" t="s">
        <v>74</v>
      </c>
      <c r="BR646" t="s">
        <v>105</v>
      </c>
      <c r="BS646" t="s">
        <v>12541</v>
      </c>
      <c r="BT646" t="str">
        <f>HYPERLINK("https%3A%2F%2Fwww.webofscience.com%2Fwos%2Fwoscc%2Ffull-record%2FWOS:000407837100007","View Full Record in Web of Science")</f>
        <v>View Full Record in Web of Science</v>
      </c>
    </row>
    <row r="647" spans="1:72" x14ac:dyDescent="0.15">
      <c r="A647" t="s">
        <v>72</v>
      </c>
      <c r="B647" t="s">
        <v>12542</v>
      </c>
      <c r="C647" t="s">
        <v>74</v>
      </c>
      <c r="D647" t="s">
        <v>74</v>
      </c>
      <c r="E647" t="s">
        <v>74</v>
      </c>
      <c r="F647" t="s">
        <v>12543</v>
      </c>
      <c r="G647" t="s">
        <v>74</v>
      </c>
      <c r="H647" t="s">
        <v>74</v>
      </c>
      <c r="I647" t="s">
        <v>12544</v>
      </c>
      <c r="J647" t="s">
        <v>11712</v>
      </c>
      <c r="K647" t="s">
        <v>74</v>
      </c>
      <c r="L647" t="s">
        <v>74</v>
      </c>
      <c r="M647" t="s">
        <v>78</v>
      </c>
      <c r="N647" t="s">
        <v>79</v>
      </c>
      <c r="O647" t="s">
        <v>74</v>
      </c>
      <c r="P647" t="s">
        <v>74</v>
      </c>
      <c r="Q647" t="s">
        <v>74</v>
      </c>
      <c r="R647" t="s">
        <v>74</v>
      </c>
      <c r="S647" t="s">
        <v>74</v>
      </c>
      <c r="T647" t="s">
        <v>74</v>
      </c>
      <c r="U647" t="s">
        <v>12545</v>
      </c>
      <c r="V647" t="s">
        <v>12546</v>
      </c>
      <c r="W647" t="s">
        <v>12547</v>
      </c>
      <c r="X647" t="s">
        <v>12548</v>
      </c>
      <c r="Y647" t="s">
        <v>12549</v>
      </c>
      <c r="Z647" t="s">
        <v>12550</v>
      </c>
      <c r="AA647" t="s">
        <v>74</v>
      </c>
      <c r="AB647" t="s">
        <v>12551</v>
      </c>
      <c r="AC647" t="s">
        <v>12552</v>
      </c>
      <c r="AD647" t="s">
        <v>12553</v>
      </c>
      <c r="AE647" t="s">
        <v>12554</v>
      </c>
      <c r="AF647" t="s">
        <v>74</v>
      </c>
      <c r="AG647">
        <v>57</v>
      </c>
      <c r="AH647">
        <v>13</v>
      </c>
      <c r="AI647">
        <v>16</v>
      </c>
      <c r="AJ647">
        <v>0</v>
      </c>
      <c r="AK647">
        <v>40</v>
      </c>
      <c r="AL647" t="s">
        <v>1017</v>
      </c>
      <c r="AM647" t="s">
        <v>1018</v>
      </c>
      <c r="AN647" t="s">
        <v>1019</v>
      </c>
      <c r="AO647" t="s">
        <v>11726</v>
      </c>
      <c r="AP647" t="s">
        <v>11727</v>
      </c>
      <c r="AQ647" t="s">
        <v>74</v>
      </c>
      <c r="AR647" t="s">
        <v>11728</v>
      </c>
      <c r="AS647" t="s">
        <v>11729</v>
      </c>
      <c r="AT647" t="s">
        <v>10370</v>
      </c>
      <c r="AU647">
        <v>2017</v>
      </c>
      <c r="AV647">
        <v>49</v>
      </c>
      <c r="AW647">
        <v>3</v>
      </c>
      <c r="AX647" t="s">
        <v>74</v>
      </c>
      <c r="AY647" t="s">
        <v>74</v>
      </c>
      <c r="AZ647" t="s">
        <v>74</v>
      </c>
      <c r="BA647" t="s">
        <v>74</v>
      </c>
      <c r="BB647">
        <v>455</v>
      </c>
      <c r="BC647">
        <v>472</v>
      </c>
      <c r="BD647" t="s">
        <v>74</v>
      </c>
      <c r="BE647" t="s">
        <v>12555</v>
      </c>
      <c r="BF647" t="str">
        <f>HYPERLINK("http://dx.doi.org/10.1657/AAAR0016-066","http://dx.doi.org/10.1657/AAAR0016-066")</f>
        <v>http://dx.doi.org/10.1657/AAAR0016-066</v>
      </c>
      <c r="BG647" t="s">
        <v>74</v>
      </c>
      <c r="BH647" t="s">
        <v>74</v>
      </c>
      <c r="BI647">
        <v>18</v>
      </c>
      <c r="BJ647" t="s">
        <v>11731</v>
      </c>
      <c r="BK647" t="s">
        <v>101</v>
      </c>
      <c r="BL647" t="s">
        <v>2553</v>
      </c>
      <c r="BM647" t="s">
        <v>11732</v>
      </c>
      <c r="BN647" t="s">
        <v>74</v>
      </c>
      <c r="BO647" t="s">
        <v>122</v>
      </c>
      <c r="BP647" t="s">
        <v>74</v>
      </c>
      <c r="BQ647" t="s">
        <v>74</v>
      </c>
      <c r="BR647" t="s">
        <v>105</v>
      </c>
      <c r="BS647" t="s">
        <v>12556</v>
      </c>
      <c r="BT647" t="str">
        <f>HYPERLINK("https%3A%2F%2Fwww.webofscience.com%2Fwos%2Fwoscc%2Ffull-record%2FWOS:000407837100008","View Full Record in Web of Science")</f>
        <v>View Full Record in Web of Science</v>
      </c>
    </row>
    <row r="648" spans="1:72" x14ac:dyDescent="0.15">
      <c r="A648" t="s">
        <v>72</v>
      </c>
      <c r="B648" t="s">
        <v>12557</v>
      </c>
      <c r="C648" t="s">
        <v>74</v>
      </c>
      <c r="D648" t="s">
        <v>74</v>
      </c>
      <c r="E648" t="s">
        <v>74</v>
      </c>
      <c r="F648" t="s">
        <v>12558</v>
      </c>
      <c r="G648" t="s">
        <v>74</v>
      </c>
      <c r="H648" t="s">
        <v>74</v>
      </c>
      <c r="I648" t="s">
        <v>12559</v>
      </c>
      <c r="J648" t="s">
        <v>11712</v>
      </c>
      <c r="K648" t="s">
        <v>74</v>
      </c>
      <c r="L648" t="s">
        <v>74</v>
      </c>
      <c r="M648" t="s">
        <v>78</v>
      </c>
      <c r="N648" t="s">
        <v>79</v>
      </c>
      <c r="O648" t="s">
        <v>74</v>
      </c>
      <c r="P648" t="s">
        <v>74</v>
      </c>
      <c r="Q648" t="s">
        <v>74</v>
      </c>
      <c r="R648" t="s">
        <v>74</v>
      </c>
      <c r="S648" t="s">
        <v>74</v>
      </c>
      <c r="T648" t="s">
        <v>74</v>
      </c>
      <c r="U648" t="s">
        <v>12560</v>
      </c>
      <c r="V648" t="s">
        <v>12561</v>
      </c>
      <c r="W648" t="s">
        <v>12562</v>
      </c>
      <c r="X648" t="s">
        <v>12563</v>
      </c>
      <c r="Y648" t="s">
        <v>12564</v>
      </c>
      <c r="Z648" t="s">
        <v>12565</v>
      </c>
      <c r="AA648" t="s">
        <v>74</v>
      </c>
      <c r="AB648" t="s">
        <v>12566</v>
      </c>
      <c r="AC648" t="s">
        <v>12567</v>
      </c>
      <c r="AD648" t="s">
        <v>12568</v>
      </c>
      <c r="AE648" t="s">
        <v>12569</v>
      </c>
      <c r="AF648" t="s">
        <v>74</v>
      </c>
      <c r="AG648">
        <v>59</v>
      </c>
      <c r="AH648">
        <v>11</v>
      </c>
      <c r="AI648">
        <v>16</v>
      </c>
      <c r="AJ648">
        <v>0</v>
      </c>
      <c r="AK648">
        <v>24</v>
      </c>
      <c r="AL648" t="s">
        <v>1017</v>
      </c>
      <c r="AM648" t="s">
        <v>1018</v>
      </c>
      <c r="AN648" t="s">
        <v>1019</v>
      </c>
      <c r="AO648" t="s">
        <v>11726</v>
      </c>
      <c r="AP648" t="s">
        <v>11727</v>
      </c>
      <c r="AQ648" t="s">
        <v>74</v>
      </c>
      <c r="AR648" t="s">
        <v>11728</v>
      </c>
      <c r="AS648" t="s">
        <v>11729</v>
      </c>
      <c r="AT648" t="s">
        <v>10370</v>
      </c>
      <c r="AU648">
        <v>2017</v>
      </c>
      <c r="AV648">
        <v>49</v>
      </c>
      <c r="AW648">
        <v>3</v>
      </c>
      <c r="AX648" t="s">
        <v>74</v>
      </c>
      <c r="AY648" t="s">
        <v>74</v>
      </c>
      <c r="AZ648" t="s">
        <v>74</v>
      </c>
      <c r="BA648" t="s">
        <v>74</v>
      </c>
      <c r="BB648">
        <v>487</v>
      </c>
      <c r="BC648">
        <v>500</v>
      </c>
      <c r="BD648" t="s">
        <v>74</v>
      </c>
      <c r="BE648" t="s">
        <v>12570</v>
      </c>
      <c r="BF648" t="str">
        <f>HYPERLINK("http://dx.doi.org/10.1657/AAAR0016-062","http://dx.doi.org/10.1657/AAAR0016-062")</f>
        <v>http://dx.doi.org/10.1657/AAAR0016-062</v>
      </c>
      <c r="BG648" t="s">
        <v>74</v>
      </c>
      <c r="BH648" t="s">
        <v>74</v>
      </c>
      <c r="BI648">
        <v>14</v>
      </c>
      <c r="BJ648" t="s">
        <v>11731</v>
      </c>
      <c r="BK648" t="s">
        <v>101</v>
      </c>
      <c r="BL648" t="s">
        <v>2553</v>
      </c>
      <c r="BM648" t="s">
        <v>11732</v>
      </c>
      <c r="BN648" t="s">
        <v>74</v>
      </c>
      <c r="BO648" t="s">
        <v>3649</v>
      </c>
      <c r="BP648" t="s">
        <v>74</v>
      </c>
      <c r="BQ648" t="s">
        <v>74</v>
      </c>
      <c r="BR648" t="s">
        <v>105</v>
      </c>
      <c r="BS648" t="s">
        <v>12571</v>
      </c>
      <c r="BT648" t="str">
        <f>HYPERLINK("https%3A%2F%2Fwww.webofscience.com%2Fwos%2Fwoscc%2Ffull-record%2FWOS:000407837100010","View Full Record in Web of Science")</f>
        <v>View Full Record in Web of Science</v>
      </c>
    </row>
    <row r="649" spans="1:72" x14ac:dyDescent="0.15">
      <c r="A649" t="s">
        <v>72</v>
      </c>
      <c r="B649" t="s">
        <v>12572</v>
      </c>
      <c r="C649" t="s">
        <v>74</v>
      </c>
      <c r="D649" t="s">
        <v>74</v>
      </c>
      <c r="E649" t="s">
        <v>74</v>
      </c>
      <c r="F649" t="s">
        <v>12573</v>
      </c>
      <c r="G649" t="s">
        <v>74</v>
      </c>
      <c r="H649" t="s">
        <v>74</v>
      </c>
      <c r="I649" t="s">
        <v>12574</v>
      </c>
      <c r="J649" t="s">
        <v>1844</v>
      </c>
      <c r="K649" t="s">
        <v>74</v>
      </c>
      <c r="L649" t="s">
        <v>74</v>
      </c>
      <c r="M649" t="s">
        <v>78</v>
      </c>
      <c r="N649" t="s">
        <v>79</v>
      </c>
      <c r="O649" t="s">
        <v>74</v>
      </c>
      <c r="P649" t="s">
        <v>74</v>
      </c>
      <c r="Q649" t="s">
        <v>74</v>
      </c>
      <c r="R649" t="s">
        <v>74</v>
      </c>
      <c r="S649" t="s">
        <v>74</v>
      </c>
      <c r="T649" t="s">
        <v>74</v>
      </c>
      <c r="U649" t="s">
        <v>12575</v>
      </c>
      <c r="V649" t="s">
        <v>12576</v>
      </c>
      <c r="W649" t="s">
        <v>12577</v>
      </c>
      <c r="X649" t="s">
        <v>12578</v>
      </c>
      <c r="Y649" t="s">
        <v>12579</v>
      </c>
      <c r="Z649" t="s">
        <v>74</v>
      </c>
      <c r="AA649" t="s">
        <v>12580</v>
      </c>
      <c r="AB649" t="s">
        <v>12581</v>
      </c>
      <c r="AC649" t="s">
        <v>12582</v>
      </c>
      <c r="AD649" t="s">
        <v>12583</v>
      </c>
      <c r="AE649" t="s">
        <v>74</v>
      </c>
      <c r="AF649" t="s">
        <v>74</v>
      </c>
      <c r="AG649">
        <v>795</v>
      </c>
      <c r="AH649">
        <v>80</v>
      </c>
      <c r="AI649">
        <v>86</v>
      </c>
      <c r="AJ649">
        <v>5</v>
      </c>
      <c r="AK649">
        <v>285</v>
      </c>
      <c r="AL649" t="s">
        <v>1366</v>
      </c>
      <c r="AM649" t="s">
        <v>1367</v>
      </c>
      <c r="AN649" t="s">
        <v>1368</v>
      </c>
      <c r="AO649" t="s">
        <v>1853</v>
      </c>
      <c r="AP649" t="s">
        <v>1854</v>
      </c>
      <c r="AQ649" t="s">
        <v>74</v>
      </c>
      <c r="AR649" t="s">
        <v>1855</v>
      </c>
      <c r="AS649" t="s">
        <v>1856</v>
      </c>
      <c r="AT649" t="s">
        <v>10370</v>
      </c>
      <c r="AU649">
        <v>2017</v>
      </c>
      <c r="AV649">
        <v>98</v>
      </c>
      <c r="AW649">
        <v>8</v>
      </c>
      <c r="AX649" t="s">
        <v>74</v>
      </c>
      <c r="AY649" t="s">
        <v>10761</v>
      </c>
      <c r="AZ649" t="s">
        <v>74</v>
      </c>
      <c r="BA649" t="s">
        <v>74</v>
      </c>
      <c r="BB649" t="s">
        <v>12584</v>
      </c>
      <c r="BC649" t="s">
        <v>11105</v>
      </c>
      <c r="BD649" t="s">
        <v>74</v>
      </c>
      <c r="BE649" t="s">
        <v>12585</v>
      </c>
      <c r="BF649" t="str">
        <f>HYPERLINK("http://dx.doi.org/10.1175/2017BAMSStateoftheClimate.1","http://dx.doi.org/10.1175/2017BAMSStateoftheClimate.1")</f>
        <v>http://dx.doi.org/10.1175/2017BAMSStateoftheClimate.1</v>
      </c>
      <c r="BG649" t="s">
        <v>74</v>
      </c>
      <c r="BH649" t="s">
        <v>74</v>
      </c>
      <c r="BI649">
        <v>275</v>
      </c>
      <c r="BJ649" t="s">
        <v>162</v>
      </c>
      <c r="BK649" t="s">
        <v>101</v>
      </c>
      <c r="BL649" t="s">
        <v>162</v>
      </c>
      <c r="BM649" t="s">
        <v>12586</v>
      </c>
      <c r="BN649" t="s">
        <v>74</v>
      </c>
      <c r="BO649" t="s">
        <v>12587</v>
      </c>
      <c r="BP649" t="s">
        <v>74</v>
      </c>
      <c r="BQ649" t="s">
        <v>74</v>
      </c>
      <c r="BR649" t="s">
        <v>105</v>
      </c>
      <c r="BS649" t="s">
        <v>12588</v>
      </c>
      <c r="BT649" t="str">
        <f>HYPERLINK("https%3A%2F%2Fwww.webofscience.com%2Fwos%2Fwoscc%2Ffull-record%2FWOS:000412758300001","View Full Record in Web of Science")</f>
        <v>View Full Record in Web of Science</v>
      </c>
    </row>
    <row r="650" spans="1:72" x14ac:dyDescent="0.15">
      <c r="A650" t="s">
        <v>72</v>
      </c>
      <c r="B650" t="s">
        <v>12589</v>
      </c>
      <c r="C650" t="s">
        <v>74</v>
      </c>
      <c r="D650" t="s">
        <v>74</v>
      </c>
      <c r="E650" t="s">
        <v>74</v>
      </c>
      <c r="F650" t="s">
        <v>12590</v>
      </c>
      <c r="G650" t="s">
        <v>74</v>
      </c>
      <c r="H650" t="s">
        <v>74</v>
      </c>
      <c r="I650" t="s">
        <v>12591</v>
      </c>
      <c r="J650" t="s">
        <v>2927</v>
      </c>
      <c r="K650" t="s">
        <v>74</v>
      </c>
      <c r="L650" t="s">
        <v>74</v>
      </c>
      <c r="M650" t="s">
        <v>78</v>
      </c>
      <c r="N650" t="s">
        <v>79</v>
      </c>
      <c r="O650" t="s">
        <v>74</v>
      </c>
      <c r="P650" t="s">
        <v>74</v>
      </c>
      <c r="Q650" t="s">
        <v>74</v>
      </c>
      <c r="R650" t="s">
        <v>74</v>
      </c>
      <c r="S650" t="s">
        <v>74</v>
      </c>
      <c r="T650" t="s">
        <v>12592</v>
      </c>
      <c r="U650" t="s">
        <v>12593</v>
      </c>
      <c r="V650" t="s">
        <v>12594</v>
      </c>
      <c r="W650" t="s">
        <v>12595</v>
      </c>
      <c r="X650" t="s">
        <v>12596</v>
      </c>
      <c r="Y650" t="s">
        <v>12597</v>
      </c>
      <c r="Z650" t="s">
        <v>12598</v>
      </c>
      <c r="AA650" t="s">
        <v>12599</v>
      </c>
      <c r="AB650" t="s">
        <v>74</v>
      </c>
      <c r="AC650" t="s">
        <v>12600</v>
      </c>
      <c r="AD650" t="s">
        <v>12601</v>
      </c>
      <c r="AE650" t="s">
        <v>12602</v>
      </c>
      <c r="AF650" t="s">
        <v>74</v>
      </c>
      <c r="AG650">
        <v>73</v>
      </c>
      <c r="AH650">
        <v>30</v>
      </c>
      <c r="AI650">
        <v>31</v>
      </c>
      <c r="AJ650">
        <v>3</v>
      </c>
      <c r="AK650">
        <v>40</v>
      </c>
      <c r="AL650" t="s">
        <v>208</v>
      </c>
      <c r="AM650" t="s">
        <v>209</v>
      </c>
      <c r="AN650" t="s">
        <v>2659</v>
      </c>
      <c r="AO650" t="s">
        <v>2939</v>
      </c>
      <c r="AP650" t="s">
        <v>2940</v>
      </c>
      <c r="AQ650" t="s">
        <v>74</v>
      </c>
      <c r="AR650" t="s">
        <v>2941</v>
      </c>
      <c r="AS650" t="s">
        <v>2942</v>
      </c>
      <c r="AT650" t="s">
        <v>10370</v>
      </c>
      <c r="AU650">
        <v>2017</v>
      </c>
      <c r="AV650">
        <v>49</v>
      </c>
      <c r="AW650">
        <v>4</v>
      </c>
      <c r="AX650" t="s">
        <v>74</v>
      </c>
      <c r="AY650" t="s">
        <v>74</v>
      </c>
      <c r="AZ650" t="s">
        <v>74</v>
      </c>
      <c r="BA650" t="s">
        <v>74</v>
      </c>
      <c r="BB650">
        <v>1257</v>
      </c>
      <c r="BC650">
        <v>1269</v>
      </c>
      <c r="BD650" t="s">
        <v>74</v>
      </c>
      <c r="BE650" t="s">
        <v>12603</v>
      </c>
      <c r="BF650" t="str">
        <f>HYPERLINK("http://dx.doi.org/10.1007/s00382-016-3380-4","http://dx.doi.org/10.1007/s00382-016-3380-4")</f>
        <v>http://dx.doi.org/10.1007/s00382-016-3380-4</v>
      </c>
      <c r="BG650" t="s">
        <v>74</v>
      </c>
      <c r="BH650" t="s">
        <v>74</v>
      </c>
      <c r="BI650">
        <v>13</v>
      </c>
      <c r="BJ650" t="s">
        <v>162</v>
      </c>
      <c r="BK650" t="s">
        <v>101</v>
      </c>
      <c r="BL650" t="s">
        <v>162</v>
      </c>
      <c r="BM650" t="s">
        <v>12604</v>
      </c>
      <c r="BN650" t="s">
        <v>74</v>
      </c>
      <c r="BO650" t="s">
        <v>74</v>
      </c>
      <c r="BP650" t="s">
        <v>74</v>
      </c>
      <c r="BQ650" t="s">
        <v>74</v>
      </c>
      <c r="BR650" t="s">
        <v>105</v>
      </c>
      <c r="BS650" t="s">
        <v>12605</v>
      </c>
      <c r="BT650" t="str">
        <f>HYPERLINK("https%3A%2F%2Fwww.webofscience.com%2Fwos%2Fwoscc%2Ffull-record%2FWOS:000407247200007","View Full Record in Web of Science")</f>
        <v>View Full Record in Web of Science</v>
      </c>
    </row>
    <row r="651" spans="1:72" x14ac:dyDescent="0.15">
      <c r="A651" t="s">
        <v>72</v>
      </c>
      <c r="B651" t="s">
        <v>12606</v>
      </c>
      <c r="C651" t="s">
        <v>74</v>
      </c>
      <c r="D651" t="s">
        <v>74</v>
      </c>
      <c r="E651" t="s">
        <v>74</v>
      </c>
      <c r="F651" t="s">
        <v>12607</v>
      </c>
      <c r="G651" t="s">
        <v>74</v>
      </c>
      <c r="H651" t="s">
        <v>74</v>
      </c>
      <c r="I651" t="s">
        <v>12608</v>
      </c>
      <c r="J651" t="s">
        <v>12609</v>
      </c>
      <c r="K651" t="s">
        <v>74</v>
      </c>
      <c r="L651" t="s">
        <v>74</v>
      </c>
      <c r="M651" t="s">
        <v>78</v>
      </c>
      <c r="N651" t="s">
        <v>79</v>
      </c>
      <c r="O651" t="s">
        <v>74</v>
      </c>
      <c r="P651" t="s">
        <v>74</v>
      </c>
      <c r="Q651" t="s">
        <v>74</v>
      </c>
      <c r="R651" t="s">
        <v>74</v>
      </c>
      <c r="S651" t="s">
        <v>74</v>
      </c>
      <c r="T651" t="s">
        <v>12610</v>
      </c>
      <c r="U651" t="s">
        <v>12611</v>
      </c>
      <c r="V651" t="s">
        <v>12612</v>
      </c>
      <c r="W651" t="s">
        <v>12613</v>
      </c>
      <c r="X651" t="s">
        <v>12614</v>
      </c>
      <c r="Y651" t="s">
        <v>12615</v>
      </c>
      <c r="Z651" t="s">
        <v>5536</v>
      </c>
      <c r="AA651" t="s">
        <v>12616</v>
      </c>
      <c r="AB651" t="s">
        <v>12617</v>
      </c>
      <c r="AC651" t="s">
        <v>12618</v>
      </c>
      <c r="AD651" t="s">
        <v>12619</v>
      </c>
      <c r="AE651" t="s">
        <v>12620</v>
      </c>
      <c r="AF651" t="s">
        <v>74</v>
      </c>
      <c r="AG651">
        <v>45</v>
      </c>
      <c r="AH651">
        <v>6</v>
      </c>
      <c r="AI651">
        <v>7</v>
      </c>
      <c r="AJ651">
        <v>2</v>
      </c>
      <c r="AK651">
        <v>18</v>
      </c>
      <c r="AL651" t="s">
        <v>208</v>
      </c>
      <c r="AM651" t="s">
        <v>209</v>
      </c>
      <c r="AN651" t="s">
        <v>210</v>
      </c>
      <c r="AO651" t="s">
        <v>12621</v>
      </c>
      <c r="AP651" t="s">
        <v>12622</v>
      </c>
      <c r="AQ651" t="s">
        <v>74</v>
      </c>
      <c r="AR651" t="s">
        <v>12623</v>
      </c>
      <c r="AS651" t="s">
        <v>12624</v>
      </c>
      <c r="AT651" t="s">
        <v>10370</v>
      </c>
      <c r="AU651">
        <v>2017</v>
      </c>
      <c r="AV651">
        <v>74</v>
      </c>
      <c r="AW651">
        <v>8</v>
      </c>
      <c r="AX651" t="s">
        <v>74</v>
      </c>
      <c r="AY651" t="s">
        <v>74</v>
      </c>
      <c r="AZ651" t="s">
        <v>74</v>
      </c>
      <c r="BA651" t="s">
        <v>74</v>
      </c>
      <c r="BB651">
        <v>921</v>
      </c>
      <c r="BC651">
        <v>929</v>
      </c>
      <c r="BD651" t="s">
        <v>74</v>
      </c>
      <c r="BE651" t="s">
        <v>12625</v>
      </c>
      <c r="BF651" t="str">
        <f>HYPERLINK("http://dx.doi.org/10.1007/s00284-017-1263-5","http://dx.doi.org/10.1007/s00284-017-1263-5")</f>
        <v>http://dx.doi.org/10.1007/s00284-017-1263-5</v>
      </c>
      <c r="BG651" t="s">
        <v>74</v>
      </c>
      <c r="BH651" t="s">
        <v>74</v>
      </c>
      <c r="BI651">
        <v>9</v>
      </c>
      <c r="BJ651" t="s">
        <v>457</v>
      </c>
      <c r="BK651" t="s">
        <v>101</v>
      </c>
      <c r="BL651" t="s">
        <v>457</v>
      </c>
      <c r="BM651" t="s">
        <v>12626</v>
      </c>
      <c r="BN651">
        <v>28516199</v>
      </c>
      <c r="BO651" t="s">
        <v>74</v>
      </c>
      <c r="BP651" t="s">
        <v>74</v>
      </c>
      <c r="BQ651" t="s">
        <v>74</v>
      </c>
      <c r="BR651" t="s">
        <v>105</v>
      </c>
      <c r="BS651" t="s">
        <v>12627</v>
      </c>
      <c r="BT651" t="str">
        <f>HYPERLINK("https%3A%2F%2Fwww.webofscience.com%2Fwos%2Fwoscc%2Ffull-record%2FWOS:000406599500005","View Full Record in Web of Science")</f>
        <v>View Full Record in Web of Science</v>
      </c>
    </row>
    <row r="652" spans="1:72" x14ac:dyDescent="0.15">
      <c r="A652" t="s">
        <v>72</v>
      </c>
      <c r="B652" t="s">
        <v>12628</v>
      </c>
      <c r="C652" t="s">
        <v>74</v>
      </c>
      <c r="D652" t="s">
        <v>74</v>
      </c>
      <c r="E652" t="s">
        <v>74</v>
      </c>
      <c r="F652" t="s">
        <v>12629</v>
      </c>
      <c r="G652" t="s">
        <v>74</v>
      </c>
      <c r="H652" t="s">
        <v>74</v>
      </c>
      <c r="I652" t="s">
        <v>12630</v>
      </c>
      <c r="J652" t="s">
        <v>12631</v>
      </c>
      <c r="K652" t="s">
        <v>74</v>
      </c>
      <c r="L652" t="s">
        <v>74</v>
      </c>
      <c r="M652" t="s">
        <v>78</v>
      </c>
      <c r="N652" t="s">
        <v>79</v>
      </c>
      <c r="O652" t="s">
        <v>74</v>
      </c>
      <c r="P652" t="s">
        <v>74</v>
      </c>
      <c r="Q652" t="s">
        <v>74</v>
      </c>
      <c r="R652" t="s">
        <v>74</v>
      </c>
      <c r="S652" t="s">
        <v>74</v>
      </c>
      <c r="T652" t="s">
        <v>12632</v>
      </c>
      <c r="U652" t="s">
        <v>12633</v>
      </c>
      <c r="V652" t="s">
        <v>12634</v>
      </c>
      <c r="W652" t="s">
        <v>12635</v>
      </c>
      <c r="X652" t="s">
        <v>8633</v>
      </c>
      <c r="Y652" t="s">
        <v>12636</v>
      </c>
      <c r="Z652" t="s">
        <v>12637</v>
      </c>
      <c r="AA652" t="s">
        <v>12638</v>
      </c>
      <c r="AB652" t="s">
        <v>12639</v>
      </c>
      <c r="AC652" t="s">
        <v>12640</v>
      </c>
      <c r="AD652" t="s">
        <v>12641</v>
      </c>
      <c r="AE652" t="s">
        <v>12642</v>
      </c>
      <c r="AF652" t="s">
        <v>74</v>
      </c>
      <c r="AG652">
        <v>56</v>
      </c>
      <c r="AH652">
        <v>13</v>
      </c>
      <c r="AI652">
        <v>15</v>
      </c>
      <c r="AJ652">
        <v>1</v>
      </c>
      <c r="AK652">
        <v>72</v>
      </c>
      <c r="AL652" t="s">
        <v>5918</v>
      </c>
      <c r="AM652" t="s">
        <v>729</v>
      </c>
      <c r="AN652" t="s">
        <v>5919</v>
      </c>
      <c r="AO652" t="s">
        <v>12643</v>
      </c>
      <c r="AP652" t="s">
        <v>12644</v>
      </c>
      <c r="AQ652" t="s">
        <v>74</v>
      </c>
      <c r="AR652" t="s">
        <v>12645</v>
      </c>
      <c r="AS652" t="s">
        <v>12646</v>
      </c>
      <c r="AT652" t="s">
        <v>10370</v>
      </c>
      <c r="AU652">
        <v>2017</v>
      </c>
      <c r="AV652">
        <v>63</v>
      </c>
      <c r="AW652">
        <v>4</v>
      </c>
      <c r="AX652" t="s">
        <v>74</v>
      </c>
      <c r="AY652" t="s">
        <v>74</v>
      </c>
      <c r="AZ652" t="s">
        <v>74</v>
      </c>
      <c r="BA652" t="s">
        <v>74</v>
      </c>
      <c r="BB652">
        <v>433</v>
      </c>
      <c r="BC652">
        <v>443</v>
      </c>
      <c r="BD652" t="s">
        <v>74</v>
      </c>
      <c r="BE652" t="s">
        <v>12647</v>
      </c>
      <c r="BF652" t="str">
        <f>HYPERLINK("http://dx.doi.org/10.1093/cz/zox028","http://dx.doi.org/10.1093/cz/zox028")</f>
        <v>http://dx.doi.org/10.1093/cz/zox028</v>
      </c>
      <c r="BG652" t="s">
        <v>74</v>
      </c>
      <c r="BH652" t="s">
        <v>74</v>
      </c>
      <c r="BI652">
        <v>11</v>
      </c>
      <c r="BJ652" t="s">
        <v>2802</v>
      </c>
      <c r="BK652" t="s">
        <v>101</v>
      </c>
      <c r="BL652" t="s">
        <v>2802</v>
      </c>
      <c r="BM652" t="s">
        <v>12648</v>
      </c>
      <c r="BN652">
        <v>29492003</v>
      </c>
      <c r="BO652" t="s">
        <v>1094</v>
      </c>
      <c r="BP652" t="s">
        <v>74</v>
      </c>
      <c r="BQ652" t="s">
        <v>74</v>
      </c>
      <c r="BR652" t="s">
        <v>105</v>
      </c>
      <c r="BS652" t="s">
        <v>12649</v>
      </c>
      <c r="BT652" t="str">
        <f>HYPERLINK("https%3A%2F%2Fwww.webofscience.com%2Fwos%2Fwoscc%2Ffull-record%2FWOS:000405889900009","View Full Record in Web of Science")</f>
        <v>View Full Record in Web of Science</v>
      </c>
    </row>
    <row r="653" spans="1:72" x14ac:dyDescent="0.15">
      <c r="A653" t="s">
        <v>72</v>
      </c>
      <c r="B653" t="s">
        <v>12650</v>
      </c>
      <c r="C653" t="s">
        <v>74</v>
      </c>
      <c r="D653" t="s">
        <v>74</v>
      </c>
      <c r="E653" t="s">
        <v>74</v>
      </c>
      <c r="F653" t="s">
        <v>12651</v>
      </c>
      <c r="G653" t="s">
        <v>74</v>
      </c>
      <c r="H653" t="s">
        <v>74</v>
      </c>
      <c r="I653" t="s">
        <v>12652</v>
      </c>
      <c r="J653" t="s">
        <v>663</v>
      </c>
      <c r="K653" t="s">
        <v>74</v>
      </c>
      <c r="L653" t="s">
        <v>74</v>
      </c>
      <c r="M653" t="s">
        <v>78</v>
      </c>
      <c r="N653" t="s">
        <v>79</v>
      </c>
      <c r="O653" t="s">
        <v>74</v>
      </c>
      <c r="P653" t="s">
        <v>74</v>
      </c>
      <c r="Q653" t="s">
        <v>74</v>
      </c>
      <c r="R653" t="s">
        <v>74</v>
      </c>
      <c r="S653" t="s">
        <v>74</v>
      </c>
      <c r="T653" t="s">
        <v>12653</v>
      </c>
      <c r="U653" t="s">
        <v>12654</v>
      </c>
      <c r="V653" t="s">
        <v>12655</v>
      </c>
      <c r="W653" t="s">
        <v>12656</v>
      </c>
      <c r="X653" t="s">
        <v>12657</v>
      </c>
      <c r="Y653" t="s">
        <v>12658</v>
      </c>
      <c r="Z653" t="s">
        <v>12659</v>
      </c>
      <c r="AA653" t="s">
        <v>12660</v>
      </c>
      <c r="AB653" t="s">
        <v>12661</v>
      </c>
      <c r="AC653" t="s">
        <v>12662</v>
      </c>
      <c r="AD653" t="s">
        <v>12663</v>
      </c>
      <c r="AE653" t="s">
        <v>12664</v>
      </c>
      <c r="AF653" t="s">
        <v>74</v>
      </c>
      <c r="AG653">
        <v>64</v>
      </c>
      <c r="AH653">
        <v>45</v>
      </c>
      <c r="AI653">
        <v>47</v>
      </c>
      <c r="AJ653">
        <v>5</v>
      </c>
      <c r="AK653">
        <v>58</v>
      </c>
      <c r="AL653" t="s">
        <v>371</v>
      </c>
      <c r="AM653" t="s">
        <v>372</v>
      </c>
      <c r="AN653" t="s">
        <v>373</v>
      </c>
      <c r="AO653" t="s">
        <v>676</v>
      </c>
      <c r="AP653" t="s">
        <v>677</v>
      </c>
      <c r="AQ653" t="s">
        <v>74</v>
      </c>
      <c r="AR653" t="s">
        <v>678</v>
      </c>
      <c r="AS653" t="s">
        <v>679</v>
      </c>
      <c r="AT653" t="s">
        <v>10661</v>
      </c>
      <c r="AU653">
        <v>2017</v>
      </c>
      <c r="AV653">
        <v>471</v>
      </c>
      <c r="AW653" t="s">
        <v>74</v>
      </c>
      <c r="AX653" t="s">
        <v>74</v>
      </c>
      <c r="AY653" t="s">
        <v>74</v>
      </c>
      <c r="AZ653" t="s">
        <v>74</v>
      </c>
      <c r="BA653" t="s">
        <v>74</v>
      </c>
      <c r="BB653">
        <v>94</v>
      </c>
      <c r="BC653">
        <v>103</v>
      </c>
      <c r="BD653" t="s">
        <v>74</v>
      </c>
      <c r="BE653" t="s">
        <v>12665</v>
      </c>
      <c r="BF653" t="str">
        <f>HYPERLINK("http://dx.doi.org/10.1016/j.epsl.2017.04.024","http://dx.doi.org/10.1016/j.epsl.2017.04.024")</f>
        <v>http://dx.doi.org/10.1016/j.epsl.2017.04.024</v>
      </c>
      <c r="BG653" t="s">
        <v>74</v>
      </c>
      <c r="BH653" t="s">
        <v>74</v>
      </c>
      <c r="BI653">
        <v>10</v>
      </c>
      <c r="BJ653" t="s">
        <v>509</v>
      </c>
      <c r="BK653" t="s">
        <v>101</v>
      </c>
      <c r="BL653" t="s">
        <v>509</v>
      </c>
      <c r="BM653" t="s">
        <v>12666</v>
      </c>
      <c r="BN653" t="s">
        <v>74</v>
      </c>
      <c r="BO653" t="s">
        <v>164</v>
      </c>
      <c r="BP653" t="s">
        <v>74</v>
      </c>
      <c r="BQ653" t="s">
        <v>74</v>
      </c>
      <c r="BR653" t="s">
        <v>105</v>
      </c>
      <c r="BS653" t="s">
        <v>12667</v>
      </c>
      <c r="BT653" t="str">
        <f>HYPERLINK("https%3A%2F%2Fwww.webofscience.com%2Fwos%2Fwoscc%2Ffull-record%2FWOS:000403625300010","View Full Record in Web of Science")</f>
        <v>View Full Record in Web of Science</v>
      </c>
    </row>
    <row r="654" spans="1:72" x14ac:dyDescent="0.15">
      <c r="A654" t="s">
        <v>72</v>
      </c>
      <c r="B654" t="s">
        <v>12668</v>
      </c>
      <c r="C654" t="s">
        <v>74</v>
      </c>
      <c r="D654" t="s">
        <v>74</v>
      </c>
      <c r="E654" t="s">
        <v>74</v>
      </c>
      <c r="F654" t="s">
        <v>12669</v>
      </c>
      <c r="G654" t="s">
        <v>74</v>
      </c>
      <c r="H654" t="s">
        <v>74</v>
      </c>
      <c r="I654" t="s">
        <v>12670</v>
      </c>
      <c r="J654" t="s">
        <v>12251</v>
      </c>
      <c r="K654" t="s">
        <v>74</v>
      </c>
      <c r="L654" t="s">
        <v>74</v>
      </c>
      <c r="M654" t="s">
        <v>78</v>
      </c>
      <c r="N654" t="s">
        <v>79</v>
      </c>
      <c r="O654" t="s">
        <v>74</v>
      </c>
      <c r="P654" t="s">
        <v>74</v>
      </c>
      <c r="Q654" t="s">
        <v>74</v>
      </c>
      <c r="R654" t="s">
        <v>74</v>
      </c>
      <c r="S654" t="s">
        <v>74</v>
      </c>
      <c r="T654" t="s">
        <v>12671</v>
      </c>
      <c r="U654" t="s">
        <v>12672</v>
      </c>
      <c r="V654" t="s">
        <v>12673</v>
      </c>
      <c r="W654" t="s">
        <v>12674</v>
      </c>
      <c r="X654" t="s">
        <v>12675</v>
      </c>
      <c r="Y654" t="s">
        <v>12676</v>
      </c>
      <c r="Z654" t="s">
        <v>12677</v>
      </c>
      <c r="AA654" t="s">
        <v>12678</v>
      </c>
      <c r="AB654" t="s">
        <v>12679</v>
      </c>
      <c r="AC654" t="s">
        <v>12680</v>
      </c>
      <c r="AD654" t="s">
        <v>12681</v>
      </c>
      <c r="AE654" t="s">
        <v>12682</v>
      </c>
      <c r="AF654" t="s">
        <v>74</v>
      </c>
      <c r="AG654">
        <v>87</v>
      </c>
      <c r="AH654">
        <v>41</v>
      </c>
      <c r="AI654">
        <v>43</v>
      </c>
      <c r="AJ654">
        <v>4</v>
      </c>
      <c r="AK654">
        <v>53</v>
      </c>
      <c r="AL654" t="s">
        <v>12239</v>
      </c>
      <c r="AM654" t="s">
        <v>341</v>
      </c>
      <c r="AN654" t="s">
        <v>342</v>
      </c>
      <c r="AO654" t="s">
        <v>12264</v>
      </c>
      <c r="AP654" t="s">
        <v>74</v>
      </c>
      <c r="AQ654" t="s">
        <v>74</v>
      </c>
      <c r="AR654" t="s">
        <v>12265</v>
      </c>
      <c r="AS654" t="s">
        <v>12266</v>
      </c>
      <c r="AT654" t="s">
        <v>10370</v>
      </c>
      <c r="AU654">
        <v>2017</v>
      </c>
      <c r="AV654">
        <v>12</v>
      </c>
      <c r="AW654">
        <v>8</v>
      </c>
      <c r="AX654" t="s">
        <v>74</v>
      </c>
      <c r="AY654" t="s">
        <v>74</v>
      </c>
      <c r="AZ654" t="s">
        <v>74</v>
      </c>
      <c r="BA654" t="s">
        <v>74</v>
      </c>
      <c r="BB654" t="s">
        <v>74</v>
      </c>
      <c r="BC654" t="s">
        <v>74</v>
      </c>
      <c r="BD654">
        <v>84011</v>
      </c>
      <c r="BE654" t="s">
        <v>12683</v>
      </c>
      <c r="BF654" t="str">
        <f>HYPERLINK("http://dx.doi.org/10.1088/1748-9326/aa7a1d","http://dx.doi.org/10.1088/1748-9326/aa7a1d")</f>
        <v>http://dx.doi.org/10.1088/1748-9326/aa7a1d</v>
      </c>
      <c r="BG654" t="s">
        <v>74</v>
      </c>
      <c r="BH654" t="s">
        <v>74</v>
      </c>
      <c r="BI654">
        <v>14</v>
      </c>
      <c r="BJ654" t="s">
        <v>834</v>
      </c>
      <c r="BK654" t="s">
        <v>101</v>
      </c>
      <c r="BL654" t="s">
        <v>835</v>
      </c>
      <c r="BM654" t="s">
        <v>12268</v>
      </c>
      <c r="BN654" t="s">
        <v>74</v>
      </c>
      <c r="BO654" t="s">
        <v>1278</v>
      </c>
      <c r="BP654" t="s">
        <v>74</v>
      </c>
      <c r="BQ654" t="s">
        <v>74</v>
      </c>
      <c r="BR654" t="s">
        <v>105</v>
      </c>
      <c r="BS654" t="s">
        <v>12684</v>
      </c>
      <c r="BT654" t="str">
        <f>HYPERLINK("https%3A%2F%2Fwww.webofscience.com%2Fwos%2Fwoscc%2Ffull-record%2FWOS:000406858700002","View Full Record in Web of Science")</f>
        <v>View Full Record in Web of Science</v>
      </c>
    </row>
    <row r="655" spans="1:72" x14ac:dyDescent="0.15">
      <c r="A655" t="s">
        <v>72</v>
      </c>
      <c r="B655" t="s">
        <v>12685</v>
      </c>
      <c r="C655" t="s">
        <v>74</v>
      </c>
      <c r="D655" t="s">
        <v>74</v>
      </c>
      <c r="E655" t="s">
        <v>74</v>
      </c>
      <c r="F655" t="s">
        <v>12686</v>
      </c>
      <c r="G655" t="s">
        <v>74</v>
      </c>
      <c r="H655" t="s">
        <v>74</v>
      </c>
      <c r="I655" t="s">
        <v>12687</v>
      </c>
      <c r="J655" t="s">
        <v>12688</v>
      </c>
      <c r="K655" t="s">
        <v>74</v>
      </c>
      <c r="L655" t="s">
        <v>74</v>
      </c>
      <c r="M655" t="s">
        <v>78</v>
      </c>
      <c r="N655" t="s">
        <v>79</v>
      </c>
      <c r="O655" t="s">
        <v>74</v>
      </c>
      <c r="P655" t="s">
        <v>74</v>
      </c>
      <c r="Q655" t="s">
        <v>74</v>
      </c>
      <c r="R655" t="s">
        <v>74</v>
      </c>
      <c r="S655" t="s">
        <v>74</v>
      </c>
      <c r="T655" t="s">
        <v>12689</v>
      </c>
      <c r="U655" t="s">
        <v>12690</v>
      </c>
      <c r="V655" t="s">
        <v>12691</v>
      </c>
      <c r="W655" t="s">
        <v>12692</v>
      </c>
      <c r="X655" t="s">
        <v>12693</v>
      </c>
      <c r="Y655" t="s">
        <v>12694</v>
      </c>
      <c r="Z655" t="s">
        <v>12695</v>
      </c>
      <c r="AA655" t="s">
        <v>12696</v>
      </c>
      <c r="AB655" t="s">
        <v>12697</v>
      </c>
      <c r="AC655" t="s">
        <v>12698</v>
      </c>
      <c r="AD655" t="s">
        <v>12699</v>
      </c>
      <c r="AE655" t="s">
        <v>12700</v>
      </c>
      <c r="AF655" t="s">
        <v>74</v>
      </c>
      <c r="AG655">
        <v>57</v>
      </c>
      <c r="AH655">
        <v>18</v>
      </c>
      <c r="AI655">
        <v>25</v>
      </c>
      <c r="AJ655">
        <v>1</v>
      </c>
      <c r="AK655">
        <v>20</v>
      </c>
      <c r="AL655" t="s">
        <v>728</v>
      </c>
      <c r="AM655" t="s">
        <v>729</v>
      </c>
      <c r="AN655" t="s">
        <v>730</v>
      </c>
      <c r="AO655" t="s">
        <v>12701</v>
      </c>
      <c r="AP655" t="s">
        <v>12702</v>
      </c>
      <c r="AQ655" t="s">
        <v>74</v>
      </c>
      <c r="AR655" t="s">
        <v>12703</v>
      </c>
      <c r="AS655" t="s">
        <v>12704</v>
      </c>
      <c r="AT655" t="s">
        <v>10370</v>
      </c>
      <c r="AU655">
        <v>2017</v>
      </c>
      <c r="AV655">
        <v>121</v>
      </c>
      <c r="AW655">
        <v>8</v>
      </c>
      <c r="AX655" t="s">
        <v>74</v>
      </c>
      <c r="AY655" t="s">
        <v>74</v>
      </c>
      <c r="AZ655" t="s">
        <v>74</v>
      </c>
      <c r="BA655" t="s">
        <v>74</v>
      </c>
      <c r="BB655">
        <v>638</v>
      </c>
      <c r="BC655">
        <v>651</v>
      </c>
      <c r="BD655" t="s">
        <v>74</v>
      </c>
      <c r="BE655" t="s">
        <v>12705</v>
      </c>
      <c r="BF655" t="str">
        <f>HYPERLINK("http://dx.doi.org/10.1016/j.funbio.2017.04.006","http://dx.doi.org/10.1016/j.funbio.2017.04.006")</f>
        <v>http://dx.doi.org/10.1016/j.funbio.2017.04.006</v>
      </c>
      <c r="BG655" t="s">
        <v>74</v>
      </c>
      <c r="BH655" t="s">
        <v>74</v>
      </c>
      <c r="BI655">
        <v>14</v>
      </c>
      <c r="BJ655" t="s">
        <v>1215</v>
      </c>
      <c r="BK655" t="s">
        <v>101</v>
      </c>
      <c r="BL655" t="s">
        <v>1215</v>
      </c>
      <c r="BM655" t="s">
        <v>12706</v>
      </c>
      <c r="BN655">
        <v>28705393</v>
      </c>
      <c r="BO655" t="s">
        <v>511</v>
      </c>
      <c r="BP655" t="s">
        <v>74</v>
      </c>
      <c r="BQ655" t="s">
        <v>74</v>
      </c>
      <c r="BR655" t="s">
        <v>105</v>
      </c>
      <c r="BS655" t="s">
        <v>12707</v>
      </c>
      <c r="BT655" t="str">
        <f>HYPERLINK("https%3A%2F%2Fwww.webofscience.com%2Fwos%2Fwoscc%2Ffull-record%2FWOS:000406735600002","View Full Record in Web of Science")</f>
        <v>View Full Record in Web of Science</v>
      </c>
    </row>
    <row r="656" spans="1:72" x14ac:dyDescent="0.15">
      <c r="A656" t="s">
        <v>72</v>
      </c>
      <c r="B656" t="s">
        <v>12708</v>
      </c>
      <c r="C656" t="s">
        <v>74</v>
      </c>
      <c r="D656" t="s">
        <v>74</v>
      </c>
      <c r="E656" t="s">
        <v>74</v>
      </c>
      <c r="F656" t="s">
        <v>12709</v>
      </c>
      <c r="G656" t="s">
        <v>74</v>
      </c>
      <c r="H656" t="s">
        <v>74</v>
      </c>
      <c r="I656" t="s">
        <v>12710</v>
      </c>
      <c r="J656" t="s">
        <v>3156</v>
      </c>
      <c r="K656" t="s">
        <v>74</v>
      </c>
      <c r="L656" t="s">
        <v>74</v>
      </c>
      <c r="M656" t="s">
        <v>78</v>
      </c>
      <c r="N656" t="s">
        <v>79</v>
      </c>
      <c r="O656" t="s">
        <v>74</v>
      </c>
      <c r="P656" t="s">
        <v>74</v>
      </c>
      <c r="Q656" t="s">
        <v>74</v>
      </c>
      <c r="R656" t="s">
        <v>74</v>
      </c>
      <c r="S656" t="s">
        <v>74</v>
      </c>
      <c r="T656" t="s">
        <v>74</v>
      </c>
      <c r="U656" t="s">
        <v>74</v>
      </c>
      <c r="V656" t="s">
        <v>12711</v>
      </c>
      <c r="W656" t="s">
        <v>12712</v>
      </c>
      <c r="X656" t="s">
        <v>12713</v>
      </c>
      <c r="Y656" t="s">
        <v>12714</v>
      </c>
      <c r="Z656" t="s">
        <v>12715</v>
      </c>
      <c r="AA656" t="s">
        <v>12716</v>
      </c>
      <c r="AB656" t="s">
        <v>12717</v>
      </c>
      <c r="AC656" t="s">
        <v>12718</v>
      </c>
      <c r="AD656" t="s">
        <v>12719</v>
      </c>
      <c r="AE656" t="s">
        <v>12720</v>
      </c>
      <c r="AF656" t="s">
        <v>74</v>
      </c>
      <c r="AG656">
        <v>13</v>
      </c>
      <c r="AH656">
        <v>0</v>
      </c>
      <c r="AI656">
        <v>0</v>
      </c>
      <c r="AJ656">
        <v>0</v>
      </c>
      <c r="AK656">
        <v>4</v>
      </c>
      <c r="AL656" t="s">
        <v>3166</v>
      </c>
      <c r="AM656" t="s">
        <v>92</v>
      </c>
      <c r="AN656" t="s">
        <v>3167</v>
      </c>
      <c r="AO656" t="s">
        <v>74</v>
      </c>
      <c r="AP656" t="s">
        <v>3168</v>
      </c>
      <c r="AQ656" t="s">
        <v>74</v>
      </c>
      <c r="AR656" t="s">
        <v>3156</v>
      </c>
      <c r="AS656" t="s">
        <v>3169</v>
      </c>
      <c r="AT656" t="s">
        <v>10370</v>
      </c>
      <c r="AU656">
        <v>2017</v>
      </c>
      <c r="AV656">
        <v>5</v>
      </c>
      <c r="AW656">
        <v>33</v>
      </c>
      <c r="AX656" t="s">
        <v>74</v>
      </c>
      <c r="AY656" t="s">
        <v>74</v>
      </c>
      <c r="AZ656" t="s">
        <v>74</v>
      </c>
      <c r="BA656" t="s">
        <v>74</v>
      </c>
      <c r="BB656" t="s">
        <v>74</v>
      </c>
      <c r="BC656" t="s">
        <v>74</v>
      </c>
      <c r="BD656" t="s">
        <v>12721</v>
      </c>
      <c r="BE656" t="s">
        <v>12722</v>
      </c>
      <c r="BF656" t="str">
        <f>HYPERLINK("http://dx.doi.org/10.1128/genomeA.00771-17","http://dx.doi.org/10.1128/genomeA.00771-17")</f>
        <v>http://dx.doi.org/10.1128/genomeA.00771-17</v>
      </c>
      <c r="BG656" t="s">
        <v>74</v>
      </c>
      <c r="BH656" t="s">
        <v>74</v>
      </c>
      <c r="BI656">
        <v>2</v>
      </c>
      <c r="BJ656" t="s">
        <v>457</v>
      </c>
      <c r="BK656" t="s">
        <v>3172</v>
      </c>
      <c r="BL656" t="s">
        <v>457</v>
      </c>
      <c r="BM656" t="s">
        <v>12723</v>
      </c>
      <c r="BN656">
        <v>28818894</v>
      </c>
      <c r="BO656" t="s">
        <v>658</v>
      </c>
      <c r="BP656" t="s">
        <v>74</v>
      </c>
      <c r="BQ656" t="s">
        <v>74</v>
      </c>
      <c r="BR656" t="s">
        <v>105</v>
      </c>
      <c r="BS656" t="s">
        <v>12724</v>
      </c>
      <c r="BT656" t="str">
        <f>HYPERLINK("https%3A%2F%2Fwww.webofscience.com%2Fwos%2Fwoscc%2Ffull-record%2FWOS:000460708600010","View Full Record in Web of Science")</f>
        <v>View Full Record in Web of Science</v>
      </c>
    </row>
    <row r="657" spans="1:72" x14ac:dyDescent="0.15">
      <c r="A657" t="s">
        <v>72</v>
      </c>
      <c r="B657" t="s">
        <v>12725</v>
      </c>
      <c r="C657" t="s">
        <v>74</v>
      </c>
      <c r="D657" t="s">
        <v>74</v>
      </c>
      <c r="E657" t="s">
        <v>74</v>
      </c>
      <c r="F657" t="s">
        <v>12726</v>
      </c>
      <c r="G657" t="s">
        <v>74</v>
      </c>
      <c r="H657" t="s">
        <v>74</v>
      </c>
      <c r="I657" t="s">
        <v>12727</v>
      </c>
      <c r="J657" t="s">
        <v>3156</v>
      </c>
      <c r="K657" t="s">
        <v>74</v>
      </c>
      <c r="L657" t="s">
        <v>74</v>
      </c>
      <c r="M657" t="s">
        <v>78</v>
      </c>
      <c r="N657" t="s">
        <v>79</v>
      </c>
      <c r="O657" t="s">
        <v>74</v>
      </c>
      <c r="P657" t="s">
        <v>74</v>
      </c>
      <c r="Q657" t="s">
        <v>74</v>
      </c>
      <c r="R657" t="s">
        <v>74</v>
      </c>
      <c r="S657" t="s">
        <v>74</v>
      </c>
      <c r="T657" t="s">
        <v>74</v>
      </c>
      <c r="U657" t="s">
        <v>74</v>
      </c>
      <c r="V657" t="s">
        <v>12728</v>
      </c>
      <c r="W657" t="s">
        <v>12729</v>
      </c>
      <c r="X657" t="s">
        <v>12713</v>
      </c>
      <c r="Y657" t="s">
        <v>12714</v>
      </c>
      <c r="Z657" t="s">
        <v>12715</v>
      </c>
      <c r="AA657" t="s">
        <v>12716</v>
      </c>
      <c r="AB657" t="s">
        <v>12730</v>
      </c>
      <c r="AC657" t="s">
        <v>12731</v>
      </c>
      <c r="AD657" t="s">
        <v>12719</v>
      </c>
      <c r="AE657" t="s">
        <v>12732</v>
      </c>
      <c r="AF657" t="s">
        <v>74</v>
      </c>
      <c r="AG657">
        <v>12</v>
      </c>
      <c r="AH657">
        <v>0</v>
      </c>
      <c r="AI657">
        <v>1</v>
      </c>
      <c r="AJ657">
        <v>0</v>
      </c>
      <c r="AK657">
        <v>5</v>
      </c>
      <c r="AL657" t="s">
        <v>3166</v>
      </c>
      <c r="AM657" t="s">
        <v>92</v>
      </c>
      <c r="AN657" t="s">
        <v>3167</v>
      </c>
      <c r="AO657" t="s">
        <v>74</v>
      </c>
      <c r="AP657" t="s">
        <v>3168</v>
      </c>
      <c r="AQ657" t="s">
        <v>74</v>
      </c>
      <c r="AR657" t="s">
        <v>3156</v>
      </c>
      <c r="AS657" t="s">
        <v>3169</v>
      </c>
      <c r="AT657" t="s">
        <v>10370</v>
      </c>
      <c r="AU657">
        <v>2017</v>
      </c>
      <c r="AV657">
        <v>5</v>
      </c>
      <c r="AW657">
        <v>33</v>
      </c>
      <c r="AX657" t="s">
        <v>74</v>
      </c>
      <c r="AY657" t="s">
        <v>74</v>
      </c>
      <c r="AZ657" t="s">
        <v>74</v>
      </c>
      <c r="BA657" t="s">
        <v>74</v>
      </c>
      <c r="BB657" t="s">
        <v>74</v>
      </c>
      <c r="BC657" t="s">
        <v>74</v>
      </c>
      <c r="BD657" t="s">
        <v>12733</v>
      </c>
      <c r="BE657" t="s">
        <v>12734</v>
      </c>
      <c r="BF657" t="str">
        <f>HYPERLINK("http://dx.doi.org/10.1128/genomeA.00786-17","http://dx.doi.org/10.1128/genomeA.00786-17")</f>
        <v>http://dx.doi.org/10.1128/genomeA.00786-17</v>
      </c>
      <c r="BG657" t="s">
        <v>74</v>
      </c>
      <c r="BH657" t="s">
        <v>74</v>
      </c>
      <c r="BI657">
        <v>2</v>
      </c>
      <c r="BJ657" t="s">
        <v>457</v>
      </c>
      <c r="BK657" t="s">
        <v>3172</v>
      </c>
      <c r="BL657" t="s">
        <v>457</v>
      </c>
      <c r="BM657" t="s">
        <v>12723</v>
      </c>
      <c r="BN657">
        <v>28818897</v>
      </c>
      <c r="BO657" t="s">
        <v>267</v>
      </c>
      <c r="BP657" t="s">
        <v>74</v>
      </c>
      <c r="BQ657" t="s">
        <v>74</v>
      </c>
      <c r="BR657" t="s">
        <v>105</v>
      </c>
      <c r="BS657" t="s">
        <v>12735</v>
      </c>
      <c r="BT657" t="str">
        <f>HYPERLINK("https%3A%2F%2Fwww.webofscience.com%2Fwos%2Fwoscc%2Ffull-record%2FWOS:000460708600013","View Full Record in Web of Science")</f>
        <v>View Full Record in Web of Science</v>
      </c>
    </row>
    <row r="658" spans="1:72" x14ac:dyDescent="0.15">
      <c r="A658" t="s">
        <v>72</v>
      </c>
      <c r="B658" t="s">
        <v>12736</v>
      </c>
      <c r="C658" t="s">
        <v>74</v>
      </c>
      <c r="D658" t="s">
        <v>74</v>
      </c>
      <c r="E658" t="s">
        <v>74</v>
      </c>
      <c r="F658" t="s">
        <v>12737</v>
      </c>
      <c r="G658" t="s">
        <v>74</v>
      </c>
      <c r="H658" t="s">
        <v>74</v>
      </c>
      <c r="I658" t="s">
        <v>12738</v>
      </c>
      <c r="J658" t="s">
        <v>3926</v>
      </c>
      <c r="K658" t="s">
        <v>74</v>
      </c>
      <c r="L658" t="s">
        <v>74</v>
      </c>
      <c r="M658" t="s">
        <v>78</v>
      </c>
      <c r="N658" t="s">
        <v>79</v>
      </c>
      <c r="O658" t="s">
        <v>74</v>
      </c>
      <c r="P658" t="s">
        <v>74</v>
      </c>
      <c r="Q658" t="s">
        <v>74</v>
      </c>
      <c r="R658" t="s">
        <v>74</v>
      </c>
      <c r="S658" t="s">
        <v>74</v>
      </c>
      <c r="T658" t="s">
        <v>12739</v>
      </c>
      <c r="U658" t="s">
        <v>12740</v>
      </c>
      <c r="V658" t="s">
        <v>12741</v>
      </c>
      <c r="W658" t="s">
        <v>12742</v>
      </c>
      <c r="X658" t="s">
        <v>8888</v>
      </c>
      <c r="Y658" t="s">
        <v>12743</v>
      </c>
      <c r="Z658" t="s">
        <v>12744</v>
      </c>
      <c r="AA658" t="s">
        <v>74</v>
      </c>
      <c r="AB658" t="s">
        <v>74</v>
      </c>
      <c r="AC658" t="s">
        <v>12745</v>
      </c>
      <c r="AD658" t="s">
        <v>12746</v>
      </c>
      <c r="AE658" t="s">
        <v>12747</v>
      </c>
      <c r="AF658" t="s">
        <v>74</v>
      </c>
      <c r="AG658">
        <v>84</v>
      </c>
      <c r="AH658">
        <v>35</v>
      </c>
      <c r="AI658">
        <v>39</v>
      </c>
      <c r="AJ658">
        <v>4</v>
      </c>
      <c r="AK658">
        <v>49</v>
      </c>
      <c r="AL658" t="s">
        <v>1981</v>
      </c>
      <c r="AM658" t="s">
        <v>729</v>
      </c>
      <c r="AN658" t="s">
        <v>1982</v>
      </c>
      <c r="AO658" t="s">
        <v>3939</v>
      </c>
      <c r="AP658" t="s">
        <v>3940</v>
      </c>
      <c r="AQ658" t="s">
        <v>74</v>
      </c>
      <c r="AR658" t="s">
        <v>3941</v>
      </c>
      <c r="AS658" t="s">
        <v>3942</v>
      </c>
      <c r="AT658" t="s">
        <v>10661</v>
      </c>
      <c r="AU658">
        <v>2017</v>
      </c>
      <c r="AV658">
        <v>210</v>
      </c>
      <c r="AW658" t="s">
        <v>74</v>
      </c>
      <c r="AX658" t="s">
        <v>74</v>
      </c>
      <c r="AY658" t="s">
        <v>74</v>
      </c>
      <c r="AZ658" t="s">
        <v>74</v>
      </c>
      <c r="BA658" t="s">
        <v>74</v>
      </c>
      <c r="BB658">
        <v>97</v>
      </c>
      <c r="BC658">
        <v>113</v>
      </c>
      <c r="BD658" t="s">
        <v>74</v>
      </c>
      <c r="BE658" t="s">
        <v>12748</v>
      </c>
      <c r="BF658" t="str">
        <f>HYPERLINK("http://dx.doi.org/10.1016/j.gca.2017.04.014","http://dx.doi.org/10.1016/j.gca.2017.04.014")</f>
        <v>http://dx.doi.org/10.1016/j.gca.2017.04.014</v>
      </c>
      <c r="BG658" t="s">
        <v>74</v>
      </c>
      <c r="BH658" t="s">
        <v>74</v>
      </c>
      <c r="BI658">
        <v>17</v>
      </c>
      <c r="BJ658" t="s">
        <v>509</v>
      </c>
      <c r="BK658" t="s">
        <v>101</v>
      </c>
      <c r="BL658" t="s">
        <v>509</v>
      </c>
      <c r="BM658" t="s">
        <v>12749</v>
      </c>
      <c r="BN658" t="s">
        <v>74</v>
      </c>
      <c r="BO658" t="s">
        <v>5215</v>
      </c>
      <c r="BP658" t="s">
        <v>74</v>
      </c>
      <c r="BQ658" t="s">
        <v>74</v>
      </c>
      <c r="BR658" t="s">
        <v>105</v>
      </c>
      <c r="BS658" t="s">
        <v>12750</v>
      </c>
      <c r="BT658" t="str">
        <f>HYPERLINK("https%3A%2F%2Fwww.webofscience.com%2Fwos%2Fwoscc%2Ffull-record%2FWOS:000405784000006","View Full Record in Web of Science")</f>
        <v>View Full Record in Web of Science</v>
      </c>
    </row>
    <row r="659" spans="1:72" x14ac:dyDescent="0.15">
      <c r="A659" t="s">
        <v>72</v>
      </c>
      <c r="B659" t="s">
        <v>12751</v>
      </c>
      <c r="C659" t="s">
        <v>74</v>
      </c>
      <c r="D659" t="s">
        <v>74</v>
      </c>
      <c r="E659" t="s">
        <v>74</v>
      </c>
      <c r="F659" t="s">
        <v>12752</v>
      </c>
      <c r="G659" t="s">
        <v>74</v>
      </c>
      <c r="H659" t="s">
        <v>74</v>
      </c>
      <c r="I659" t="s">
        <v>12753</v>
      </c>
      <c r="J659" t="s">
        <v>3926</v>
      </c>
      <c r="K659" t="s">
        <v>74</v>
      </c>
      <c r="L659" t="s">
        <v>74</v>
      </c>
      <c r="M659" t="s">
        <v>78</v>
      </c>
      <c r="N659" t="s">
        <v>79</v>
      </c>
      <c r="O659" t="s">
        <v>74</v>
      </c>
      <c r="P659" t="s">
        <v>74</v>
      </c>
      <c r="Q659" t="s">
        <v>74</v>
      </c>
      <c r="R659" t="s">
        <v>74</v>
      </c>
      <c r="S659" t="s">
        <v>74</v>
      </c>
      <c r="T659" t="s">
        <v>12754</v>
      </c>
      <c r="U659" t="s">
        <v>12755</v>
      </c>
      <c r="V659" t="s">
        <v>12756</v>
      </c>
      <c r="W659" t="s">
        <v>12757</v>
      </c>
      <c r="X659" t="s">
        <v>12758</v>
      </c>
      <c r="Y659" t="s">
        <v>12759</v>
      </c>
      <c r="Z659" t="s">
        <v>12760</v>
      </c>
      <c r="AA659" t="s">
        <v>12761</v>
      </c>
      <c r="AB659" t="s">
        <v>12762</v>
      </c>
      <c r="AC659" t="s">
        <v>12763</v>
      </c>
      <c r="AD659" t="s">
        <v>12764</v>
      </c>
      <c r="AE659" t="s">
        <v>12765</v>
      </c>
      <c r="AF659" t="s">
        <v>74</v>
      </c>
      <c r="AG659">
        <v>107</v>
      </c>
      <c r="AH659">
        <v>16</v>
      </c>
      <c r="AI659">
        <v>16</v>
      </c>
      <c r="AJ659">
        <v>2</v>
      </c>
      <c r="AK659">
        <v>35</v>
      </c>
      <c r="AL659" t="s">
        <v>1981</v>
      </c>
      <c r="AM659" t="s">
        <v>729</v>
      </c>
      <c r="AN659" t="s">
        <v>1982</v>
      </c>
      <c r="AO659" t="s">
        <v>3939</v>
      </c>
      <c r="AP659" t="s">
        <v>3940</v>
      </c>
      <c r="AQ659" t="s">
        <v>74</v>
      </c>
      <c r="AR659" t="s">
        <v>3941</v>
      </c>
      <c r="AS659" t="s">
        <v>3942</v>
      </c>
      <c r="AT659" t="s">
        <v>10661</v>
      </c>
      <c r="AU659">
        <v>2017</v>
      </c>
      <c r="AV659">
        <v>210</v>
      </c>
      <c r="AW659" t="s">
        <v>74</v>
      </c>
      <c r="AX659" t="s">
        <v>74</v>
      </c>
      <c r="AY659" t="s">
        <v>74</v>
      </c>
      <c r="AZ659" t="s">
        <v>74</v>
      </c>
      <c r="BA659" t="s">
        <v>74</v>
      </c>
      <c r="BB659">
        <v>267</v>
      </c>
      <c r="BC659">
        <v>288</v>
      </c>
      <c r="BD659" t="s">
        <v>74</v>
      </c>
      <c r="BE659" t="s">
        <v>12766</v>
      </c>
      <c r="BF659" t="str">
        <f>HYPERLINK("http://dx.doi.org/10.1016/j.gca.2017.04.002","http://dx.doi.org/10.1016/j.gca.2017.04.002")</f>
        <v>http://dx.doi.org/10.1016/j.gca.2017.04.002</v>
      </c>
      <c r="BG659" t="s">
        <v>74</v>
      </c>
      <c r="BH659" t="s">
        <v>74</v>
      </c>
      <c r="BI659">
        <v>22</v>
      </c>
      <c r="BJ659" t="s">
        <v>509</v>
      </c>
      <c r="BK659" t="s">
        <v>101</v>
      </c>
      <c r="BL659" t="s">
        <v>509</v>
      </c>
      <c r="BM659" t="s">
        <v>12749</v>
      </c>
      <c r="BN659" t="s">
        <v>74</v>
      </c>
      <c r="BO659" t="s">
        <v>164</v>
      </c>
      <c r="BP659" t="s">
        <v>74</v>
      </c>
      <c r="BQ659" t="s">
        <v>74</v>
      </c>
      <c r="BR659" t="s">
        <v>105</v>
      </c>
      <c r="BS659" t="s">
        <v>12767</v>
      </c>
      <c r="BT659" t="str">
        <f>HYPERLINK("https%3A%2F%2Fwww.webofscience.com%2Fwos%2Fwoscc%2Ffull-record%2FWOS:000405784000014","View Full Record in Web of Science")</f>
        <v>View Full Record in Web of Science</v>
      </c>
    </row>
    <row r="660" spans="1:72" x14ac:dyDescent="0.15">
      <c r="A660" t="s">
        <v>72</v>
      </c>
      <c r="B660" t="s">
        <v>12768</v>
      </c>
      <c r="C660" t="s">
        <v>74</v>
      </c>
      <c r="D660" t="s">
        <v>74</v>
      </c>
      <c r="E660" t="s">
        <v>74</v>
      </c>
      <c r="F660" t="s">
        <v>12769</v>
      </c>
      <c r="G660" t="s">
        <v>74</v>
      </c>
      <c r="H660" t="s">
        <v>74</v>
      </c>
      <c r="I660" t="s">
        <v>12770</v>
      </c>
      <c r="J660" t="s">
        <v>12771</v>
      </c>
      <c r="K660" t="s">
        <v>74</v>
      </c>
      <c r="L660" t="s">
        <v>74</v>
      </c>
      <c r="M660" t="s">
        <v>78</v>
      </c>
      <c r="N660" t="s">
        <v>273</v>
      </c>
      <c r="O660" t="s">
        <v>74</v>
      </c>
      <c r="P660" t="s">
        <v>74</v>
      </c>
      <c r="Q660" t="s">
        <v>74</v>
      </c>
      <c r="R660" t="s">
        <v>74</v>
      </c>
      <c r="S660" t="s">
        <v>74</v>
      </c>
      <c r="T660" t="s">
        <v>12772</v>
      </c>
      <c r="U660" t="s">
        <v>12773</v>
      </c>
      <c r="V660" t="s">
        <v>12774</v>
      </c>
      <c r="W660" t="s">
        <v>12775</v>
      </c>
      <c r="X660" t="s">
        <v>12776</v>
      </c>
      <c r="Y660" t="s">
        <v>12777</v>
      </c>
      <c r="Z660" t="s">
        <v>12778</v>
      </c>
      <c r="AA660" t="s">
        <v>12779</v>
      </c>
      <c r="AB660" t="s">
        <v>12780</v>
      </c>
      <c r="AC660" t="s">
        <v>12781</v>
      </c>
      <c r="AD660" t="s">
        <v>12782</v>
      </c>
      <c r="AE660" t="s">
        <v>12783</v>
      </c>
      <c r="AF660" t="s">
        <v>74</v>
      </c>
      <c r="AG660">
        <v>54</v>
      </c>
      <c r="AH660">
        <v>25</v>
      </c>
      <c r="AI660">
        <v>26</v>
      </c>
      <c r="AJ660">
        <v>0</v>
      </c>
      <c r="AK660">
        <v>84</v>
      </c>
      <c r="AL660" t="s">
        <v>1338</v>
      </c>
      <c r="AM660" t="s">
        <v>1339</v>
      </c>
      <c r="AN660" t="s">
        <v>1340</v>
      </c>
      <c r="AO660" t="s">
        <v>12784</v>
      </c>
      <c r="AP660" t="s">
        <v>12785</v>
      </c>
      <c r="AQ660" t="s">
        <v>74</v>
      </c>
      <c r="AR660" t="s">
        <v>12786</v>
      </c>
      <c r="AS660" t="s">
        <v>12787</v>
      </c>
      <c r="AT660" t="s">
        <v>10370</v>
      </c>
      <c r="AU660">
        <v>2017</v>
      </c>
      <c r="AV660">
        <v>23</v>
      </c>
      <c r="AW660">
        <v>8</v>
      </c>
      <c r="AX660" t="s">
        <v>74</v>
      </c>
      <c r="AY660" t="s">
        <v>74</v>
      </c>
      <c r="AZ660" t="s">
        <v>74</v>
      </c>
      <c r="BA660" t="s">
        <v>74</v>
      </c>
      <c r="BB660">
        <v>2929</v>
      </c>
      <c r="BC660">
        <v>2940</v>
      </c>
      <c r="BD660" t="s">
        <v>74</v>
      </c>
      <c r="BE660" t="s">
        <v>12788</v>
      </c>
      <c r="BF660" t="str">
        <f>HYPERLINK("http://dx.doi.org/10.1111/gcb.13628","http://dx.doi.org/10.1111/gcb.13628")</f>
        <v>http://dx.doi.org/10.1111/gcb.13628</v>
      </c>
      <c r="BG660" t="s">
        <v>74</v>
      </c>
      <c r="BH660" t="s">
        <v>74</v>
      </c>
      <c r="BI660">
        <v>12</v>
      </c>
      <c r="BJ660" t="s">
        <v>12039</v>
      </c>
      <c r="BK660" t="s">
        <v>101</v>
      </c>
      <c r="BL660" t="s">
        <v>2593</v>
      </c>
      <c r="BM660" t="s">
        <v>12789</v>
      </c>
      <c r="BN660">
        <v>28100027</v>
      </c>
      <c r="BO660" t="s">
        <v>2804</v>
      </c>
      <c r="BP660" t="s">
        <v>74</v>
      </c>
      <c r="BQ660" t="s">
        <v>74</v>
      </c>
      <c r="BR660" t="s">
        <v>105</v>
      </c>
      <c r="BS660" t="s">
        <v>12790</v>
      </c>
      <c r="BT660" t="str">
        <f>HYPERLINK("https%3A%2F%2Fwww.webofscience.com%2Fwos%2Fwoscc%2Ffull-record%2FWOS:000404863300001","View Full Record in Web of Science")</f>
        <v>View Full Record in Web of Science</v>
      </c>
    </row>
    <row r="661" spans="1:72" x14ac:dyDescent="0.15">
      <c r="A661" t="s">
        <v>72</v>
      </c>
      <c r="B661" t="s">
        <v>12791</v>
      </c>
      <c r="C661" t="s">
        <v>74</v>
      </c>
      <c r="D661" t="s">
        <v>74</v>
      </c>
      <c r="E661" t="s">
        <v>74</v>
      </c>
      <c r="F661" t="s">
        <v>12792</v>
      </c>
      <c r="G661" t="s">
        <v>74</v>
      </c>
      <c r="H661" t="s">
        <v>74</v>
      </c>
      <c r="I661" t="s">
        <v>12793</v>
      </c>
      <c r="J661" t="s">
        <v>10479</v>
      </c>
      <c r="K661" t="s">
        <v>74</v>
      </c>
      <c r="L661" t="s">
        <v>74</v>
      </c>
      <c r="M661" t="s">
        <v>78</v>
      </c>
      <c r="N661" t="s">
        <v>79</v>
      </c>
      <c r="O661" t="s">
        <v>74</v>
      </c>
      <c r="P661" t="s">
        <v>74</v>
      </c>
      <c r="Q661" t="s">
        <v>74</v>
      </c>
      <c r="R661" t="s">
        <v>74</v>
      </c>
      <c r="S661" t="s">
        <v>74</v>
      </c>
      <c r="T661" t="s">
        <v>12794</v>
      </c>
      <c r="U661" t="s">
        <v>12795</v>
      </c>
      <c r="V661" t="s">
        <v>12796</v>
      </c>
      <c r="W661" t="s">
        <v>12797</v>
      </c>
      <c r="X661" t="s">
        <v>12798</v>
      </c>
      <c r="Y661" t="s">
        <v>10504</v>
      </c>
      <c r="Z661" t="s">
        <v>10505</v>
      </c>
      <c r="AA661" t="s">
        <v>12799</v>
      </c>
      <c r="AB661" t="s">
        <v>12800</v>
      </c>
      <c r="AC661" t="s">
        <v>10508</v>
      </c>
      <c r="AD661" t="s">
        <v>10509</v>
      </c>
      <c r="AE661" t="s">
        <v>12801</v>
      </c>
      <c r="AF661" t="s">
        <v>74</v>
      </c>
      <c r="AG661">
        <v>72</v>
      </c>
      <c r="AH661">
        <v>12</v>
      </c>
      <c r="AI661">
        <v>12</v>
      </c>
      <c r="AJ661">
        <v>0</v>
      </c>
      <c r="AK661">
        <v>18</v>
      </c>
      <c r="AL661" t="s">
        <v>1338</v>
      </c>
      <c r="AM661" t="s">
        <v>1339</v>
      </c>
      <c r="AN661" t="s">
        <v>1340</v>
      </c>
      <c r="AO661" t="s">
        <v>10489</v>
      </c>
      <c r="AP661" t="s">
        <v>10490</v>
      </c>
      <c r="AQ661" t="s">
        <v>74</v>
      </c>
      <c r="AR661" t="s">
        <v>10491</v>
      </c>
      <c r="AS661" t="s">
        <v>10492</v>
      </c>
      <c r="AT661" t="s">
        <v>10370</v>
      </c>
      <c r="AU661">
        <v>2017</v>
      </c>
      <c r="AV661">
        <v>37</v>
      </c>
      <c r="AW661" t="s">
        <v>74</v>
      </c>
      <c r="AX661" t="s">
        <v>74</v>
      </c>
      <c r="AY661">
        <v>1</v>
      </c>
      <c r="AZ661" t="s">
        <v>74</v>
      </c>
      <c r="BA661" t="s">
        <v>74</v>
      </c>
      <c r="BB661">
        <v>861</v>
      </c>
      <c r="BC661">
        <v>877</v>
      </c>
      <c r="BD661" t="s">
        <v>74</v>
      </c>
      <c r="BE661" t="s">
        <v>12802</v>
      </c>
      <c r="BF661" t="str">
        <f>HYPERLINK("http://dx.doi.org/10.1002/joc.5043","http://dx.doi.org/10.1002/joc.5043")</f>
        <v>http://dx.doi.org/10.1002/joc.5043</v>
      </c>
      <c r="BG661" t="s">
        <v>74</v>
      </c>
      <c r="BH661" t="s">
        <v>74</v>
      </c>
      <c r="BI661">
        <v>17</v>
      </c>
      <c r="BJ661" t="s">
        <v>162</v>
      </c>
      <c r="BK661" t="s">
        <v>101</v>
      </c>
      <c r="BL661" t="s">
        <v>162</v>
      </c>
      <c r="BM661" t="s">
        <v>10494</v>
      </c>
      <c r="BN661" t="s">
        <v>74</v>
      </c>
      <c r="BO661" t="s">
        <v>74</v>
      </c>
      <c r="BP661" t="s">
        <v>74</v>
      </c>
      <c r="BQ661" t="s">
        <v>74</v>
      </c>
      <c r="BR661" t="s">
        <v>105</v>
      </c>
      <c r="BS661" t="s">
        <v>12803</v>
      </c>
      <c r="BT661" t="str">
        <f>HYPERLINK("https%3A%2F%2Fwww.webofscience.com%2Fwos%2Fwoscc%2Ffull-record%2FWOS:000417298600058","View Full Record in Web of Science")</f>
        <v>View Full Record in Web of Science</v>
      </c>
    </row>
    <row r="662" spans="1:72" x14ac:dyDescent="0.15">
      <c r="A662" t="s">
        <v>72</v>
      </c>
      <c r="B662" t="s">
        <v>12804</v>
      </c>
      <c r="C662" t="s">
        <v>74</v>
      </c>
      <c r="D662" t="s">
        <v>74</v>
      </c>
      <c r="E662" t="s">
        <v>74</v>
      </c>
      <c r="F662" t="s">
        <v>12805</v>
      </c>
      <c r="G662" t="s">
        <v>74</v>
      </c>
      <c r="H662" t="s">
        <v>74</v>
      </c>
      <c r="I662" t="s">
        <v>12806</v>
      </c>
      <c r="J662" t="s">
        <v>12807</v>
      </c>
      <c r="K662" t="s">
        <v>74</v>
      </c>
      <c r="L662" t="s">
        <v>74</v>
      </c>
      <c r="M662" t="s">
        <v>78</v>
      </c>
      <c r="N662" t="s">
        <v>79</v>
      </c>
      <c r="O662" t="s">
        <v>74</v>
      </c>
      <c r="P662" t="s">
        <v>74</v>
      </c>
      <c r="Q662" t="s">
        <v>74</v>
      </c>
      <c r="R662" t="s">
        <v>74</v>
      </c>
      <c r="S662" t="s">
        <v>74</v>
      </c>
      <c r="T662" t="s">
        <v>12808</v>
      </c>
      <c r="U662" t="s">
        <v>12809</v>
      </c>
      <c r="V662" t="s">
        <v>12810</v>
      </c>
      <c r="W662" t="s">
        <v>12811</v>
      </c>
      <c r="X662" t="s">
        <v>12812</v>
      </c>
      <c r="Y662" t="s">
        <v>12813</v>
      </c>
      <c r="Z662" t="s">
        <v>12814</v>
      </c>
      <c r="AA662" t="s">
        <v>12815</v>
      </c>
      <c r="AB662" t="s">
        <v>12816</v>
      </c>
      <c r="AC662" t="s">
        <v>12817</v>
      </c>
      <c r="AD662" t="s">
        <v>12818</v>
      </c>
      <c r="AE662" t="s">
        <v>12819</v>
      </c>
      <c r="AF662" t="s">
        <v>74</v>
      </c>
      <c r="AG662">
        <v>33</v>
      </c>
      <c r="AH662">
        <v>17</v>
      </c>
      <c r="AI662">
        <v>21</v>
      </c>
      <c r="AJ662">
        <v>1</v>
      </c>
      <c r="AK662">
        <v>34</v>
      </c>
      <c r="AL662" t="s">
        <v>208</v>
      </c>
      <c r="AM662" t="s">
        <v>3872</v>
      </c>
      <c r="AN662" t="s">
        <v>3873</v>
      </c>
      <c r="AO662" t="s">
        <v>12820</v>
      </c>
      <c r="AP662" t="s">
        <v>12821</v>
      </c>
      <c r="AQ662" t="s">
        <v>74</v>
      </c>
      <c r="AR662" t="s">
        <v>12822</v>
      </c>
      <c r="AS662" t="s">
        <v>12823</v>
      </c>
      <c r="AT662" t="s">
        <v>10370</v>
      </c>
      <c r="AU662">
        <v>2017</v>
      </c>
      <c r="AV662">
        <v>29</v>
      </c>
      <c r="AW662">
        <v>4</v>
      </c>
      <c r="AX662" t="s">
        <v>74</v>
      </c>
      <c r="AY662" t="s">
        <v>74</v>
      </c>
      <c r="AZ662" t="s">
        <v>74</v>
      </c>
      <c r="BA662" t="s">
        <v>74</v>
      </c>
      <c r="BB662">
        <v>2077</v>
      </c>
      <c r="BC662">
        <v>2087</v>
      </c>
      <c r="BD662" t="s">
        <v>74</v>
      </c>
      <c r="BE662" t="s">
        <v>12824</v>
      </c>
      <c r="BF662" t="str">
        <f>HYPERLINK("http://dx.doi.org/10.1007/s10811-017-1097-3","http://dx.doi.org/10.1007/s10811-017-1097-3")</f>
        <v>http://dx.doi.org/10.1007/s10811-017-1097-3</v>
      </c>
      <c r="BG662" t="s">
        <v>74</v>
      </c>
      <c r="BH662" t="s">
        <v>74</v>
      </c>
      <c r="BI662">
        <v>11</v>
      </c>
      <c r="BJ662" t="s">
        <v>12825</v>
      </c>
      <c r="BK662" t="s">
        <v>101</v>
      </c>
      <c r="BL662" t="s">
        <v>12825</v>
      </c>
      <c r="BM662" t="s">
        <v>12826</v>
      </c>
      <c r="BN662" t="s">
        <v>74</v>
      </c>
      <c r="BO662" t="s">
        <v>74</v>
      </c>
      <c r="BP662" t="s">
        <v>74</v>
      </c>
      <c r="BQ662" t="s">
        <v>74</v>
      </c>
      <c r="BR662" t="s">
        <v>105</v>
      </c>
      <c r="BS662" t="s">
        <v>12827</v>
      </c>
      <c r="BT662" t="str">
        <f>HYPERLINK("https%3A%2F%2Fwww.webofscience.com%2Fwos%2Fwoscc%2Ffull-record%2FWOS:000405793500033","View Full Record in Web of Science")</f>
        <v>View Full Record in Web of Science</v>
      </c>
    </row>
    <row r="663" spans="1:72" x14ac:dyDescent="0.15">
      <c r="A663" t="s">
        <v>72</v>
      </c>
      <c r="B663" t="s">
        <v>12828</v>
      </c>
      <c r="C663" t="s">
        <v>74</v>
      </c>
      <c r="D663" t="s">
        <v>74</v>
      </c>
      <c r="E663" t="s">
        <v>74</v>
      </c>
      <c r="F663" t="s">
        <v>12829</v>
      </c>
      <c r="G663" t="s">
        <v>74</v>
      </c>
      <c r="H663" t="s">
        <v>74</v>
      </c>
      <c r="I663" t="s">
        <v>12830</v>
      </c>
      <c r="J663" t="s">
        <v>8230</v>
      </c>
      <c r="K663" t="s">
        <v>74</v>
      </c>
      <c r="L663" t="s">
        <v>74</v>
      </c>
      <c r="M663" t="s">
        <v>78</v>
      </c>
      <c r="N663" t="s">
        <v>79</v>
      </c>
      <c r="O663" t="s">
        <v>74</v>
      </c>
      <c r="P663" t="s">
        <v>74</v>
      </c>
      <c r="Q663" t="s">
        <v>74</v>
      </c>
      <c r="R663" t="s">
        <v>74</v>
      </c>
      <c r="S663" t="s">
        <v>74</v>
      </c>
      <c r="T663" t="s">
        <v>12831</v>
      </c>
      <c r="U663" t="s">
        <v>12832</v>
      </c>
      <c r="V663" t="s">
        <v>12833</v>
      </c>
      <c r="W663" t="s">
        <v>12834</v>
      </c>
      <c r="X663" t="s">
        <v>12835</v>
      </c>
      <c r="Y663" t="s">
        <v>12836</v>
      </c>
      <c r="Z663" t="s">
        <v>12837</v>
      </c>
      <c r="AA663" t="s">
        <v>12838</v>
      </c>
      <c r="AB663" t="s">
        <v>12839</v>
      </c>
      <c r="AC663" t="s">
        <v>74</v>
      </c>
      <c r="AD663" t="s">
        <v>74</v>
      </c>
      <c r="AE663" t="s">
        <v>74</v>
      </c>
      <c r="AF663" t="s">
        <v>74</v>
      </c>
      <c r="AG663">
        <v>48</v>
      </c>
      <c r="AH663">
        <v>5</v>
      </c>
      <c r="AI663">
        <v>5</v>
      </c>
      <c r="AJ663">
        <v>0</v>
      </c>
      <c r="AK663">
        <v>7</v>
      </c>
      <c r="AL663" t="s">
        <v>208</v>
      </c>
      <c r="AM663" t="s">
        <v>209</v>
      </c>
      <c r="AN663" t="s">
        <v>210</v>
      </c>
      <c r="AO663" t="s">
        <v>8243</v>
      </c>
      <c r="AP663" t="s">
        <v>8244</v>
      </c>
      <c r="AQ663" t="s">
        <v>74</v>
      </c>
      <c r="AR663" t="s">
        <v>8245</v>
      </c>
      <c r="AS663" t="s">
        <v>8246</v>
      </c>
      <c r="AT663" t="s">
        <v>10370</v>
      </c>
      <c r="AU663">
        <v>2017</v>
      </c>
      <c r="AV663">
        <v>91</v>
      </c>
      <c r="AW663">
        <v>8</v>
      </c>
      <c r="AX663" t="s">
        <v>74</v>
      </c>
      <c r="AY663" t="s">
        <v>74</v>
      </c>
      <c r="AZ663" t="s">
        <v>74</v>
      </c>
      <c r="BA663" t="s">
        <v>74</v>
      </c>
      <c r="BB663">
        <v>995</v>
      </c>
      <c r="BC663">
        <v>1011</v>
      </c>
      <c r="BD663" t="s">
        <v>74</v>
      </c>
      <c r="BE663" t="s">
        <v>12840</v>
      </c>
      <c r="BF663" t="str">
        <f>HYPERLINK("http://dx.doi.org/10.1007/s00190-017-1004-3","http://dx.doi.org/10.1007/s00190-017-1004-3")</f>
        <v>http://dx.doi.org/10.1007/s00190-017-1004-3</v>
      </c>
      <c r="BG663" t="s">
        <v>74</v>
      </c>
      <c r="BH663" t="s">
        <v>74</v>
      </c>
      <c r="BI663">
        <v>17</v>
      </c>
      <c r="BJ663" t="s">
        <v>8248</v>
      </c>
      <c r="BK663" t="s">
        <v>101</v>
      </c>
      <c r="BL663" t="s">
        <v>8248</v>
      </c>
      <c r="BM663" t="s">
        <v>12841</v>
      </c>
      <c r="BN663" t="s">
        <v>74</v>
      </c>
      <c r="BO663" t="s">
        <v>2091</v>
      </c>
      <c r="BP663" t="s">
        <v>74</v>
      </c>
      <c r="BQ663" t="s">
        <v>74</v>
      </c>
      <c r="BR663" t="s">
        <v>105</v>
      </c>
      <c r="BS663" t="s">
        <v>12842</v>
      </c>
      <c r="BT663" t="str">
        <f>HYPERLINK("https%3A%2F%2Fwww.webofscience.com%2Fwos%2Fwoscc%2Ffull-record%2FWOS:000405676500008","View Full Record in Web of Science")</f>
        <v>View Full Record in Web of Science</v>
      </c>
    </row>
    <row r="664" spans="1:72" x14ac:dyDescent="0.15">
      <c r="A664" t="s">
        <v>72</v>
      </c>
      <c r="B664" t="s">
        <v>12843</v>
      </c>
      <c r="C664" t="s">
        <v>74</v>
      </c>
      <c r="D664" t="s">
        <v>74</v>
      </c>
      <c r="E664" t="s">
        <v>74</v>
      </c>
      <c r="F664" t="s">
        <v>12844</v>
      </c>
      <c r="G664" t="s">
        <v>74</v>
      </c>
      <c r="H664" t="s">
        <v>74</v>
      </c>
      <c r="I664" t="s">
        <v>12845</v>
      </c>
      <c r="J664" t="s">
        <v>1441</v>
      </c>
      <c r="K664" t="s">
        <v>74</v>
      </c>
      <c r="L664" t="s">
        <v>74</v>
      </c>
      <c r="M664" t="s">
        <v>78</v>
      </c>
      <c r="N664" t="s">
        <v>79</v>
      </c>
      <c r="O664" t="s">
        <v>74</v>
      </c>
      <c r="P664" t="s">
        <v>74</v>
      </c>
      <c r="Q664" t="s">
        <v>74</v>
      </c>
      <c r="R664" t="s">
        <v>74</v>
      </c>
      <c r="S664" t="s">
        <v>74</v>
      </c>
      <c r="T664" t="s">
        <v>12846</v>
      </c>
      <c r="U664" t="s">
        <v>12847</v>
      </c>
      <c r="V664" t="s">
        <v>12848</v>
      </c>
      <c r="W664" t="s">
        <v>12849</v>
      </c>
      <c r="X664" t="s">
        <v>12850</v>
      </c>
      <c r="Y664" t="s">
        <v>12851</v>
      </c>
      <c r="Z664" t="s">
        <v>12852</v>
      </c>
      <c r="AA664" t="s">
        <v>12853</v>
      </c>
      <c r="AB664" t="s">
        <v>12854</v>
      </c>
      <c r="AC664" t="s">
        <v>12855</v>
      </c>
      <c r="AD664" t="s">
        <v>12856</v>
      </c>
      <c r="AE664" t="s">
        <v>12857</v>
      </c>
      <c r="AF664" t="s">
        <v>74</v>
      </c>
      <c r="AG664">
        <v>56</v>
      </c>
      <c r="AH664">
        <v>18</v>
      </c>
      <c r="AI664">
        <v>21</v>
      </c>
      <c r="AJ664">
        <v>0</v>
      </c>
      <c r="AK664">
        <v>16</v>
      </c>
      <c r="AL664" t="s">
        <v>91</v>
      </c>
      <c r="AM664" t="s">
        <v>92</v>
      </c>
      <c r="AN664" t="s">
        <v>93</v>
      </c>
      <c r="AO664" t="s">
        <v>1454</v>
      </c>
      <c r="AP664" t="s">
        <v>1455</v>
      </c>
      <c r="AQ664" t="s">
        <v>74</v>
      </c>
      <c r="AR664" t="s">
        <v>1456</v>
      </c>
      <c r="AS664" t="s">
        <v>1457</v>
      </c>
      <c r="AT664" t="s">
        <v>10370</v>
      </c>
      <c r="AU664">
        <v>2017</v>
      </c>
      <c r="AV664">
        <v>122</v>
      </c>
      <c r="AW664">
        <v>8</v>
      </c>
      <c r="AX664" t="s">
        <v>74</v>
      </c>
      <c r="AY664" t="s">
        <v>74</v>
      </c>
      <c r="AZ664" t="s">
        <v>74</v>
      </c>
      <c r="BA664" t="s">
        <v>74</v>
      </c>
      <c r="BB664">
        <v>6277</v>
      </c>
      <c r="BC664">
        <v>6294</v>
      </c>
      <c r="BD664" t="s">
        <v>74</v>
      </c>
      <c r="BE664" t="s">
        <v>12858</v>
      </c>
      <c r="BF664" t="str">
        <f>HYPERLINK("http://dx.doi.org/10.1002/2017JC012925","http://dx.doi.org/10.1002/2017JC012925")</f>
        <v>http://dx.doi.org/10.1002/2017JC012925</v>
      </c>
      <c r="BG664" t="s">
        <v>74</v>
      </c>
      <c r="BH664" t="s">
        <v>74</v>
      </c>
      <c r="BI664">
        <v>18</v>
      </c>
      <c r="BJ664" t="s">
        <v>1459</v>
      </c>
      <c r="BK664" t="s">
        <v>101</v>
      </c>
      <c r="BL664" t="s">
        <v>1459</v>
      </c>
      <c r="BM664" t="s">
        <v>10815</v>
      </c>
      <c r="BN664" t="s">
        <v>74</v>
      </c>
      <c r="BO664" t="s">
        <v>633</v>
      </c>
      <c r="BP664" t="s">
        <v>74</v>
      </c>
      <c r="BQ664" t="s">
        <v>74</v>
      </c>
      <c r="BR664" t="s">
        <v>105</v>
      </c>
      <c r="BS664" t="s">
        <v>12859</v>
      </c>
      <c r="BT664" t="str">
        <f>HYPERLINK("https%3A%2F%2Fwww.webofscience.com%2Fwos%2Fwoscc%2Ffull-record%2FWOS:000410790600013","View Full Record in Web of Science")</f>
        <v>View Full Record in Web of Science</v>
      </c>
    </row>
    <row r="665" spans="1:72" x14ac:dyDescent="0.15">
      <c r="A665" t="s">
        <v>72</v>
      </c>
      <c r="B665" t="s">
        <v>12860</v>
      </c>
      <c r="C665" t="s">
        <v>74</v>
      </c>
      <c r="D665" t="s">
        <v>74</v>
      </c>
      <c r="E665" t="s">
        <v>74</v>
      </c>
      <c r="F665" t="s">
        <v>12861</v>
      </c>
      <c r="G665" t="s">
        <v>74</v>
      </c>
      <c r="H665" t="s">
        <v>74</v>
      </c>
      <c r="I665" t="s">
        <v>12862</v>
      </c>
      <c r="J665" t="s">
        <v>1441</v>
      </c>
      <c r="K665" t="s">
        <v>74</v>
      </c>
      <c r="L665" t="s">
        <v>74</v>
      </c>
      <c r="M665" t="s">
        <v>78</v>
      </c>
      <c r="N665" t="s">
        <v>79</v>
      </c>
      <c r="O665" t="s">
        <v>74</v>
      </c>
      <c r="P665" t="s">
        <v>74</v>
      </c>
      <c r="Q665" t="s">
        <v>74</v>
      </c>
      <c r="R665" t="s">
        <v>74</v>
      </c>
      <c r="S665" t="s">
        <v>74</v>
      </c>
      <c r="T665" t="s">
        <v>12863</v>
      </c>
      <c r="U665" t="s">
        <v>12864</v>
      </c>
      <c r="V665" t="s">
        <v>12865</v>
      </c>
      <c r="W665" t="s">
        <v>12866</v>
      </c>
      <c r="X665" t="s">
        <v>12867</v>
      </c>
      <c r="Y665" t="s">
        <v>10920</v>
      </c>
      <c r="Z665" t="s">
        <v>10921</v>
      </c>
      <c r="AA665" t="s">
        <v>12868</v>
      </c>
      <c r="AB665" t="s">
        <v>12869</v>
      </c>
      <c r="AC665" t="s">
        <v>12870</v>
      </c>
      <c r="AD665" t="s">
        <v>12871</v>
      </c>
      <c r="AE665" t="s">
        <v>12872</v>
      </c>
      <c r="AF665" t="s">
        <v>74</v>
      </c>
      <c r="AG665">
        <v>74</v>
      </c>
      <c r="AH665">
        <v>172</v>
      </c>
      <c r="AI665">
        <v>183</v>
      </c>
      <c r="AJ665">
        <v>1</v>
      </c>
      <c r="AK665">
        <v>52</v>
      </c>
      <c r="AL665" t="s">
        <v>91</v>
      </c>
      <c r="AM665" t="s">
        <v>92</v>
      </c>
      <c r="AN665" t="s">
        <v>93</v>
      </c>
      <c r="AO665" t="s">
        <v>1454</v>
      </c>
      <c r="AP665" t="s">
        <v>1455</v>
      </c>
      <c r="AQ665" t="s">
        <v>74</v>
      </c>
      <c r="AR665" t="s">
        <v>1456</v>
      </c>
      <c r="AS665" t="s">
        <v>1457</v>
      </c>
      <c r="AT665" t="s">
        <v>10370</v>
      </c>
      <c r="AU665">
        <v>2017</v>
      </c>
      <c r="AV665">
        <v>122</v>
      </c>
      <c r="AW665">
        <v>8</v>
      </c>
      <c r="AX665" t="s">
        <v>74</v>
      </c>
      <c r="AY665" t="s">
        <v>74</v>
      </c>
      <c r="AZ665" t="s">
        <v>74</v>
      </c>
      <c r="BA665" t="s">
        <v>74</v>
      </c>
      <c r="BB665">
        <v>6416</v>
      </c>
      <c r="BC665">
        <v>6436</v>
      </c>
      <c r="BD665" t="s">
        <v>74</v>
      </c>
      <c r="BE665" t="s">
        <v>12873</v>
      </c>
      <c r="BF665" t="str">
        <f>HYPERLINK("http://dx.doi.org/10.1002/2017JC012838","http://dx.doi.org/10.1002/2017JC012838")</f>
        <v>http://dx.doi.org/10.1002/2017JC012838</v>
      </c>
      <c r="BG665" t="s">
        <v>74</v>
      </c>
      <c r="BH665" t="s">
        <v>74</v>
      </c>
      <c r="BI665">
        <v>21</v>
      </c>
      <c r="BJ665" t="s">
        <v>1459</v>
      </c>
      <c r="BK665" t="s">
        <v>101</v>
      </c>
      <c r="BL665" t="s">
        <v>1459</v>
      </c>
      <c r="BM665" t="s">
        <v>10815</v>
      </c>
      <c r="BN665" t="s">
        <v>74</v>
      </c>
      <c r="BO665" t="s">
        <v>1691</v>
      </c>
      <c r="BP665" t="s">
        <v>352</v>
      </c>
      <c r="BQ665" t="s">
        <v>353</v>
      </c>
      <c r="BR665" t="s">
        <v>105</v>
      </c>
      <c r="BS665" t="s">
        <v>12874</v>
      </c>
      <c r="BT665" t="str">
        <f>HYPERLINK("https%3A%2F%2Fwww.webofscience.com%2Fwos%2Fwoscc%2Ffull-record%2FWOS:000410790600021","View Full Record in Web of Science")</f>
        <v>View Full Record in Web of Science</v>
      </c>
    </row>
    <row r="666" spans="1:72" x14ac:dyDescent="0.15">
      <c r="A666" t="s">
        <v>72</v>
      </c>
      <c r="B666" t="s">
        <v>12875</v>
      </c>
      <c r="C666" t="s">
        <v>74</v>
      </c>
      <c r="D666" t="s">
        <v>74</v>
      </c>
      <c r="E666" t="s">
        <v>74</v>
      </c>
      <c r="F666" t="s">
        <v>12876</v>
      </c>
      <c r="G666" t="s">
        <v>74</v>
      </c>
      <c r="H666" t="s">
        <v>74</v>
      </c>
      <c r="I666" t="s">
        <v>12877</v>
      </c>
      <c r="J666" t="s">
        <v>1441</v>
      </c>
      <c r="K666" t="s">
        <v>74</v>
      </c>
      <c r="L666" t="s">
        <v>74</v>
      </c>
      <c r="M666" t="s">
        <v>78</v>
      </c>
      <c r="N666" t="s">
        <v>79</v>
      </c>
      <c r="O666" t="s">
        <v>74</v>
      </c>
      <c r="P666" t="s">
        <v>74</v>
      </c>
      <c r="Q666" t="s">
        <v>74</v>
      </c>
      <c r="R666" t="s">
        <v>74</v>
      </c>
      <c r="S666" t="s">
        <v>74</v>
      </c>
      <c r="T666" t="s">
        <v>74</v>
      </c>
      <c r="U666" t="s">
        <v>12878</v>
      </c>
      <c r="V666" t="s">
        <v>12879</v>
      </c>
      <c r="W666" t="s">
        <v>12880</v>
      </c>
      <c r="X666" t="s">
        <v>12881</v>
      </c>
      <c r="Y666" t="s">
        <v>12882</v>
      </c>
      <c r="Z666" t="s">
        <v>12883</v>
      </c>
      <c r="AA666" t="s">
        <v>12884</v>
      </c>
      <c r="AB666" t="s">
        <v>12885</v>
      </c>
      <c r="AC666" t="s">
        <v>12886</v>
      </c>
      <c r="AD666" t="s">
        <v>12887</v>
      </c>
      <c r="AE666" t="s">
        <v>12888</v>
      </c>
      <c r="AF666" t="s">
        <v>74</v>
      </c>
      <c r="AG666">
        <v>62</v>
      </c>
      <c r="AH666">
        <v>20</v>
      </c>
      <c r="AI666">
        <v>21</v>
      </c>
      <c r="AJ666">
        <v>0</v>
      </c>
      <c r="AK666">
        <v>6</v>
      </c>
      <c r="AL666" t="s">
        <v>91</v>
      </c>
      <c r="AM666" t="s">
        <v>92</v>
      </c>
      <c r="AN666" t="s">
        <v>93</v>
      </c>
      <c r="AO666" t="s">
        <v>1454</v>
      </c>
      <c r="AP666" t="s">
        <v>1455</v>
      </c>
      <c r="AQ666" t="s">
        <v>74</v>
      </c>
      <c r="AR666" t="s">
        <v>1456</v>
      </c>
      <c r="AS666" t="s">
        <v>1457</v>
      </c>
      <c r="AT666" t="s">
        <v>10370</v>
      </c>
      <c r="AU666">
        <v>2017</v>
      </c>
      <c r="AV666">
        <v>122</v>
      </c>
      <c r="AW666">
        <v>8</v>
      </c>
      <c r="AX666" t="s">
        <v>74</v>
      </c>
      <c r="AY666" t="s">
        <v>74</v>
      </c>
      <c r="AZ666" t="s">
        <v>74</v>
      </c>
      <c r="BA666" t="s">
        <v>74</v>
      </c>
      <c r="BB666">
        <v>6630</v>
      </c>
      <c r="BC666">
        <v>6647</v>
      </c>
      <c r="BD666" t="s">
        <v>74</v>
      </c>
      <c r="BE666" t="s">
        <v>12889</v>
      </c>
      <c r="BF666" t="str">
        <f>HYPERLINK("http://dx.doi.org/10.1002/2017JC013159","http://dx.doi.org/10.1002/2017JC013159")</f>
        <v>http://dx.doi.org/10.1002/2017JC013159</v>
      </c>
      <c r="BG666" t="s">
        <v>74</v>
      </c>
      <c r="BH666" t="s">
        <v>74</v>
      </c>
      <c r="BI666">
        <v>18</v>
      </c>
      <c r="BJ666" t="s">
        <v>1459</v>
      </c>
      <c r="BK666" t="s">
        <v>101</v>
      </c>
      <c r="BL666" t="s">
        <v>1459</v>
      </c>
      <c r="BM666" t="s">
        <v>10815</v>
      </c>
      <c r="BN666" t="s">
        <v>74</v>
      </c>
      <c r="BO666" t="s">
        <v>12890</v>
      </c>
      <c r="BP666" t="s">
        <v>74</v>
      </c>
      <c r="BQ666" t="s">
        <v>74</v>
      </c>
      <c r="BR666" t="s">
        <v>105</v>
      </c>
      <c r="BS666" t="s">
        <v>12891</v>
      </c>
      <c r="BT666" t="str">
        <f>HYPERLINK("https%3A%2F%2Fwww.webofscience.com%2Fwos%2Fwoscc%2Ffull-record%2FWOS:000410790600034","View Full Record in Web of Science")</f>
        <v>View Full Record in Web of Science</v>
      </c>
    </row>
    <row r="667" spans="1:72" x14ac:dyDescent="0.15">
      <c r="A667" t="s">
        <v>72</v>
      </c>
      <c r="B667" t="s">
        <v>12892</v>
      </c>
      <c r="C667" t="s">
        <v>74</v>
      </c>
      <c r="D667" t="s">
        <v>74</v>
      </c>
      <c r="E667" t="s">
        <v>74</v>
      </c>
      <c r="F667" t="s">
        <v>12893</v>
      </c>
      <c r="G667" t="s">
        <v>74</v>
      </c>
      <c r="H667" t="s">
        <v>74</v>
      </c>
      <c r="I667" t="s">
        <v>12894</v>
      </c>
      <c r="J667" t="s">
        <v>1261</v>
      </c>
      <c r="K667" t="s">
        <v>74</v>
      </c>
      <c r="L667" t="s">
        <v>74</v>
      </c>
      <c r="M667" t="s">
        <v>78</v>
      </c>
      <c r="N667" t="s">
        <v>79</v>
      </c>
      <c r="O667" t="s">
        <v>74</v>
      </c>
      <c r="P667" t="s">
        <v>74</v>
      </c>
      <c r="Q667" t="s">
        <v>74</v>
      </c>
      <c r="R667" t="s">
        <v>74</v>
      </c>
      <c r="S667" t="s">
        <v>74</v>
      </c>
      <c r="T667" t="s">
        <v>12895</v>
      </c>
      <c r="U667" t="s">
        <v>12896</v>
      </c>
      <c r="V667" t="s">
        <v>12897</v>
      </c>
      <c r="W667" t="s">
        <v>12898</v>
      </c>
      <c r="X667" t="s">
        <v>12899</v>
      </c>
      <c r="Y667" t="s">
        <v>12900</v>
      </c>
      <c r="Z667" t="s">
        <v>12901</v>
      </c>
      <c r="AA667" t="s">
        <v>12902</v>
      </c>
      <c r="AB667" t="s">
        <v>12903</v>
      </c>
      <c r="AC667" t="s">
        <v>12904</v>
      </c>
      <c r="AD667" t="s">
        <v>12905</v>
      </c>
      <c r="AE667" t="s">
        <v>12906</v>
      </c>
      <c r="AF667" t="s">
        <v>74</v>
      </c>
      <c r="AG667">
        <v>41</v>
      </c>
      <c r="AH667">
        <v>18</v>
      </c>
      <c r="AI667">
        <v>20</v>
      </c>
      <c r="AJ667">
        <v>0</v>
      </c>
      <c r="AK667">
        <v>8</v>
      </c>
      <c r="AL667" t="s">
        <v>1270</v>
      </c>
      <c r="AM667" t="s">
        <v>286</v>
      </c>
      <c r="AN667" t="s">
        <v>1271</v>
      </c>
      <c r="AO667" t="s">
        <v>1272</v>
      </c>
      <c r="AP667" t="s">
        <v>1273</v>
      </c>
      <c r="AQ667" t="s">
        <v>74</v>
      </c>
      <c r="AR667" t="s">
        <v>1274</v>
      </c>
      <c r="AS667" t="s">
        <v>1275</v>
      </c>
      <c r="AT667" t="s">
        <v>10370</v>
      </c>
      <c r="AU667">
        <v>2017</v>
      </c>
      <c r="AV667">
        <v>63</v>
      </c>
      <c r="AW667">
        <v>240</v>
      </c>
      <c r="AX667" t="s">
        <v>74</v>
      </c>
      <c r="AY667" t="s">
        <v>74</v>
      </c>
      <c r="AZ667" t="s">
        <v>74</v>
      </c>
      <c r="BA667" t="s">
        <v>74</v>
      </c>
      <c r="BB667">
        <v>683</v>
      </c>
      <c r="BC667">
        <v>690</v>
      </c>
      <c r="BD667" t="s">
        <v>74</v>
      </c>
      <c r="BE667" t="s">
        <v>12907</v>
      </c>
      <c r="BF667" t="str">
        <f>HYPERLINK("http://dx.doi.org/10.1017/jog.2017.39","http://dx.doi.org/10.1017/jog.2017.39")</f>
        <v>http://dx.doi.org/10.1017/jog.2017.39</v>
      </c>
      <c r="BG667" t="s">
        <v>74</v>
      </c>
      <c r="BH667" t="s">
        <v>74</v>
      </c>
      <c r="BI667">
        <v>8</v>
      </c>
      <c r="BJ667" t="s">
        <v>319</v>
      </c>
      <c r="BK667" t="s">
        <v>101</v>
      </c>
      <c r="BL667" t="s">
        <v>320</v>
      </c>
      <c r="BM667" t="s">
        <v>10547</v>
      </c>
      <c r="BN667" t="s">
        <v>74</v>
      </c>
      <c r="BO667" t="s">
        <v>459</v>
      </c>
      <c r="BP667" t="s">
        <v>74</v>
      </c>
      <c r="BQ667" t="s">
        <v>74</v>
      </c>
      <c r="BR667" t="s">
        <v>105</v>
      </c>
      <c r="BS667" t="s">
        <v>12908</v>
      </c>
      <c r="BT667" t="str">
        <f>HYPERLINK("https%3A%2F%2Fwww.webofscience.com%2Fwos%2Fwoscc%2Ffull-record%2FWOS:000415869500011","View Full Record in Web of Science")</f>
        <v>View Full Record in Web of Science</v>
      </c>
    </row>
    <row r="668" spans="1:72" x14ac:dyDescent="0.15">
      <c r="A668" t="s">
        <v>72</v>
      </c>
      <c r="B668" t="s">
        <v>12909</v>
      </c>
      <c r="C668" t="s">
        <v>74</v>
      </c>
      <c r="D668" t="s">
        <v>74</v>
      </c>
      <c r="E668" t="s">
        <v>74</v>
      </c>
      <c r="F668" t="s">
        <v>12910</v>
      </c>
      <c r="G668" t="s">
        <v>74</v>
      </c>
      <c r="H668" t="s">
        <v>74</v>
      </c>
      <c r="I668" t="s">
        <v>12911</v>
      </c>
      <c r="J668" t="s">
        <v>12912</v>
      </c>
      <c r="K668" t="s">
        <v>74</v>
      </c>
      <c r="L668" t="s">
        <v>74</v>
      </c>
      <c r="M668" t="s">
        <v>78</v>
      </c>
      <c r="N668" t="s">
        <v>79</v>
      </c>
      <c r="O668" t="s">
        <v>74</v>
      </c>
      <c r="P668" t="s">
        <v>74</v>
      </c>
      <c r="Q668" t="s">
        <v>74</v>
      </c>
      <c r="R668" t="s">
        <v>74</v>
      </c>
      <c r="S668" t="s">
        <v>74</v>
      </c>
      <c r="T668" t="s">
        <v>74</v>
      </c>
      <c r="U668" t="s">
        <v>12913</v>
      </c>
      <c r="V668" t="s">
        <v>12914</v>
      </c>
      <c r="W668" t="s">
        <v>12915</v>
      </c>
      <c r="X668" t="s">
        <v>12916</v>
      </c>
      <c r="Y668" t="s">
        <v>12917</v>
      </c>
      <c r="Z668" t="s">
        <v>12918</v>
      </c>
      <c r="AA668" t="s">
        <v>12919</v>
      </c>
      <c r="AB668" t="s">
        <v>12920</v>
      </c>
      <c r="AC668" t="s">
        <v>12921</v>
      </c>
      <c r="AD668" t="s">
        <v>12922</v>
      </c>
      <c r="AE668" t="s">
        <v>12923</v>
      </c>
      <c r="AF668" t="s">
        <v>74</v>
      </c>
      <c r="AG668">
        <v>53</v>
      </c>
      <c r="AH668">
        <v>52</v>
      </c>
      <c r="AI668">
        <v>53</v>
      </c>
      <c r="AJ668">
        <v>2</v>
      </c>
      <c r="AK668">
        <v>31</v>
      </c>
      <c r="AL668" t="s">
        <v>9467</v>
      </c>
      <c r="AM668" t="s">
        <v>92</v>
      </c>
      <c r="AN668" t="s">
        <v>9468</v>
      </c>
      <c r="AO668" t="s">
        <v>12924</v>
      </c>
      <c r="AP668" t="s">
        <v>12925</v>
      </c>
      <c r="AQ668" t="s">
        <v>74</v>
      </c>
      <c r="AR668" t="s">
        <v>12926</v>
      </c>
      <c r="AS668" t="s">
        <v>12927</v>
      </c>
      <c r="AT668" t="s">
        <v>10370</v>
      </c>
      <c r="AU668">
        <v>2017</v>
      </c>
      <c r="AV668">
        <v>80</v>
      </c>
      <c r="AW668">
        <v>8</v>
      </c>
      <c r="AX668" t="s">
        <v>74</v>
      </c>
      <c r="AY668" t="s">
        <v>74</v>
      </c>
      <c r="AZ668" t="s">
        <v>74</v>
      </c>
      <c r="BA668" t="s">
        <v>74</v>
      </c>
      <c r="BB668">
        <v>2224</v>
      </c>
      <c r="BC668">
        <v>2231</v>
      </c>
      <c r="BD668" t="s">
        <v>74</v>
      </c>
      <c r="BE668" t="s">
        <v>12928</v>
      </c>
      <c r="BF668" t="str">
        <f>HYPERLINK("http://dx.doi.org/10.1021/acs.jnatprod.7b00085","http://dx.doi.org/10.1021/acs.jnatprod.7b00085")</f>
        <v>http://dx.doi.org/10.1021/acs.jnatprod.7b00085</v>
      </c>
      <c r="BG668" t="s">
        <v>74</v>
      </c>
      <c r="BH668" t="s">
        <v>74</v>
      </c>
      <c r="BI668">
        <v>8</v>
      </c>
      <c r="BJ668" t="s">
        <v>12929</v>
      </c>
      <c r="BK668" t="s">
        <v>12930</v>
      </c>
      <c r="BL668" t="s">
        <v>12931</v>
      </c>
      <c r="BM668" t="s">
        <v>12932</v>
      </c>
      <c r="BN668">
        <v>28783339</v>
      </c>
      <c r="BO668" t="s">
        <v>2091</v>
      </c>
      <c r="BP668" t="s">
        <v>74</v>
      </c>
      <c r="BQ668" t="s">
        <v>74</v>
      </c>
      <c r="BR668" t="s">
        <v>105</v>
      </c>
      <c r="BS668" t="s">
        <v>12933</v>
      </c>
      <c r="BT668" t="str">
        <f>HYPERLINK("https%3A%2F%2Fwww.webofscience.com%2Fwos%2Fwoscc%2Ffull-record%2FWOS:000408702600005","View Full Record in Web of Science")</f>
        <v>View Full Record in Web of Science</v>
      </c>
    </row>
    <row r="669" spans="1:72" x14ac:dyDescent="0.15">
      <c r="A669" t="s">
        <v>72</v>
      </c>
      <c r="B669" t="s">
        <v>12934</v>
      </c>
      <c r="C669" t="s">
        <v>74</v>
      </c>
      <c r="D669" t="s">
        <v>74</v>
      </c>
      <c r="E669" t="s">
        <v>74</v>
      </c>
      <c r="F669" t="s">
        <v>12935</v>
      </c>
      <c r="G669" t="s">
        <v>74</v>
      </c>
      <c r="H669" t="s">
        <v>74</v>
      </c>
      <c r="I669" t="s">
        <v>12936</v>
      </c>
      <c r="J669" t="s">
        <v>11303</v>
      </c>
      <c r="K669" t="s">
        <v>74</v>
      </c>
      <c r="L669" t="s">
        <v>74</v>
      </c>
      <c r="M669" t="s">
        <v>78</v>
      </c>
      <c r="N669" t="s">
        <v>79</v>
      </c>
      <c r="O669" t="s">
        <v>74</v>
      </c>
      <c r="P669" t="s">
        <v>74</v>
      </c>
      <c r="Q669" t="s">
        <v>74</v>
      </c>
      <c r="R669" t="s">
        <v>74</v>
      </c>
      <c r="S669" t="s">
        <v>74</v>
      </c>
      <c r="T669" t="s">
        <v>12937</v>
      </c>
      <c r="U669" t="s">
        <v>12938</v>
      </c>
      <c r="V669" t="s">
        <v>12939</v>
      </c>
      <c r="W669" t="s">
        <v>12940</v>
      </c>
      <c r="X669" t="s">
        <v>12941</v>
      </c>
      <c r="Y669" t="s">
        <v>12942</v>
      </c>
      <c r="Z669" t="s">
        <v>12943</v>
      </c>
      <c r="AA669" t="s">
        <v>74</v>
      </c>
      <c r="AB669" t="s">
        <v>12944</v>
      </c>
      <c r="AC669" t="s">
        <v>12945</v>
      </c>
      <c r="AD669" t="s">
        <v>12946</v>
      </c>
      <c r="AE669" t="s">
        <v>12947</v>
      </c>
      <c r="AF669" t="s">
        <v>74</v>
      </c>
      <c r="AG669">
        <v>25</v>
      </c>
      <c r="AH669">
        <v>12</v>
      </c>
      <c r="AI669">
        <v>14</v>
      </c>
      <c r="AJ669">
        <v>0</v>
      </c>
      <c r="AK669">
        <v>19</v>
      </c>
      <c r="AL669" t="s">
        <v>1338</v>
      </c>
      <c r="AM669" t="s">
        <v>1339</v>
      </c>
      <c r="AN669" t="s">
        <v>1340</v>
      </c>
      <c r="AO669" t="s">
        <v>11316</v>
      </c>
      <c r="AP669" t="s">
        <v>11317</v>
      </c>
      <c r="AQ669" t="s">
        <v>74</v>
      </c>
      <c r="AR669" t="s">
        <v>11318</v>
      </c>
      <c r="AS669" t="s">
        <v>11319</v>
      </c>
      <c r="AT669" t="s">
        <v>10370</v>
      </c>
      <c r="AU669">
        <v>2017</v>
      </c>
      <c r="AV669">
        <v>53</v>
      </c>
      <c r="AW669">
        <v>4</v>
      </c>
      <c r="AX669" t="s">
        <v>74</v>
      </c>
      <c r="AY669" t="s">
        <v>74</v>
      </c>
      <c r="AZ669" t="s">
        <v>74</v>
      </c>
      <c r="BA669" t="s">
        <v>74</v>
      </c>
      <c r="BB669">
        <v>848</v>
      </c>
      <c r="BC669">
        <v>854</v>
      </c>
      <c r="BD669" t="s">
        <v>74</v>
      </c>
      <c r="BE669" t="s">
        <v>12948</v>
      </c>
      <c r="BF669" t="str">
        <f>HYPERLINK("http://dx.doi.org/10.1111/jpy.12550","http://dx.doi.org/10.1111/jpy.12550")</f>
        <v>http://dx.doi.org/10.1111/jpy.12550</v>
      </c>
      <c r="BG669" t="s">
        <v>74</v>
      </c>
      <c r="BH669" t="s">
        <v>74</v>
      </c>
      <c r="BI669">
        <v>7</v>
      </c>
      <c r="BJ669" t="s">
        <v>10762</v>
      </c>
      <c r="BK669" t="s">
        <v>101</v>
      </c>
      <c r="BL669" t="s">
        <v>10762</v>
      </c>
      <c r="BM669" t="s">
        <v>11321</v>
      </c>
      <c r="BN669">
        <v>28543018</v>
      </c>
      <c r="BO669" t="s">
        <v>1240</v>
      </c>
      <c r="BP669" t="s">
        <v>74</v>
      </c>
      <c r="BQ669" t="s">
        <v>74</v>
      </c>
      <c r="BR669" t="s">
        <v>105</v>
      </c>
      <c r="BS669" t="s">
        <v>12949</v>
      </c>
      <c r="BT669" t="str">
        <f>HYPERLINK("https%3A%2F%2Fwww.webofscience.com%2Fwos%2Fwoscc%2Ffull-record%2FWOS:000409242000009","View Full Record in Web of Science")</f>
        <v>View Full Record in Web of Science</v>
      </c>
    </row>
    <row r="670" spans="1:72" x14ac:dyDescent="0.15">
      <c r="A670" t="s">
        <v>72</v>
      </c>
      <c r="B670" t="s">
        <v>12950</v>
      </c>
      <c r="C670" t="s">
        <v>74</v>
      </c>
      <c r="D670" t="s">
        <v>74</v>
      </c>
      <c r="E670" t="s">
        <v>74</v>
      </c>
      <c r="F670" t="s">
        <v>12951</v>
      </c>
      <c r="G670" t="s">
        <v>74</v>
      </c>
      <c r="H670" t="s">
        <v>74</v>
      </c>
      <c r="I670" t="s">
        <v>12952</v>
      </c>
      <c r="J670" t="s">
        <v>2012</v>
      </c>
      <c r="K670" t="s">
        <v>74</v>
      </c>
      <c r="L670" t="s">
        <v>74</v>
      </c>
      <c r="M670" t="s">
        <v>78</v>
      </c>
      <c r="N670" t="s">
        <v>79</v>
      </c>
      <c r="O670" t="s">
        <v>74</v>
      </c>
      <c r="P670" t="s">
        <v>74</v>
      </c>
      <c r="Q670" t="s">
        <v>74</v>
      </c>
      <c r="R670" t="s">
        <v>74</v>
      </c>
      <c r="S670" t="s">
        <v>74</v>
      </c>
      <c r="T670" t="s">
        <v>12953</v>
      </c>
      <c r="U670" t="s">
        <v>12954</v>
      </c>
      <c r="V670" t="s">
        <v>12955</v>
      </c>
      <c r="W670" t="s">
        <v>12956</v>
      </c>
      <c r="X670" t="s">
        <v>12957</v>
      </c>
      <c r="Y670" t="s">
        <v>12958</v>
      </c>
      <c r="Z670" t="s">
        <v>12959</v>
      </c>
      <c r="AA670" t="s">
        <v>12960</v>
      </c>
      <c r="AB670" t="s">
        <v>12961</v>
      </c>
      <c r="AC670" t="s">
        <v>12962</v>
      </c>
      <c r="AD670" t="s">
        <v>12963</v>
      </c>
      <c r="AE670" t="s">
        <v>12964</v>
      </c>
      <c r="AF670" t="s">
        <v>74</v>
      </c>
      <c r="AG670">
        <v>76</v>
      </c>
      <c r="AH670">
        <v>18</v>
      </c>
      <c r="AI670">
        <v>20</v>
      </c>
      <c r="AJ670">
        <v>0</v>
      </c>
      <c r="AK670">
        <v>14</v>
      </c>
      <c r="AL670" t="s">
        <v>1338</v>
      </c>
      <c r="AM670" t="s">
        <v>1339</v>
      </c>
      <c r="AN670" t="s">
        <v>1340</v>
      </c>
      <c r="AO670" t="s">
        <v>2025</v>
      </c>
      <c r="AP670" t="s">
        <v>2026</v>
      </c>
      <c r="AQ670" t="s">
        <v>74</v>
      </c>
      <c r="AR670" t="s">
        <v>2027</v>
      </c>
      <c r="AS670" t="s">
        <v>2028</v>
      </c>
      <c r="AT670" t="s">
        <v>10370</v>
      </c>
      <c r="AU670">
        <v>2017</v>
      </c>
      <c r="AV670">
        <v>32</v>
      </c>
      <c r="AW670">
        <v>6</v>
      </c>
      <c r="AX670" t="s">
        <v>74</v>
      </c>
      <c r="AY670" t="s">
        <v>74</v>
      </c>
      <c r="AZ670" t="s">
        <v>1188</v>
      </c>
      <c r="BA670" t="s">
        <v>74</v>
      </c>
      <c r="BB670">
        <v>685</v>
      </c>
      <c r="BC670">
        <v>703</v>
      </c>
      <c r="BD670" t="s">
        <v>74</v>
      </c>
      <c r="BE670" t="s">
        <v>12965</v>
      </c>
      <c r="BF670" t="str">
        <f>HYPERLINK("http://dx.doi.org/10.1002/jqs.2955","http://dx.doi.org/10.1002/jqs.2955")</f>
        <v>http://dx.doi.org/10.1002/jqs.2955</v>
      </c>
      <c r="BG670" t="s">
        <v>74</v>
      </c>
      <c r="BH670" t="s">
        <v>74</v>
      </c>
      <c r="BI670">
        <v>19</v>
      </c>
      <c r="BJ670" t="s">
        <v>319</v>
      </c>
      <c r="BK670" t="s">
        <v>101</v>
      </c>
      <c r="BL670" t="s">
        <v>320</v>
      </c>
      <c r="BM670" t="s">
        <v>11357</v>
      </c>
      <c r="BN670" t="s">
        <v>74</v>
      </c>
      <c r="BO670" t="s">
        <v>74</v>
      </c>
      <c r="BP670" t="s">
        <v>74</v>
      </c>
      <c r="BQ670" t="s">
        <v>74</v>
      </c>
      <c r="BR670" t="s">
        <v>105</v>
      </c>
      <c r="BS670" t="s">
        <v>12966</v>
      </c>
      <c r="BT670" t="str">
        <f>HYPERLINK("https%3A%2F%2Fwww.webofscience.com%2Fwos%2Fwoscc%2Ffull-record%2FWOS:000409047100003","View Full Record in Web of Science")</f>
        <v>View Full Record in Web of Science</v>
      </c>
    </row>
    <row r="671" spans="1:72" x14ac:dyDescent="0.15">
      <c r="A671" t="s">
        <v>72</v>
      </c>
      <c r="B671" t="s">
        <v>12967</v>
      </c>
      <c r="C671" t="s">
        <v>74</v>
      </c>
      <c r="D671" t="s">
        <v>74</v>
      </c>
      <c r="E671" t="s">
        <v>74</v>
      </c>
      <c r="F671" t="s">
        <v>12968</v>
      </c>
      <c r="G671" t="s">
        <v>74</v>
      </c>
      <c r="H671" t="s">
        <v>74</v>
      </c>
      <c r="I671" t="s">
        <v>12969</v>
      </c>
      <c r="J671" t="s">
        <v>2012</v>
      </c>
      <c r="K671" t="s">
        <v>74</v>
      </c>
      <c r="L671" t="s">
        <v>74</v>
      </c>
      <c r="M671" t="s">
        <v>78</v>
      </c>
      <c r="N671" t="s">
        <v>79</v>
      </c>
      <c r="O671" t="s">
        <v>74</v>
      </c>
      <c r="P671" t="s">
        <v>74</v>
      </c>
      <c r="Q671" t="s">
        <v>74</v>
      </c>
      <c r="R671" t="s">
        <v>74</v>
      </c>
      <c r="S671" t="s">
        <v>74</v>
      </c>
      <c r="T671" t="s">
        <v>12970</v>
      </c>
      <c r="U671" t="s">
        <v>12971</v>
      </c>
      <c r="V671" t="s">
        <v>12972</v>
      </c>
      <c r="W671" t="s">
        <v>12973</v>
      </c>
      <c r="X671" t="s">
        <v>12974</v>
      </c>
      <c r="Y671" t="s">
        <v>12975</v>
      </c>
      <c r="Z671" t="s">
        <v>12976</v>
      </c>
      <c r="AA671" t="s">
        <v>12977</v>
      </c>
      <c r="AB671" t="s">
        <v>12978</v>
      </c>
      <c r="AC671" t="s">
        <v>12979</v>
      </c>
      <c r="AD671" t="s">
        <v>12980</v>
      </c>
      <c r="AE671" t="s">
        <v>12981</v>
      </c>
      <c r="AF671" t="s">
        <v>74</v>
      </c>
      <c r="AG671">
        <v>118</v>
      </c>
      <c r="AH671">
        <v>18</v>
      </c>
      <c r="AI671">
        <v>19</v>
      </c>
      <c r="AJ671">
        <v>1</v>
      </c>
      <c r="AK671">
        <v>17</v>
      </c>
      <c r="AL671" t="s">
        <v>1338</v>
      </c>
      <c r="AM671" t="s">
        <v>1339</v>
      </c>
      <c r="AN671" t="s">
        <v>1340</v>
      </c>
      <c r="AO671" t="s">
        <v>2025</v>
      </c>
      <c r="AP671" t="s">
        <v>2026</v>
      </c>
      <c r="AQ671" t="s">
        <v>74</v>
      </c>
      <c r="AR671" t="s">
        <v>2027</v>
      </c>
      <c r="AS671" t="s">
        <v>2028</v>
      </c>
      <c r="AT671" t="s">
        <v>10370</v>
      </c>
      <c r="AU671">
        <v>2017</v>
      </c>
      <c r="AV671">
        <v>32</v>
      </c>
      <c r="AW671">
        <v>6</v>
      </c>
      <c r="AX671" t="s">
        <v>74</v>
      </c>
      <c r="AY671" t="s">
        <v>74</v>
      </c>
      <c r="AZ671" t="s">
        <v>1188</v>
      </c>
      <c r="BA671" t="s">
        <v>74</v>
      </c>
      <c r="BB671">
        <v>888</v>
      </c>
      <c r="BC671">
        <v>901</v>
      </c>
      <c r="BD671" t="s">
        <v>74</v>
      </c>
      <c r="BE671" t="s">
        <v>12982</v>
      </c>
      <c r="BF671" t="str">
        <f>HYPERLINK("http://dx.doi.org/10.1002/jqs.2937","http://dx.doi.org/10.1002/jqs.2937")</f>
        <v>http://dx.doi.org/10.1002/jqs.2937</v>
      </c>
      <c r="BG671" t="s">
        <v>74</v>
      </c>
      <c r="BH671" t="s">
        <v>74</v>
      </c>
      <c r="BI671">
        <v>14</v>
      </c>
      <c r="BJ671" t="s">
        <v>319</v>
      </c>
      <c r="BK671" t="s">
        <v>101</v>
      </c>
      <c r="BL671" t="s">
        <v>320</v>
      </c>
      <c r="BM671" t="s">
        <v>11357</v>
      </c>
      <c r="BN671" t="s">
        <v>74</v>
      </c>
      <c r="BO671" t="s">
        <v>74</v>
      </c>
      <c r="BP671" t="s">
        <v>74</v>
      </c>
      <c r="BQ671" t="s">
        <v>74</v>
      </c>
      <c r="BR671" t="s">
        <v>105</v>
      </c>
      <c r="BS671" t="s">
        <v>12983</v>
      </c>
      <c r="BT671" t="str">
        <f>HYPERLINK("https%3A%2F%2Fwww.webofscience.com%2Fwos%2Fwoscc%2Ffull-record%2FWOS:000409047100016","View Full Record in Web of Science")</f>
        <v>View Full Record in Web of Science</v>
      </c>
    </row>
    <row r="672" spans="1:72" x14ac:dyDescent="0.15">
      <c r="A672" t="s">
        <v>72</v>
      </c>
      <c r="B672" t="s">
        <v>12984</v>
      </c>
      <c r="C672" t="s">
        <v>74</v>
      </c>
      <c r="D672" t="s">
        <v>74</v>
      </c>
      <c r="E672" t="s">
        <v>74</v>
      </c>
      <c r="F672" t="s">
        <v>12985</v>
      </c>
      <c r="G672" t="s">
        <v>74</v>
      </c>
      <c r="H672" t="s">
        <v>74</v>
      </c>
      <c r="I672" t="s">
        <v>12986</v>
      </c>
      <c r="J672" t="s">
        <v>10445</v>
      </c>
      <c r="K672" t="s">
        <v>74</v>
      </c>
      <c r="L672" t="s">
        <v>74</v>
      </c>
      <c r="M672" t="s">
        <v>10446</v>
      </c>
      <c r="N672" t="s">
        <v>79</v>
      </c>
      <c r="O672" t="s">
        <v>74</v>
      </c>
      <c r="P672" t="s">
        <v>74</v>
      </c>
      <c r="Q672" t="s">
        <v>74</v>
      </c>
      <c r="R672" t="s">
        <v>74</v>
      </c>
      <c r="S672" t="s">
        <v>74</v>
      </c>
      <c r="T672" t="s">
        <v>12987</v>
      </c>
      <c r="U672" t="s">
        <v>12988</v>
      </c>
      <c r="V672" t="s">
        <v>12989</v>
      </c>
      <c r="W672" t="s">
        <v>12990</v>
      </c>
      <c r="X672" t="s">
        <v>12991</v>
      </c>
      <c r="Y672" t="s">
        <v>12992</v>
      </c>
      <c r="Z672" t="s">
        <v>12993</v>
      </c>
      <c r="AA672" t="s">
        <v>5484</v>
      </c>
      <c r="AB672" t="s">
        <v>74</v>
      </c>
      <c r="AC672" t="s">
        <v>74</v>
      </c>
      <c r="AD672" t="s">
        <v>74</v>
      </c>
      <c r="AE672" t="s">
        <v>74</v>
      </c>
      <c r="AF672" t="s">
        <v>74</v>
      </c>
      <c r="AG672">
        <v>36</v>
      </c>
      <c r="AH672">
        <v>1</v>
      </c>
      <c r="AI672">
        <v>1</v>
      </c>
      <c r="AJ672">
        <v>0</v>
      </c>
      <c r="AK672">
        <v>15</v>
      </c>
      <c r="AL672" t="s">
        <v>10454</v>
      </c>
      <c r="AM672" t="s">
        <v>6006</v>
      </c>
      <c r="AN672" t="s">
        <v>10455</v>
      </c>
      <c r="AO672" t="s">
        <v>10456</v>
      </c>
      <c r="AP672" t="s">
        <v>10457</v>
      </c>
      <c r="AQ672" t="s">
        <v>74</v>
      </c>
      <c r="AR672" t="s">
        <v>10458</v>
      </c>
      <c r="AS672" t="s">
        <v>10459</v>
      </c>
      <c r="AT672" t="s">
        <v>10370</v>
      </c>
      <c r="AU672">
        <v>2017</v>
      </c>
      <c r="AV672">
        <v>53</v>
      </c>
      <c r="AW672">
        <v>4</v>
      </c>
      <c r="AX672" t="s">
        <v>74</v>
      </c>
      <c r="AY672" t="s">
        <v>74</v>
      </c>
      <c r="AZ672" t="s">
        <v>74</v>
      </c>
      <c r="BA672" t="s">
        <v>74</v>
      </c>
      <c r="BB672">
        <v>555</v>
      </c>
      <c r="BC672">
        <v>565</v>
      </c>
      <c r="BD672" t="s">
        <v>74</v>
      </c>
      <c r="BE672" t="s">
        <v>12994</v>
      </c>
      <c r="BF672" t="str">
        <f>HYPERLINK("http://dx.doi.org/10.14770/jgsk.2017.53.4.555","http://dx.doi.org/10.14770/jgsk.2017.53.4.555")</f>
        <v>http://dx.doi.org/10.14770/jgsk.2017.53.4.555</v>
      </c>
      <c r="BG672" t="s">
        <v>74</v>
      </c>
      <c r="BH672" t="s">
        <v>74</v>
      </c>
      <c r="BI672">
        <v>11</v>
      </c>
      <c r="BJ672" t="s">
        <v>100</v>
      </c>
      <c r="BK672" t="s">
        <v>3172</v>
      </c>
      <c r="BL672" t="s">
        <v>102</v>
      </c>
      <c r="BM672" t="s">
        <v>10461</v>
      </c>
      <c r="BN672" t="s">
        <v>74</v>
      </c>
      <c r="BO672" t="s">
        <v>74</v>
      </c>
      <c r="BP672" t="s">
        <v>74</v>
      </c>
      <c r="BQ672" t="s">
        <v>74</v>
      </c>
      <c r="BR672" t="s">
        <v>105</v>
      </c>
      <c r="BS672" t="s">
        <v>12995</v>
      </c>
      <c r="BT672" t="str">
        <f>HYPERLINK("https%3A%2F%2Fwww.webofscience.com%2Fwos%2Fwoscc%2Ffull-record%2FWOS:000418531300007","View Full Record in Web of Science")</f>
        <v>View Full Record in Web of Science</v>
      </c>
    </row>
    <row r="673" spans="1:72" x14ac:dyDescent="0.15">
      <c r="A673" t="s">
        <v>72</v>
      </c>
      <c r="B673" t="s">
        <v>12996</v>
      </c>
      <c r="C673" t="s">
        <v>74</v>
      </c>
      <c r="D673" t="s">
        <v>74</v>
      </c>
      <c r="E673" t="s">
        <v>74</v>
      </c>
      <c r="F673" t="s">
        <v>12997</v>
      </c>
      <c r="G673" t="s">
        <v>74</v>
      </c>
      <c r="H673" t="s">
        <v>74</v>
      </c>
      <c r="I673" t="s">
        <v>12998</v>
      </c>
      <c r="J673" t="s">
        <v>10445</v>
      </c>
      <c r="K673" t="s">
        <v>74</v>
      </c>
      <c r="L673" t="s">
        <v>74</v>
      </c>
      <c r="M673" t="s">
        <v>10446</v>
      </c>
      <c r="N673" t="s">
        <v>79</v>
      </c>
      <c r="O673" t="s">
        <v>74</v>
      </c>
      <c r="P673" t="s">
        <v>74</v>
      </c>
      <c r="Q673" t="s">
        <v>74</v>
      </c>
      <c r="R673" t="s">
        <v>74</v>
      </c>
      <c r="S673" t="s">
        <v>74</v>
      </c>
      <c r="T673" t="s">
        <v>12999</v>
      </c>
      <c r="U673" t="s">
        <v>13000</v>
      </c>
      <c r="V673" t="s">
        <v>13001</v>
      </c>
      <c r="W673" t="s">
        <v>13002</v>
      </c>
      <c r="X673" t="s">
        <v>13003</v>
      </c>
      <c r="Y673" t="s">
        <v>13004</v>
      </c>
      <c r="Z673" t="s">
        <v>13005</v>
      </c>
      <c r="AA673" t="s">
        <v>74</v>
      </c>
      <c r="AB673" t="s">
        <v>74</v>
      </c>
      <c r="AC673" t="s">
        <v>74</v>
      </c>
      <c r="AD673" t="s">
        <v>74</v>
      </c>
      <c r="AE673" t="s">
        <v>74</v>
      </c>
      <c r="AF673" t="s">
        <v>74</v>
      </c>
      <c r="AG673">
        <v>60</v>
      </c>
      <c r="AH673">
        <v>1</v>
      </c>
      <c r="AI673">
        <v>1</v>
      </c>
      <c r="AJ673">
        <v>2</v>
      </c>
      <c r="AK673">
        <v>18</v>
      </c>
      <c r="AL673" t="s">
        <v>10454</v>
      </c>
      <c r="AM673" t="s">
        <v>6006</v>
      </c>
      <c r="AN673" t="s">
        <v>10455</v>
      </c>
      <c r="AO673" t="s">
        <v>10456</v>
      </c>
      <c r="AP673" t="s">
        <v>10457</v>
      </c>
      <c r="AQ673" t="s">
        <v>74</v>
      </c>
      <c r="AR673" t="s">
        <v>10458</v>
      </c>
      <c r="AS673" t="s">
        <v>10459</v>
      </c>
      <c r="AT673" t="s">
        <v>10370</v>
      </c>
      <c r="AU673">
        <v>2017</v>
      </c>
      <c r="AV673">
        <v>53</v>
      </c>
      <c r="AW673">
        <v>4</v>
      </c>
      <c r="AX673" t="s">
        <v>74</v>
      </c>
      <c r="AY673" t="s">
        <v>74</v>
      </c>
      <c r="AZ673" t="s">
        <v>74</v>
      </c>
      <c r="BA673" t="s">
        <v>74</v>
      </c>
      <c r="BB673">
        <v>597</v>
      </c>
      <c r="BC673">
        <v>608</v>
      </c>
      <c r="BD673" t="s">
        <v>74</v>
      </c>
      <c r="BE673" t="s">
        <v>13006</v>
      </c>
      <c r="BF673" t="str">
        <f>HYPERLINK("http://dx.doi.org/10.14770/jgsk.2017.53.4.597","http://dx.doi.org/10.14770/jgsk.2017.53.4.597")</f>
        <v>http://dx.doi.org/10.14770/jgsk.2017.53.4.597</v>
      </c>
      <c r="BG673" t="s">
        <v>74</v>
      </c>
      <c r="BH673" t="s">
        <v>74</v>
      </c>
      <c r="BI673">
        <v>12</v>
      </c>
      <c r="BJ673" t="s">
        <v>100</v>
      </c>
      <c r="BK673" t="s">
        <v>3172</v>
      </c>
      <c r="BL673" t="s">
        <v>102</v>
      </c>
      <c r="BM673" t="s">
        <v>10461</v>
      </c>
      <c r="BN673" t="s">
        <v>74</v>
      </c>
      <c r="BO673" t="s">
        <v>74</v>
      </c>
      <c r="BP673" t="s">
        <v>74</v>
      </c>
      <c r="BQ673" t="s">
        <v>74</v>
      </c>
      <c r="BR673" t="s">
        <v>105</v>
      </c>
      <c r="BS673" t="s">
        <v>13007</v>
      </c>
      <c r="BT673" t="str">
        <f>HYPERLINK("https%3A%2F%2Fwww.webofscience.com%2Fwos%2Fwoscc%2Ffull-record%2FWOS:000418531300010","View Full Record in Web of Science")</f>
        <v>View Full Record in Web of Science</v>
      </c>
    </row>
    <row r="674" spans="1:72" x14ac:dyDescent="0.15">
      <c r="A674" t="s">
        <v>72</v>
      </c>
      <c r="B674" t="s">
        <v>13008</v>
      </c>
      <c r="C674" t="s">
        <v>74</v>
      </c>
      <c r="D674" t="s">
        <v>74</v>
      </c>
      <c r="E674" t="s">
        <v>74</v>
      </c>
      <c r="F674" t="s">
        <v>13009</v>
      </c>
      <c r="G674" t="s">
        <v>74</v>
      </c>
      <c r="H674" t="s">
        <v>74</v>
      </c>
      <c r="I674" t="s">
        <v>13010</v>
      </c>
      <c r="J674" t="s">
        <v>11533</v>
      </c>
      <c r="K674" t="s">
        <v>74</v>
      </c>
      <c r="L674" t="s">
        <v>74</v>
      </c>
      <c r="M674" t="s">
        <v>78</v>
      </c>
      <c r="N674" t="s">
        <v>79</v>
      </c>
      <c r="O674" t="s">
        <v>74</v>
      </c>
      <c r="P674" t="s">
        <v>74</v>
      </c>
      <c r="Q674" t="s">
        <v>74</v>
      </c>
      <c r="R674" t="s">
        <v>74</v>
      </c>
      <c r="S674" t="s">
        <v>74</v>
      </c>
      <c r="T674" t="s">
        <v>13011</v>
      </c>
      <c r="U674" t="s">
        <v>13012</v>
      </c>
      <c r="V674" t="s">
        <v>13013</v>
      </c>
      <c r="W674" t="s">
        <v>13014</v>
      </c>
      <c r="X674" t="s">
        <v>12383</v>
      </c>
      <c r="Y674" t="s">
        <v>13015</v>
      </c>
      <c r="Z674" t="s">
        <v>12385</v>
      </c>
      <c r="AA674" t="s">
        <v>13016</v>
      </c>
      <c r="AB674" t="s">
        <v>13017</v>
      </c>
      <c r="AC674" t="s">
        <v>13018</v>
      </c>
      <c r="AD674" t="s">
        <v>12389</v>
      </c>
      <c r="AE674" t="s">
        <v>13019</v>
      </c>
      <c r="AF674" t="s">
        <v>74</v>
      </c>
      <c r="AG674">
        <v>74</v>
      </c>
      <c r="AH674">
        <v>63</v>
      </c>
      <c r="AI674">
        <v>65</v>
      </c>
      <c r="AJ674">
        <v>0</v>
      </c>
      <c r="AK674">
        <v>44</v>
      </c>
      <c r="AL674" t="s">
        <v>1981</v>
      </c>
      <c r="AM674" t="s">
        <v>729</v>
      </c>
      <c r="AN674" t="s">
        <v>1982</v>
      </c>
      <c r="AO674" t="s">
        <v>11546</v>
      </c>
      <c r="AP674" t="s">
        <v>74</v>
      </c>
      <c r="AQ674" t="s">
        <v>74</v>
      </c>
      <c r="AR674" t="s">
        <v>11547</v>
      </c>
      <c r="AS674" t="s">
        <v>11548</v>
      </c>
      <c r="AT674" t="s">
        <v>10370</v>
      </c>
      <c r="AU674">
        <v>2017</v>
      </c>
      <c r="AV674">
        <v>68</v>
      </c>
      <c r="AW674" t="s">
        <v>74</v>
      </c>
      <c r="AX674" t="s">
        <v>12037</v>
      </c>
      <c r="AY674" t="s">
        <v>74</v>
      </c>
      <c r="AZ674" t="s">
        <v>74</v>
      </c>
      <c r="BA674" t="s">
        <v>74</v>
      </c>
      <c r="BB674">
        <v>110</v>
      </c>
      <c r="BC674">
        <v>118</v>
      </c>
      <c r="BD674" t="s">
        <v>74</v>
      </c>
      <c r="BE674" t="s">
        <v>13020</v>
      </c>
      <c r="BF674" t="str">
        <f>HYPERLINK("http://dx.doi.org/10.1016/j.jtherbio.2017.02.016","http://dx.doi.org/10.1016/j.jtherbio.2017.02.016")</f>
        <v>http://dx.doi.org/10.1016/j.jtherbio.2017.02.016</v>
      </c>
      <c r="BG674" t="s">
        <v>74</v>
      </c>
      <c r="BH674" t="s">
        <v>74</v>
      </c>
      <c r="BI674">
        <v>9</v>
      </c>
      <c r="BJ674" t="s">
        <v>11550</v>
      </c>
      <c r="BK674" t="s">
        <v>101</v>
      </c>
      <c r="BL674" t="s">
        <v>11551</v>
      </c>
      <c r="BM674" t="s">
        <v>12392</v>
      </c>
      <c r="BN674">
        <v>28689712</v>
      </c>
      <c r="BO674" t="s">
        <v>74</v>
      </c>
      <c r="BP674" t="s">
        <v>74</v>
      </c>
      <c r="BQ674" t="s">
        <v>74</v>
      </c>
      <c r="BR674" t="s">
        <v>105</v>
      </c>
      <c r="BS674" t="s">
        <v>13021</v>
      </c>
      <c r="BT674" t="str">
        <f>HYPERLINK("https%3A%2F%2Fwww.webofscience.com%2Fwos%2Fwoscc%2Ffull-record%2FWOS:000405976100015","View Full Record in Web of Science")</f>
        <v>View Full Record in Web of Science</v>
      </c>
    </row>
    <row r="675" spans="1:72" x14ac:dyDescent="0.15">
      <c r="A675" t="s">
        <v>72</v>
      </c>
      <c r="B675" t="s">
        <v>13022</v>
      </c>
      <c r="C675" t="s">
        <v>74</v>
      </c>
      <c r="D675" t="s">
        <v>74</v>
      </c>
      <c r="E675" t="s">
        <v>74</v>
      </c>
      <c r="F675" t="s">
        <v>13023</v>
      </c>
      <c r="G675" t="s">
        <v>74</v>
      </c>
      <c r="H675" t="s">
        <v>74</v>
      </c>
      <c r="I675" t="s">
        <v>13024</v>
      </c>
      <c r="J675" t="s">
        <v>8379</v>
      </c>
      <c r="K675" t="s">
        <v>74</v>
      </c>
      <c r="L675" t="s">
        <v>74</v>
      </c>
      <c r="M675" t="s">
        <v>78</v>
      </c>
      <c r="N675" t="s">
        <v>79</v>
      </c>
      <c r="O675" t="s">
        <v>74</v>
      </c>
      <c r="P675" t="s">
        <v>74</v>
      </c>
      <c r="Q675" t="s">
        <v>74</v>
      </c>
      <c r="R675" t="s">
        <v>74</v>
      </c>
      <c r="S675" t="s">
        <v>74</v>
      </c>
      <c r="T675" t="s">
        <v>74</v>
      </c>
      <c r="U675" t="s">
        <v>13025</v>
      </c>
      <c r="V675" t="s">
        <v>13026</v>
      </c>
      <c r="W675" t="s">
        <v>13027</v>
      </c>
      <c r="X675" t="s">
        <v>13028</v>
      </c>
      <c r="Y675" t="s">
        <v>13029</v>
      </c>
      <c r="Z675" t="s">
        <v>13030</v>
      </c>
      <c r="AA675" t="s">
        <v>13031</v>
      </c>
      <c r="AB675" t="s">
        <v>13032</v>
      </c>
      <c r="AC675" t="s">
        <v>13033</v>
      </c>
      <c r="AD675" t="s">
        <v>13034</v>
      </c>
      <c r="AE675" t="s">
        <v>13035</v>
      </c>
      <c r="AF675" t="s">
        <v>74</v>
      </c>
      <c r="AG675">
        <v>90</v>
      </c>
      <c r="AH675">
        <v>33</v>
      </c>
      <c r="AI675">
        <v>34</v>
      </c>
      <c r="AJ675">
        <v>5</v>
      </c>
      <c r="AK675">
        <v>60</v>
      </c>
      <c r="AL675" t="s">
        <v>2520</v>
      </c>
      <c r="AM675" t="s">
        <v>2521</v>
      </c>
      <c r="AN675" t="s">
        <v>2522</v>
      </c>
      <c r="AO675" t="s">
        <v>8391</v>
      </c>
      <c r="AP675" t="s">
        <v>8392</v>
      </c>
      <c r="AQ675" t="s">
        <v>74</v>
      </c>
      <c r="AR675" t="s">
        <v>8393</v>
      </c>
      <c r="AS675" t="s">
        <v>8394</v>
      </c>
      <c r="AT675" t="s">
        <v>10370</v>
      </c>
      <c r="AU675">
        <v>2017</v>
      </c>
      <c r="AV675">
        <v>164</v>
      </c>
      <c r="AW675">
        <v>8</v>
      </c>
      <c r="AX675" t="s">
        <v>74</v>
      </c>
      <c r="AY675" t="s">
        <v>74</v>
      </c>
      <c r="AZ675" t="s">
        <v>74</v>
      </c>
      <c r="BA675" t="s">
        <v>74</v>
      </c>
      <c r="BB675" t="s">
        <v>74</v>
      </c>
      <c r="BC675" t="s">
        <v>74</v>
      </c>
      <c r="BD675">
        <v>170</v>
      </c>
      <c r="BE675" t="s">
        <v>13036</v>
      </c>
      <c r="BF675" t="str">
        <f>HYPERLINK("http://dx.doi.org/10.1007/s00227-017-3195-9","http://dx.doi.org/10.1007/s00227-017-3195-9")</f>
        <v>http://dx.doi.org/10.1007/s00227-017-3195-9</v>
      </c>
      <c r="BG675" t="s">
        <v>74</v>
      </c>
      <c r="BH675" t="s">
        <v>74</v>
      </c>
      <c r="BI675">
        <v>16</v>
      </c>
      <c r="BJ675" t="s">
        <v>5546</v>
      </c>
      <c r="BK675" t="s">
        <v>101</v>
      </c>
      <c r="BL675" t="s">
        <v>5546</v>
      </c>
      <c r="BM675" t="s">
        <v>13037</v>
      </c>
      <c r="BN675" t="s">
        <v>74</v>
      </c>
      <c r="BO675" t="s">
        <v>74</v>
      </c>
      <c r="BP675" t="s">
        <v>74</v>
      </c>
      <c r="BQ675" t="s">
        <v>74</v>
      </c>
      <c r="BR675" t="s">
        <v>105</v>
      </c>
      <c r="BS675" t="s">
        <v>13038</v>
      </c>
      <c r="BT675" t="str">
        <f>HYPERLINK("https%3A%2F%2Fwww.webofscience.com%2Fwos%2Fwoscc%2Ffull-record%2FWOS:000406280200014","View Full Record in Web of Science")</f>
        <v>View Full Record in Web of Science</v>
      </c>
    </row>
    <row r="676" spans="1:72" x14ac:dyDescent="0.15">
      <c r="A676" t="s">
        <v>72</v>
      </c>
      <c r="B676" t="s">
        <v>13039</v>
      </c>
      <c r="C676" t="s">
        <v>74</v>
      </c>
      <c r="D676" t="s">
        <v>74</v>
      </c>
      <c r="E676" t="s">
        <v>74</v>
      </c>
      <c r="F676" t="s">
        <v>13040</v>
      </c>
      <c r="G676" t="s">
        <v>74</v>
      </c>
      <c r="H676" t="s">
        <v>74</v>
      </c>
      <c r="I676" t="s">
        <v>13041</v>
      </c>
      <c r="J676" t="s">
        <v>2056</v>
      </c>
      <c r="K676" t="s">
        <v>74</v>
      </c>
      <c r="L676" t="s">
        <v>74</v>
      </c>
      <c r="M676" t="s">
        <v>78</v>
      </c>
      <c r="N676" t="s">
        <v>79</v>
      </c>
      <c r="O676" t="s">
        <v>74</v>
      </c>
      <c r="P676" t="s">
        <v>74</v>
      </c>
      <c r="Q676" t="s">
        <v>74</v>
      </c>
      <c r="R676" t="s">
        <v>74</v>
      </c>
      <c r="S676" t="s">
        <v>74</v>
      </c>
      <c r="T676" t="s">
        <v>13042</v>
      </c>
      <c r="U676" t="s">
        <v>13043</v>
      </c>
      <c r="V676" t="s">
        <v>13044</v>
      </c>
      <c r="W676" t="s">
        <v>13045</v>
      </c>
      <c r="X676" t="s">
        <v>13046</v>
      </c>
      <c r="Y676" t="s">
        <v>13047</v>
      </c>
      <c r="Z676" t="s">
        <v>13048</v>
      </c>
      <c r="AA676" t="s">
        <v>13049</v>
      </c>
      <c r="AB676" t="s">
        <v>13050</v>
      </c>
      <c r="AC676" t="s">
        <v>13051</v>
      </c>
      <c r="AD676" t="s">
        <v>13052</v>
      </c>
      <c r="AE676" t="s">
        <v>13053</v>
      </c>
      <c r="AF676" t="s">
        <v>74</v>
      </c>
      <c r="AG676">
        <v>51</v>
      </c>
      <c r="AH676">
        <v>8</v>
      </c>
      <c r="AI676">
        <v>8</v>
      </c>
      <c r="AJ676">
        <v>2</v>
      </c>
      <c r="AK676">
        <v>8</v>
      </c>
      <c r="AL676" t="s">
        <v>502</v>
      </c>
      <c r="AM676" t="s">
        <v>372</v>
      </c>
      <c r="AN676" t="s">
        <v>503</v>
      </c>
      <c r="AO676" t="s">
        <v>2067</v>
      </c>
      <c r="AP676" t="s">
        <v>2068</v>
      </c>
      <c r="AQ676" t="s">
        <v>74</v>
      </c>
      <c r="AR676" t="s">
        <v>2069</v>
      </c>
      <c r="AS676" t="s">
        <v>2070</v>
      </c>
      <c r="AT676" t="s">
        <v>10370</v>
      </c>
      <c r="AU676">
        <v>2017</v>
      </c>
      <c r="AV676">
        <v>34</v>
      </c>
      <c r="AW676" t="s">
        <v>74</v>
      </c>
      <c r="AX676" t="s">
        <v>74</v>
      </c>
      <c r="AY676" t="s">
        <v>74</v>
      </c>
      <c r="AZ676" t="s">
        <v>74</v>
      </c>
      <c r="BA676" t="s">
        <v>74</v>
      </c>
      <c r="BB676">
        <v>39</v>
      </c>
      <c r="BC676">
        <v>45</v>
      </c>
      <c r="BD676" t="s">
        <v>74</v>
      </c>
      <c r="BE676" t="s">
        <v>13054</v>
      </c>
      <c r="BF676" t="str">
        <f>HYPERLINK("http://dx.doi.org/10.1016/j.margen.2017.03.003","http://dx.doi.org/10.1016/j.margen.2017.03.003")</f>
        <v>http://dx.doi.org/10.1016/j.margen.2017.03.003</v>
      </c>
      <c r="BG676" t="s">
        <v>74</v>
      </c>
      <c r="BH676" t="s">
        <v>74</v>
      </c>
      <c r="BI676">
        <v>7</v>
      </c>
      <c r="BJ676" t="s">
        <v>2072</v>
      </c>
      <c r="BK676" t="s">
        <v>101</v>
      </c>
      <c r="BL676" t="s">
        <v>2072</v>
      </c>
      <c r="BM676" t="s">
        <v>13055</v>
      </c>
      <c r="BN676">
        <v>28385518</v>
      </c>
      <c r="BO676" t="s">
        <v>699</v>
      </c>
      <c r="BP676" t="s">
        <v>74</v>
      </c>
      <c r="BQ676" t="s">
        <v>74</v>
      </c>
      <c r="BR676" t="s">
        <v>105</v>
      </c>
      <c r="BS676" t="s">
        <v>13056</v>
      </c>
      <c r="BT676" t="str">
        <f>HYPERLINK("https%3A%2F%2Fwww.webofscience.com%2Fwos%2Fwoscc%2Ffull-record%2FWOS:000407410700008","View Full Record in Web of Science")</f>
        <v>View Full Record in Web of Science</v>
      </c>
    </row>
    <row r="677" spans="1:72" x14ac:dyDescent="0.15">
      <c r="A677" t="s">
        <v>72</v>
      </c>
      <c r="B677" t="s">
        <v>13057</v>
      </c>
      <c r="C677" t="s">
        <v>74</v>
      </c>
      <c r="D677" t="s">
        <v>74</v>
      </c>
      <c r="E677" t="s">
        <v>74</v>
      </c>
      <c r="F677" t="s">
        <v>13058</v>
      </c>
      <c r="G677" t="s">
        <v>74</v>
      </c>
      <c r="H677" t="s">
        <v>74</v>
      </c>
      <c r="I677" t="s">
        <v>13059</v>
      </c>
      <c r="J677" t="s">
        <v>2096</v>
      </c>
      <c r="K677" t="s">
        <v>74</v>
      </c>
      <c r="L677" t="s">
        <v>74</v>
      </c>
      <c r="M677" t="s">
        <v>78</v>
      </c>
      <c r="N677" t="s">
        <v>273</v>
      </c>
      <c r="O677" t="s">
        <v>74</v>
      </c>
      <c r="P677" t="s">
        <v>74</v>
      </c>
      <c r="Q677" t="s">
        <v>74</v>
      </c>
      <c r="R677" t="s">
        <v>74</v>
      </c>
      <c r="S677" t="s">
        <v>74</v>
      </c>
      <c r="T677" t="s">
        <v>13060</v>
      </c>
      <c r="U677" t="s">
        <v>13061</v>
      </c>
      <c r="V677" t="s">
        <v>13062</v>
      </c>
      <c r="W677" t="s">
        <v>13063</v>
      </c>
      <c r="X677" t="s">
        <v>13064</v>
      </c>
      <c r="Y677" t="s">
        <v>74</v>
      </c>
      <c r="Z677" t="s">
        <v>13065</v>
      </c>
      <c r="AA677" t="s">
        <v>74</v>
      </c>
      <c r="AB677" t="s">
        <v>74</v>
      </c>
      <c r="AC677" t="s">
        <v>13066</v>
      </c>
      <c r="AD677" t="s">
        <v>13067</v>
      </c>
      <c r="AE677" t="s">
        <v>13068</v>
      </c>
      <c r="AF677" t="s">
        <v>74</v>
      </c>
      <c r="AG677">
        <v>153</v>
      </c>
      <c r="AH677">
        <v>34</v>
      </c>
      <c r="AI677">
        <v>36</v>
      </c>
      <c r="AJ677">
        <v>3</v>
      </c>
      <c r="AK677">
        <v>51</v>
      </c>
      <c r="AL677" t="s">
        <v>371</v>
      </c>
      <c r="AM677" t="s">
        <v>372</v>
      </c>
      <c r="AN677" t="s">
        <v>373</v>
      </c>
      <c r="AO677" t="s">
        <v>2109</v>
      </c>
      <c r="AP677" t="s">
        <v>2110</v>
      </c>
      <c r="AQ677" t="s">
        <v>74</v>
      </c>
      <c r="AR677" t="s">
        <v>2111</v>
      </c>
      <c r="AS677" t="s">
        <v>2112</v>
      </c>
      <c r="AT677" t="s">
        <v>10661</v>
      </c>
      <c r="AU677">
        <v>2017</v>
      </c>
      <c r="AV677">
        <v>390</v>
      </c>
      <c r="AW677" t="s">
        <v>74</v>
      </c>
      <c r="AX677" t="s">
        <v>74</v>
      </c>
      <c r="AY677" t="s">
        <v>74</v>
      </c>
      <c r="AZ677" t="s">
        <v>74</v>
      </c>
      <c r="BA677" t="s">
        <v>74</v>
      </c>
      <c r="BB677">
        <v>347</v>
      </c>
      <c r="BC677">
        <v>365</v>
      </c>
      <c r="BD677" t="s">
        <v>74</v>
      </c>
      <c r="BE677" t="s">
        <v>13069</v>
      </c>
      <c r="BF677" t="str">
        <f>HYPERLINK("http://dx.doi.org/10.1016/j.margeo.2017.05.009","http://dx.doi.org/10.1016/j.margeo.2017.05.009")</f>
        <v>http://dx.doi.org/10.1016/j.margeo.2017.05.009</v>
      </c>
      <c r="BG677" t="s">
        <v>74</v>
      </c>
      <c r="BH677" t="s">
        <v>74</v>
      </c>
      <c r="BI677">
        <v>19</v>
      </c>
      <c r="BJ677" t="s">
        <v>2114</v>
      </c>
      <c r="BK677" t="s">
        <v>101</v>
      </c>
      <c r="BL677" t="s">
        <v>2115</v>
      </c>
      <c r="BM677" t="s">
        <v>13070</v>
      </c>
      <c r="BN677" t="s">
        <v>74</v>
      </c>
      <c r="BO677" t="s">
        <v>511</v>
      </c>
      <c r="BP677" t="s">
        <v>74</v>
      </c>
      <c r="BQ677" t="s">
        <v>74</v>
      </c>
      <c r="BR677" t="s">
        <v>105</v>
      </c>
      <c r="BS677" t="s">
        <v>13071</v>
      </c>
      <c r="BT677" t="str">
        <f>HYPERLINK("https%3A%2F%2Fwww.webofscience.com%2Fwos%2Fwoscc%2Ffull-record%2FWOS:000413381800026","View Full Record in Web of Science")</f>
        <v>View Full Record in Web of Science</v>
      </c>
    </row>
    <row r="678" spans="1:72" x14ac:dyDescent="0.15">
      <c r="A678" t="s">
        <v>72</v>
      </c>
      <c r="B678" t="s">
        <v>13072</v>
      </c>
      <c r="C678" t="s">
        <v>74</v>
      </c>
      <c r="D678" t="s">
        <v>74</v>
      </c>
      <c r="E678" t="s">
        <v>74</v>
      </c>
      <c r="F678" t="s">
        <v>13073</v>
      </c>
      <c r="G678" t="s">
        <v>74</v>
      </c>
      <c r="H678" t="s">
        <v>74</v>
      </c>
      <c r="I678" t="s">
        <v>13074</v>
      </c>
      <c r="J678" t="s">
        <v>13075</v>
      </c>
      <c r="K678" t="s">
        <v>74</v>
      </c>
      <c r="L678" t="s">
        <v>74</v>
      </c>
      <c r="M678" t="s">
        <v>78</v>
      </c>
      <c r="N678" t="s">
        <v>79</v>
      </c>
      <c r="O678" t="s">
        <v>74</v>
      </c>
      <c r="P678" t="s">
        <v>74</v>
      </c>
      <c r="Q678" t="s">
        <v>74</v>
      </c>
      <c r="R678" t="s">
        <v>74</v>
      </c>
      <c r="S678" t="s">
        <v>74</v>
      </c>
      <c r="T678" t="s">
        <v>13076</v>
      </c>
      <c r="U678" t="s">
        <v>13077</v>
      </c>
      <c r="V678" t="s">
        <v>13078</v>
      </c>
      <c r="W678" t="s">
        <v>13079</v>
      </c>
      <c r="X678" t="s">
        <v>13080</v>
      </c>
      <c r="Y678" t="s">
        <v>13081</v>
      </c>
      <c r="Z678" t="s">
        <v>13082</v>
      </c>
      <c r="AA678" t="s">
        <v>13083</v>
      </c>
      <c r="AB678" t="s">
        <v>13084</v>
      </c>
      <c r="AC678" t="s">
        <v>13085</v>
      </c>
      <c r="AD678" t="s">
        <v>13086</v>
      </c>
      <c r="AE678" t="s">
        <v>13087</v>
      </c>
      <c r="AF678" t="s">
        <v>74</v>
      </c>
      <c r="AG678">
        <v>53</v>
      </c>
      <c r="AH678">
        <v>37</v>
      </c>
      <c r="AI678">
        <v>41</v>
      </c>
      <c r="AJ678">
        <v>1</v>
      </c>
      <c r="AK678">
        <v>25</v>
      </c>
      <c r="AL678" t="s">
        <v>728</v>
      </c>
      <c r="AM678" t="s">
        <v>729</v>
      </c>
      <c r="AN678" t="s">
        <v>730</v>
      </c>
      <c r="AO678" t="s">
        <v>13088</v>
      </c>
      <c r="AP678" t="s">
        <v>13089</v>
      </c>
      <c r="AQ678" t="s">
        <v>74</v>
      </c>
      <c r="AR678" t="s">
        <v>13090</v>
      </c>
      <c r="AS678" t="s">
        <v>13091</v>
      </c>
      <c r="AT678" t="s">
        <v>10370</v>
      </c>
      <c r="AU678">
        <v>2017</v>
      </c>
      <c r="AV678">
        <v>82</v>
      </c>
      <c r="AW678" t="s">
        <v>74</v>
      </c>
      <c r="AX678" t="s">
        <v>74</v>
      </c>
      <c r="AY678" t="s">
        <v>74</v>
      </c>
      <c r="AZ678" t="s">
        <v>74</v>
      </c>
      <c r="BA678" t="s">
        <v>74</v>
      </c>
      <c r="BB678">
        <v>41</v>
      </c>
      <c r="BC678">
        <v>49</v>
      </c>
      <c r="BD678" t="s">
        <v>74</v>
      </c>
      <c r="BE678" t="s">
        <v>13092</v>
      </c>
      <c r="BF678" t="str">
        <f>HYPERLINK("http://dx.doi.org/10.1016/j.marpol.2017.04.017","http://dx.doi.org/10.1016/j.marpol.2017.04.017")</f>
        <v>http://dx.doi.org/10.1016/j.marpol.2017.04.017</v>
      </c>
      <c r="BG678" t="s">
        <v>74</v>
      </c>
      <c r="BH678" t="s">
        <v>74</v>
      </c>
      <c r="BI678">
        <v>9</v>
      </c>
      <c r="BJ678" t="s">
        <v>13093</v>
      </c>
      <c r="BK678" t="s">
        <v>2049</v>
      </c>
      <c r="BL678" t="s">
        <v>13094</v>
      </c>
      <c r="BM678" t="s">
        <v>13095</v>
      </c>
      <c r="BN678" t="s">
        <v>74</v>
      </c>
      <c r="BO678" t="s">
        <v>74</v>
      </c>
      <c r="BP678" t="s">
        <v>74</v>
      </c>
      <c r="BQ678" t="s">
        <v>74</v>
      </c>
      <c r="BR678" t="s">
        <v>105</v>
      </c>
      <c r="BS678" t="s">
        <v>13096</v>
      </c>
      <c r="BT678" t="str">
        <f>HYPERLINK("https%3A%2F%2Fwww.webofscience.com%2Fwos%2Fwoscc%2Ffull-record%2FWOS:000404490500006","View Full Record in Web of Science")</f>
        <v>View Full Record in Web of Science</v>
      </c>
    </row>
    <row r="679" spans="1:72" x14ac:dyDescent="0.15">
      <c r="A679" t="s">
        <v>72</v>
      </c>
      <c r="B679" t="s">
        <v>13097</v>
      </c>
      <c r="C679" t="s">
        <v>74</v>
      </c>
      <c r="D679" t="s">
        <v>74</v>
      </c>
      <c r="E679" t="s">
        <v>74</v>
      </c>
      <c r="F679" t="s">
        <v>13098</v>
      </c>
      <c r="G679" t="s">
        <v>74</v>
      </c>
      <c r="H679" t="s">
        <v>74</v>
      </c>
      <c r="I679" t="s">
        <v>13099</v>
      </c>
      <c r="J679" t="s">
        <v>8426</v>
      </c>
      <c r="K679" t="s">
        <v>74</v>
      </c>
      <c r="L679" t="s">
        <v>74</v>
      </c>
      <c r="M679" t="s">
        <v>78</v>
      </c>
      <c r="N679" t="s">
        <v>79</v>
      </c>
      <c r="O679" t="s">
        <v>74</v>
      </c>
      <c r="P679" t="s">
        <v>74</v>
      </c>
      <c r="Q679" t="s">
        <v>74</v>
      </c>
      <c r="R679" t="s">
        <v>74</v>
      </c>
      <c r="S679" t="s">
        <v>74</v>
      </c>
      <c r="T679" t="s">
        <v>13100</v>
      </c>
      <c r="U679" t="s">
        <v>13101</v>
      </c>
      <c r="V679" t="s">
        <v>13102</v>
      </c>
      <c r="W679" t="s">
        <v>13103</v>
      </c>
      <c r="X679" t="s">
        <v>13104</v>
      </c>
      <c r="Y679" t="s">
        <v>13105</v>
      </c>
      <c r="Z679" t="s">
        <v>13106</v>
      </c>
      <c r="AA679" t="s">
        <v>13107</v>
      </c>
      <c r="AB679" t="s">
        <v>13108</v>
      </c>
      <c r="AC679" t="s">
        <v>13109</v>
      </c>
      <c r="AD679" t="s">
        <v>13110</v>
      </c>
      <c r="AE679" t="s">
        <v>13111</v>
      </c>
      <c r="AF679" t="s">
        <v>74</v>
      </c>
      <c r="AG679">
        <v>86</v>
      </c>
      <c r="AH679">
        <v>31</v>
      </c>
      <c r="AI679">
        <v>35</v>
      </c>
      <c r="AJ679">
        <v>4</v>
      </c>
      <c r="AK679">
        <v>118</v>
      </c>
      <c r="AL679" t="s">
        <v>1338</v>
      </c>
      <c r="AM679" t="s">
        <v>1339</v>
      </c>
      <c r="AN679" t="s">
        <v>1340</v>
      </c>
      <c r="AO679" t="s">
        <v>8439</v>
      </c>
      <c r="AP679" t="s">
        <v>8440</v>
      </c>
      <c r="AQ679" t="s">
        <v>74</v>
      </c>
      <c r="AR679" t="s">
        <v>8441</v>
      </c>
      <c r="AS679" t="s">
        <v>8442</v>
      </c>
      <c r="AT679" t="s">
        <v>10370</v>
      </c>
      <c r="AU679">
        <v>2017</v>
      </c>
      <c r="AV679">
        <v>26</v>
      </c>
      <c r="AW679">
        <v>15</v>
      </c>
      <c r="AX679" t="s">
        <v>74</v>
      </c>
      <c r="AY679" t="s">
        <v>74</v>
      </c>
      <c r="AZ679" t="s">
        <v>74</v>
      </c>
      <c r="BA679" t="s">
        <v>74</v>
      </c>
      <c r="BB679">
        <v>3883</v>
      </c>
      <c r="BC679">
        <v>3897</v>
      </c>
      <c r="BD679" t="s">
        <v>74</v>
      </c>
      <c r="BE679" t="s">
        <v>13112</v>
      </c>
      <c r="BF679" t="str">
        <f>HYPERLINK("http://dx.doi.org/10.1111/mec.14172","http://dx.doi.org/10.1111/mec.14172")</f>
        <v>http://dx.doi.org/10.1111/mec.14172</v>
      </c>
      <c r="BG679" t="s">
        <v>74</v>
      </c>
      <c r="BH679" t="s">
        <v>74</v>
      </c>
      <c r="BI679">
        <v>15</v>
      </c>
      <c r="BJ679" t="s">
        <v>8444</v>
      </c>
      <c r="BK679" t="s">
        <v>101</v>
      </c>
      <c r="BL679" t="s">
        <v>8445</v>
      </c>
      <c r="BM679" t="s">
        <v>13113</v>
      </c>
      <c r="BN679">
        <v>28488293</v>
      </c>
      <c r="BO679" t="s">
        <v>13114</v>
      </c>
      <c r="BP679" t="s">
        <v>74</v>
      </c>
      <c r="BQ679" t="s">
        <v>74</v>
      </c>
      <c r="BR679" t="s">
        <v>105</v>
      </c>
      <c r="BS679" t="s">
        <v>13115</v>
      </c>
      <c r="BT679" t="str">
        <f>HYPERLINK("https%3A%2F%2Fwww.webofscience.com%2Fwos%2Fwoscc%2Ffull-record%2FWOS:000406361200005","View Full Record in Web of Science")</f>
        <v>View Full Record in Web of Science</v>
      </c>
    </row>
    <row r="680" spans="1:72" x14ac:dyDescent="0.15">
      <c r="A680" t="s">
        <v>72</v>
      </c>
      <c r="B680" t="s">
        <v>13116</v>
      </c>
      <c r="C680" t="s">
        <v>74</v>
      </c>
      <c r="D680" t="s">
        <v>74</v>
      </c>
      <c r="E680" t="s">
        <v>74</v>
      </c>
      <c r="F680" t="s">
        <v>13117</v>
      </c>
      <c r="G680" t="s">
        <v>74</v>
      </c>
      <c r="H680" t="s">
        <v>74</v>
      </c>
      <c r="I680" t="s">
        <v>13118</v>
      </c>
      <c r="J680" t="s">
        <v>3613</v>
      </c>
      <c r="K680" t="s">
        <v>74</v>
      </c>
      <c r="L680" t="s">
        <v>74</v>
      </c>
      <c r="M680" t="s">
        <v>78</v>
      </c>
      <c r="N680" t="s">
        <v>2737</v>
      </c>
      <c r="O680" t="s">
        <v>74</v>
      </c>
      <c r="P680" t="s">
        <v>74</v>
      </c>
      <c r="Q680" t="s">
        <v>74</v>
      </c>
      <c r="R680" t="s">
        <v>74</v>
      </c>
      <c r="S680" t="s">
        <v>74</v>
      </c>
      <c r="T680" t="s">
        <v>74</v>
      </c>
      <c r="U680" t="s">
        <v>13119</v>
      </c>
      <c r="V680" t="s">
        <v>13120</v>
      </c>
      <c r="W680" t="s">
        <v>13121</v>
      </c>
      <c r="X680" t="s">
        <v>13122</v>
      </c>
      <c r="Y680" t="s">
        <v>13123</v>
      </c>
      <c r="Z680" t="s">
        <v>13124</v>
      </c>
      <c r="AA680" t="s">
        <v>13125</v>
      </c>
      <c r="AB680" t="s">
        <v>13126</v>
      </c>
      <c r="AC680" t="s">
        <v>13127</v>
      </c>
      <c r="AD680" t="s">
        <v>13128</v>
      </c>
      <c r="AE680" t="s">
        <v>13129</v>
      </c>
      <c r="AF680" t="s">
        <v>74</v>
      </c>
      <c r="AG680">
        <v>15</v>
      </c>
      <c r="AH680">
        <v>82</v>
      </c>
      <c r="AI680">
        <v>91</v>
      </c>
      <c r="AJ680">
        <v>1</v>
      </c>
      <c r="AK680">
        <v>42</v>
      </c>
      <c r="AL680" t="s">
        <v>181</v>
      </c>
      <c r="AM680" t="s">
        <v>182</v>
      </c>
      <c r="AN680" t="s">
        <v>183</v>
      </c>
      <c r="AO680" t="s">
        <v>3625</v>
      </c>
      <c r="AP680" t="s">
        <v>3626</v>
      </c>
      <c r="AQ680" t="s">
        <v>74</v>
      </c>
      <c r="AR680" t="s">
        <v>3627</v>
      </c>
      <c r="AS680" t="s">
        <v>3628</v>
      </c>
      <c r="AT680" t="s">
        <v>10370</v>
      </c>
      <c r="AU680">
        <v>2017</v>
      </c>
      <c r="AV680">
        <v>7</v>
      </c>
      <c r="AW680">
        <v>8</v>
      </c>
      <c r="AX680" t="s">
        <v>74</v>
      </c>
      <c r="AY680" t="s">
        <v>74</v>
      </c>
      <c r="AZ680" t="s">
        <v>74</v>
      </c>
      <c r="BA680" t="s">
        <v>74</v>
      </c>
      <c r="BB680">
        <v>540</v>
      </c>
      <c r="BC680">
        <v>542</v>
      </c>
      <c r="BD680" t="s">
        <v>74</v>
      </c>
      <c r="BE680" t="s">
        <v>13130</v>
      </c>
      <c r="BF680" t="str">
        <f>HYPERLINK("http://dx.doi.org/10.1038/nclimate3359","http://dx.doi.org/10.1038/nclimate3359")</f>
        <v>http://dx.doi.org/10.1038/nclimate3359</v>
      </c>
      <c r="BG680" t="s">
        <v>74</v>
      </c>
      <c r="BH680" t="s">
        <v>74</v>
      </c>
      <c r="BI680">
        <v>3</v>
      </c>
      <c r="BJ680" t="s">
        <v>3630</v>
      </c>
      <c r="BK680" t="s">
        <v>765</v>
      </c>
      <c r="BL680" t="s">
        <v>835</v>
      </c>
      <c r="BM680" t="s">
        <v>13131</v>
      </c>
      <c r="BN680" t="s">
        <v>74</v>
      </c>
      <c r="BO680" t="s">
        <v>74</v>
      </c>
      <c r="BP680" t="s">
        <v>74</v>
      </c>
      <c r="BQ680" t="s">
        <v>74</v>
      </c>
      <c r="BR680" t="s">
        <v>105</v>
      </c>
      <c r="BS680" t="s">
        <v>13132</v>
      </c>
      <c r="BT680" t="str">
        <f>HYPERLINK("https%3A%2F%2Fwww.webofscience.com%2Fwos%2Fwoscc%2Ffull-record%2FWOS:000406742500005","View Full Record in Web of Science")</f>
        <v>View Full Record in Web of Science</v>
      </c>
    </row>
    <row r="681" spans="1:72" x14ac:dyDescent="0.15">
      <c r="A681" t="s">
        <v>72</v>
      </c>
      <c r="B681" t="s">
        <v>13133</v>
      </c>
      <c r="C681" t="s">
        <v>74</v>
      </c>
      <c r="D681" t="s">
        <v>74</v>
      </c>
      <c r="E681" t="s">
        <v>74</v>
      </c>
      <c r="F681" t="s">
        <v>13134</v>
      </c>
      <c r="G681" t="s">
        <v>74</v>
      </c>
      <c r="H681" t="s">
        <v>74</v>
      </c>
      <c r="I681" t="s">
        <v>13135</v>
      </c>
      <c r="J681" t="s">
        <v>3613</v>
      </c>
      <c r="K681" t="s">
        <v>74</v>
      </c>
      <c r="L681" t="s">
        <v>74</v>
      </c>
      <c r="M681" t="s">
        <v>78</v>
      </c>
      <c r="N681" t="s">
        <v>79</v>
      </c>
      <c r="O681" t="s">
        <v>74</v>
      </c>
      <c r="P681" t="s">
        <v>74</v>
      </c>
      <c r="Q681" t="s">
        <v>74</v>
      </c>
      <c r="R681" t="s">
        <v>74</v>
      </c>
      <c r="S681" t="s">
        <v>74</v>
      </c>
      <c r="T681" t="s">
        <v>74</v>
      </c>
      <c r="U681" t="s">
        <v>13136</v>
      </c>
      <c r="V681" t="s">
        <v>13137</v>
      </c>
      <c r="W681" t="s">
        <v>13138</v>
      </c>
      <c r="X681" t="s">
        <v>13139</v>
      </c>
      <c r="Y681" t="s">
        <v>13140</v>
      </c>
      <c r="Z681" t="s">
        <v>13141</v>
      </c>
      <c r="AA681" t="s">
        <v>13142</v>
      </c>
      <c r="AB681" t="s">
        <v>13143</v>
      </c>
      <c r="AC681" t="s">
        <v>13144</v>
      </c>
      <c r="AD681" t="s">
        <v>13145</v>
      </c>
      <c r="AE681" t="s">
        <v>13146</v>
      </c>
      <c r="AF681" t="s">
        <v>74</v>
      </c>
      <c r="AG681">
        <v>40</v>
      </c>
      <c r="AH681">
        <v>84</v>
      </c>
      <c r="AI681">
        <v>93</v>
      </c>
      <c r="AJ681">
        <v>2</v>
      </c>
      <c r="AK681">
        <v>37</v>
      </c>
      <c r="AL681" t="s">
        <v>181</v>
      </c>
      <c r="AM681" t="s">
        <v>182</v>
      </c>
      <c r="AN681" t="s">
        <v>183</v>
      </c>
      <c r="AO681" t="s">
        <v>3625</v>
      </c>
      <c r="AP681" t="s">
        <v>3626</v>
      </c>
      <c r="AQ681" t="s">
        <v>74</v>
      </c>
      <c r="AR681" t="s">
        <v>3627</v>
      </c>
      <c r="AS681" t="s">
        <v>3628</v>
      </c>
      <c r="AT681" t="s">
        <v>10370</v>
      </c>
      <c r="AU681">
        <v>2017</v>
      </c>
      <c r="AV681">
        <v>7</v>
      </c>
      <c r="AW681">
        <v>8</v>
      </c>
      <c r="AX681" t="s">
        <v>74</v>
      </c>
      <c r="AY681" t="s">
        <v>74</v>
      </c>
      <c r="AZ681" t="s">
        <v>74</v>
      </c>
      <c r="BA681" t="s">
        <v>74</v>
      </c>
      <c r="BB681">
        <v>595</v>
      </c>
      <c r="BC681">
        <v>603</v>
      </c>
      <c r="BD681" t="s">
        <v>74</v>
      </c>
      <c r="BE681" t="s">
        <v>13147</v>
      </c>
      <c r="BF681" t="str">
        <f>HYPERLINK("http://dx.doi.org/10.1038/NCLIMATE3335","http://dx.doi.org/10.1038/NCLIMATE3335")</f>
        <v>http://dx.doi.org/10.1038/NCLIMATE3335</v>
      </c>
      <c r="BG681" t="s">
        <v>74</v>
      </c>
      <c r="BH681" t="s">
        <v>74</v>
      </c>
      <c r="BI681">
        <v>9</v>
      </c>
      <c r="BJ681" t="s">
        <v>3630</v>
      </c>
      <c r="BK681" t="s">
        <v>765</v>
      </c>
      <c r="BL681" t="s">
        <v>835</v>
      </c>
      <c r="BM681" t="s">
        <v>13131</v>
      </c>
      <c r="BN681" t="s">
        <v>74</v>
      </c>
      <c r="BO681" t="s">
        <v>164</v>
      </c>
      <c r="BP681" t="s">
        <v>74</v>
      </c>
      <c r="BQ681" t="s">
        <v>74</v>
      </c>
      <c r="BR681" t="s">
        <v>105</v>
      </c>
      <c r="BS681" t="s">
        <v>13148</v>
      </c>
      <c r="BT681" t="str">
        <f>HYPERLINK("https%3A%2F%2Fwww.webofscience.com%2Fwos%2Fwoscc%2Ffull-record%2FWOS:000406742500021","View Full Record in Web of Science")</f>
        <v>View Full Record in Web of Science</v>
      </c>
    </row>
    <row r="682" spans="1:72" x14ac:dyDescent="0.15">
      <c r="A682" t="s">
        <v>72</v>
      </c>
      <c r="B682" t="s">
        <v>13149</v>
      </c>
      <c r="C682" t="s">
        <v>74</v>
      </c>
      <c r="D682" t="s">
        <v>74</v>
      </c>
      <c r="E682" t="s">
        <v>74</v>
      </c>
      <c r="F682" t="s">
        <v>13150</v>
      </c>
      <c r="G682" t="s">
        <v>74</v>
      </c>
      <c r="H682" t="s">
        <v>74</v>
      </c>
      <c r="I682" t="s">
        <v>13151</v>
      </c>
      <c r="J682" t="s">
        <v>7131</v>
      </c>
      <c r="K682" t="s">
        <v>74</v>
      </c>
      <c r="L682" t="s">
        <v>74</v>
      </c>
      <c r="M682" t="s">
        <v>78</v>
      </c>
      <c r="N682" t="s">
        <v>79</v>
      </c>
      <c r="O682" t="s">
        <v>74</v>
      </c>
      <c r="P682" t="s">
        <v>74</v>
      </c>
      <c r="Q682" t="s">
        <v>74</v>
      </c>
      <c r="R682" t="s">
        <v>74</v>
      </c>
      <c r="S682" t="s">
        <v>74</v>
      </c>
      <c r="T682" t="s">
        <v>74</v>
      </c>
      <c r="U682" t="s">
        <v>13152</v>
      </c>
      <c r="V682" t="s">
        <v>13153</v>
      </c>
      <c r="W682" t="s">
        <v>13154</v>
      </c>
      <c r="X682" t="s">
        <v>13155</v>
      </c>
      <c r="Y682" t="s">
        <v>13156</v>
      </c>
      <c r="Z682" t="s">
        <v>13157</v>
      </c>
      <c r="AA682" t="s">
        <v>13158</v>
      </c>
      <c r="AB682" t="s">
        <v>13159</v>
      </c>
      <c r="AC682" t="s">
        <v>13160</v>
      </c>
      <c r="AD682" t="s">
        <v>13161</v>
      </c>
      <c r="AE682" t="s">
        <v>13162</v>
      </c>
      <c r="AF682" t="s">
        <v>74</v>
      </c>
      <c r="AG682">
        <v>62</v>
      </c>
      <c r="AH682">
        <v>55</v>
      </c>
      <c r="AI682">
        <v>65</v>
      </c>
      <c r="AJ682">
        <v>15</v>
      </c>
      <c r="AK682">
        <v>132</v>
      </c>
      <c r="AL682" t="s">
        <v>650</v>
      </c>
      <c r="AM682" t="s">
        <v>651</v>
      </c>
      <c r="AN682" t="s">
        <v>652</v>
      </c>
      <c r="AO682" t="s">
        <v>7144</v>
      </c>
      <c r="AP682" t="s">
        <v>7145</v>
      </c>
      <c r="AQ682" t="s">
        <v>74</v>
      </c>
      <c r="AR682" t="s">
        <v>7146</v>
      </c>
      <c r="AS682" t="s">
        <v>7147</v>
      </c>
      <c r="AT682" t="s">
        <v>10370</v>
      </c>
      <c r="AU682">
        <v>2017</v>
      </c>
      <c r="AV682">
        <v>10</v>
      </c>
      <c r="AW682">
        <v>8</v>
      </c>
      <c r="AX682" t="s">
        <v>74</v>
      </c>
      <c r="AY682" t="s">
        <v>74</v>
      </c>
      <c r="AZ682" t="s">
        <v>74</v>
      </c>
      <c r="BA682" t="s">
        <v>74</v>
      </c>
      <c r="BB682">
        <v>582</v>
      </c>
      <c r="BC682" t="s">
        <v>188</v>
      </c>
      <c r="BD682" t="s">
        <v>74</v>
      </c>
      <c r="BE682" t="s">
        <v>13163</v>
      </c>
      <c r="BF682" t="str">
        <f>HYPERLINK("http://dx.doi.org/10.1038/NGEO2992","http://dx.doi.org/10.1038/NGEO2992")</f>
        <v>http://dx.doi.org/10.1038/NGEO2992</v>
      </c>
      <c r="BG682" t="s">
        <v>74</v>
      </c>
      <c r="BH682" t="s">
        <v>74</v>
      </c>
      <c r="BI682">
        <v>8</v>
      </c>
      <c r="BJ682" t="s">
        <v>100</v>
      </c>
      <c r="BK682" t="s">
        <v>101</v>
      </c>
      <c r="BL682" t="s">
        <v>102</v>
      </c>
      <c r="BM682" t="s">
        <v>13164</v>
      </c>
      <c r="BN682" t="s">
        <v>74</v>
      </c>
      <c r="BO682" t="s">
        <v>2274</v>
      </c>
      <c r="BP682" t="s">
        <v>74</v>
      </c>
      <c r="BQ682" t="s">
        <v>74</v>
      </c>
      <c r="BR682" t="s">
        <v>105</v>
      </c>
      <c r="BS682" t="s">
        <v>13165</v>
      </c>
      <c r="BT682" t="str">
        <f>HYPERLINK("https%3A%2F%2Fwww.webofscience.com%2Fwos%2Fwoscc%2Ffull-record%2FWOS:000406641100013","View Full Record in Web of Science")</f>
        <v>View Full Record in Web of Science</v>
      </c>
    </row>
    <row r="683" spans="1:72" x14ac:dyDescent="0.15">
      <c r="A683" t="s">
        <v>72</v>
      </c>
      <c r="B683" t="s">
        <v>13166</v>
      </c>
      <c r="C683" t="s">
        <v>74</v>
      </c>
      <c r="D683" t="s">
        <v>74</v>
      </c>
      <c r="E683" t="s">
        <v>74</v>
      </c>
      <c r="F683" t="s">
        <v>13167</v>
      </c>
      <c r="G683" t="s">
        <v>74</v>
      </c>
      <c r="H683" t="s">
        <v>74</v>
      </c>
      <c r="I683" t="s">
        <v>13168</v>
      </c>
      <c r="J683" t="s">
        <v>13169</v>
      </c>
      <c r="K683" t="s">
        <v>74</v>
      </c>
      <c r="L683" t="s">
        <v>74</v>
      </c>
      <c r="M683" t="s">
        <v>78</v>
      </c>
      <c r="N683" t="s">
        <v>79</v>
      </c>
      <c r="O683" t="s">
        <v>74</v>
      </c>
      <c r="P683" t="s">
        <v>74</v>
      </c>
      <c r="Q683" t="s">
        <v>74</v>
      </c>
      <c r="R683" t="s">
        <v>74</v>
      </c>
      <c r="S683" t="s">
        <v>74</v>
      </c>
      <c r="T683" t="s">
        <v>13170</v>
      </c>
      <c r="U683" t="s">
        <v>13171</v>
      </c>
      <c r="V683" t="s">
        <v>13172</v>
      </c>
      <c r="W683" t="s">
        <v>13173</v>
      </c>
      <c r="X683" t="s">
        <v>13174</v>
      </c>
      <c r="Y683" t="s">
        <v>13175</v>
      </c>
      <c r="Z683" t="s">
        <v>13176</v>
      </c>
      <c r="AA683" t="s">
        <v>13177</v>
      </c>
      <c r="AB683" t="s">
        <v>13178</v>
      </c>
      <c r="AC683" t="s">
        <v>13179</v>
      </c>
      <c r="AD683" t="s">
        <v>13180</v>
      </c>
      <c r="AE683" t="s">
        <v>13181</v>
      </c>
      <c r="AF683" t="s">
        <v>74</v>
      </c>
      <c r="AG683">
        <v>60</v>
      </c>
      <c r="AH683">
        <v>48</v>
      </c>
      <c r="AI683">
        <v>55</v>
      </c>
      <c r="AJ683">
        <v>1</v>
      </c>
      <c r="AK683">
        <v>33</v>
      </c>
      <c r="AL683" t="s">
        <v>1981</v>
      </c>
      <c r="AM683" t="s">
        <v>729</v>
      </c>
      <c r="AN683" t="s">
        <v>1982</v>
      </c>
      <c r="AO683" t="s">
        <v>13182</v>
      </c>
      <c r="AP683" t="s">
        <v>74</v>
      </c>
      <c r="AQ683" t="s">
        <v>74</v>
      </c>
      <c r="AR683" t="s">
        <v>13183</v>
      </c>
      <c r="AS683" t="s">
        <v>13184</v>
      </c>
      <c r="AT683" t="s">
        <v>10370</v>
      </c>
      <c r="AU683">
        <v>2017</v>
      </c>
      <c r="AV683">
        <v>110</v>
      </c>
      <c r="AW683" t="s">
        <v>74</v>
      </c>
      <c r="AX683" t="s">
        <v>74</v>
      </c>
      <c r="AY683" t="s">
        <v>74</v>
      </c>
      <c r="AZ683" t="s">
        <v>74</v>
      </c>
      <c r="BA683" t="s">
        <v>74</v>
      </c>
      <c r="BB683">
        <v>65</v>
      </c>
      <c r="BC683">
        <v>72</v>
      </c>
      <c r="BD683" t="s">
        <v>74</v>
      </c>
      <c r="BE683" t="s">
        <v>13185</v>
      </c>
      <c r="BF683" t="str">
        <f>HYPERLINK("http://dx.doi.org/10.1016/j.orggeochem.2017.05.007","http://dx.doi.org/10.1016/j.orggeochem.2017.05.007")</f>
        <v>http://dx.doi.org/10.1016/j.orggeochem.2017.05.007</v>
      </c>
      <c r="BG683" t="s">
        <v>74</v>
      </c>
      <c r="BH683" t="s">
        <v>74</v>
      </c>
      <c r="BI683">
        <v>8</v>
      </c>
      <c r="BJ683" t="s">
        <v>509</v>
      </c>
      <c r="BK683" t="s">
        <v>101</v>
      </c>
      <c r="BL683" t="s">
        <v>509</v>
      </c>
      <c r="BM683" t="s">
        <v>13186</v>
      </c>
      <c r="BN683" t="s">
        <v>74</v>
      </c>
      <c r="BO683" t="s">
        <v>193</v>
      </c>
      <c r="BP683" t="s">
        <v>74</v>
      </c>
      <c r="BQ683" t="s">
        <v>74</v>
      </c>
      <c r="BR683" t="s">
        <v>105</v>
      </c>
      <c r="BS683" t="s">
        <v>13187</v>
      </c>
      <c r="BT683" t="str">
        <f>HYPERLINK("https%3A%2F%2Fwww.webofscience.com%2Fwos%2Fwoscc%2Ffull-record%2FWOS:000405995000009","View Full Record in Web of Science")</f>
        <v>View Full Record in Web of Science</v>
      </c>
    </row>
    <row r="684" spans="1:72" x14ac:dyDescent="0.15">
      <c r="A684" t="s">
        <v>72</v>
      </c>
      <c r="B684" t="s">
        <v>13188</v>
      </c>
      <c r="C684" t="s">
        <v>74</v>
      </c>
      <c r="D684" t="s">
        <v>74</v>
      </c>
      <c r="E684" t="s">
        <v>74</v>
      </c>
      <c r="F684" t="s">
        <v>13189</v>
      </c>
      <c r="G684" t="s">
        <v>74</v>
      </c>
      <c r="H684" t="s">
        <v>74</v>
      </c>
      <c r="I684" t="s">
        <v>13190</v>
      </c>
      <c r="J684" t="s">
        <v>13191</v>
      </c>
      <c r="K684" t="s">
        <v>74</v>
      </c>
      <c r="L684" t="s">
        <v>74</v>
      </c>
      <c r="M684" t="s">
        <v>78</v>
      </c>
      <c r="N684" t="s">
        <v>79</v>
      </c>
      <c r="O684" t="s">
        <v>74</v>
      </c>
      <c r="P684" t="s">
        <v>74</v>
      </c>
      <c r="Q684" t="s">
        <v>74</v>
      </c>
      <c r="R684" t="s">
        <v>74</v>
      </c>
      <c r="S684" t="s">
        <v>74</v>
      </c>
      <c r="T684" t="s">
        <v>13192</v>
      </c>
      <c r="U684" t="s">
        <v>13193</v>
      </c>
      <c r="V684" t="s">
        <v>13194</v>
      </c>
      <c r="W684" t="s">
        <v>13195</v>
      </c>
      <c r="X684" t="s">
        <v>13196</v>
      </c>
      <c r="Y684" t="s">
        <v>13197</v>
      </c>
      <c r="Z684" t="s">
        <v>13198</v>
      </c>
      <c r="AA684" t="s">
        <v>3440</v>
      </c>
      <c r="AB684" t="s">
        <v>13199</v>
      </c>
      <c r="AC684" t="s">
        <v>13200</v>
      </c>
      <c r="AD684" t="s">
        <v>13201</v>
      </c>
      <c r="AE684" t="s">
        <v>13202</v>
      </c>
      <c r="AF684" t="s">
        <v>74</v>
      </c>
      <c r="AG684">
        <v>56</v>
      </c>
      <c r="AH684">
        <v>10</v>
      </c>
      <c r="AI684">
        <v>11</v>
      </c>
      <c r="AJ684">
        <v>0</v>
      </c>
      <c r="AK684">
        <v>10</v>
      </c>
      <c r="AL684" t="s">
        <v>13203</v>
      </c>
      <c r="AM684" t="s">
        <v>13204</v>
      </c>
      <c r="AN684" t="s">
        <v>13205</v>
      </c>
      <c r="AO684" t="s">
        <v>13206</v>
      </c>
      <c r="AP684" t="s">
        <v>13207</v>
      </c>
      <c r="AQ684" t="s">
        <v>74</v>
      </c>
      <c r="AR684" t="s">
        <v>13208</v>
      </c>
      <c r="AS684" t="s">
        <v>13209</v>
      </c>
      <c r="AT684" t="s">
        <v>10370</v>
      </c>
      <c r="AU684">
        <v>2017</v>
      </c>
      <c r="AV684">
        <v>303</v>
      </c>
      <c r="AW684">
        <v>7</v>
      </c>
      <c r="AX684" t="s">
        <v>74</v>
      </c>
      <c r="AY684" t="s">
        <v>74</v>
      </c>
      <c r="AZ684" t="s">
        <v>74</v>
      </c>
      <c r="BA684" t="s">
        <v>74</v>
      </c>
      <c r="BB684">
        <v>969</v>
      </c>
      <c r="BC684">
        <v>980</v>
      </c>
      <c r="BD684" t="s">
        <v>74</v>
      </c>
      <c r="BE684" t="s">
        <v>13210</v>
      </c>
      <c r="BF684" t="str">
        <f>HYPERLINK("http://dx.doi.org/10.1007/s00606-017-1422-y","http://dx.doi.org/10.1007/s00606-017-1422-y")</f>
        <v>http://dx.doi.org/10.1007/s00606-017-1422-y</v>
      </c>
      <c r="BG684" t="s">
        <v>74</v>
      </c>
      <c r="BH684" t="s">
        <v>74</v>
      </c>
      <c r="BI684">
        <v>12</v>
      </c>
      <c r="BJ684" t="s">
        <v>13211</v>
      </c>
      <c r="BK684" t="s">
        <v>101</v>
      </c>
      <c r="BL684" t="s">
        <v>13211</v>
      </c>
      <c r="BM684" t="s">
        <v>13212</v>
      </c>
      <c r="BN684" t="s">
        <v>74</v>
      </c>
      <c r="BO684" t="s">
        <v>529</v>
      </c>
      <c r="BP684" t="s">
        <v>74</v>
      </c>
      <c r="BQ684" t="s">
        <v>74</v>
      </c>
      <c r="BR684" t="s">
        <v>105</v>
      </c>
      <c r="BS684" t="s">
        <v>13213</v>
      </c>
      <c r="BT684" t="str">
        <f>HYPERLINK("https%3A%2F%2Fwww.webofscience.com%2Fwos%2Fwoscc%2Ffull-record%2FWOS:000405829200011","View Full Record in Web of Science")</f>
        <v>View Full Record in Web of Science</v>
      </c>
    </row>
    <row r="685" spans="1:72" x14ac:dyDescent="0.15">
      <c r="A685" t="s">
        <v>72</v>
      </c>
      <c r="B685" t="s">
        <v>13214</v>
      </c>
      <c r="C685" t="s">
        <v>74</v>
      </c>
      <c r="D685" t="s">
        <v>74</v>
      </c>
      <c r="E685" t="s">
        <v>74</v>
      </c>
      <c r="F685" t="s">
        <v>13215</v>
      </c>
      <c r="G685" t="s">
        <v>74</v>
      </c>
      <c r="H685" t="s">
        <v>74</v>
      </c>
      <c r="I685" t="s">
        <v>13216</v>
      </c>
      <c r="J685" t="s">
        <v>8680</v>
      </c>
      <c r="K685" t="s">
        <v>74</v>
      </c>
      <c r="L685" t="s">
        <v>74</v>
      </c>
      <c r="M685" t="s">
        <v>78</v>
      </c>
      <c r="N685" t="s">
        <v>79</v>
      </c>
      <c r="O685" t="s">
        <v>74</v>
      </c>
      <c r="P685" t="s">
        <v>74</v>
      </c>
      <c r="Q685" t="s">
        <v>74</v>
      </c>
      <c r="R685" t="s">
        <v>74</v>
      </c>
      <c r="S685" t="s">
        <v>74</v>
      </c>
      <c r="T685" t="s">
        <v>74</v>
      </c>
      <c r="U685" t="s">
        <v>13217</v>
      </c>
      <c r="V685" t="s">
        <v>13218</v>
      </c>
      <c r="W685" t="s">
        <v>13219</v>
      </c>
      <c r="X685" t="s">
        <v>13220</v>
      </c>
      <c r="Y685" t="s">
        <v>13221</v>
      </c>
      <c r="Z685" t="s">
        <v>13222</v>
      </c>
      <c r="AA685" t="s">
        <v>13223</v>
      </c>
      <c r="AB685" t="s">
        <v>13224</v>
      </c>
      <c r="AC685" t="s">
        <v>13225</v>
      </c>
      <c r="AD685" t="s">
        <v>13226</v>
      </c>
      <c r="AE685" t="s">
        <v>13227</v>
      </c>
      <c r="AF685" t="s">
        <v>74</v>
      </c>
      <c r="AG685">
        <v>102</v>
      </c>
      <c r="AH685">
        <v>14</v>
      </c>
      <c r="AI685">
        <v>15</v>
      </c>
      <c r="AJ685">
        <v>0</v>
      </c>
      <c r="AK685">
        <v>53</v>
      </c>
      <c r="AL685" t="s">
        <v>1981</v>
      </c>
      <c r="AM685" t="s">
        <v>729</v>
      </c>
      <c r="AN685" t="s">
        <v>1982</v>
      </c>
      <c r="AO685" t="s">
        <v>8693</v>
      </c>
      <c r="AP685" t="s">
        <v>10976</v>
      </c>
      <c r="AQ685" t="s">
        <v>74</v>
      </c>
      <c r="AR685" t="s">
        <v>8694</v>
      </c>
      <c r="AS685" t="s">
        <v>8695</v>
      </c>
      <c r="AT685" t="s">
        <v>10370</v>
      </c>
      <c r="AU685">
        <v>2017</v>
      </c>
      <c r="AV685">
        <v>156</v>
      </c>
      <c r="AW685" t="s">
        <v>74</v>
      </c>
      <c r="AX685" t="s">
        <v>74</v>
      </c>
      <c r="AY685" t="s">
        <v>74</v>
      </c>
      <c r="AZ685" t="s">
        <v>74</v>
      </c>
      <c r="BA685" t="s">
        <v>74</v>
      </c>
      <c r="BB685">
        <v>17</v>
      </c>
      <c r="BC685">
        <v>40</v>
      </c>
      <c r="BD685" t="s">
        <v>74</v>
      </c>
      <c r="BE685" t="s">
        <v>13228</v>
      </c>
      <c r="BF685" t="str">
        <f>HYPERLINK("http://dx.doi.org/10.1016/j.pocean.2017.05.014","http://dx.doi.org/10.1016/j.pocean.2017.05.014")</f>
        <v>http://dx.doi.org/10.1016/j.pocean.2017.05.014</v>
      </c>
      <c r="BG685" t="s">
        <v>74</v>
      </c>
      <c r="BH685" t="s">
        <v>74</v>
      </c>
      <c r="BI685">
        <v>24</v>
      </c>
      <c r="BJ685" t="s">
        <v>1459</v>
      </c>
      <c r="BK685" t="s">
        <v>101</v>
      </c>
      <c r="BL685" t="s">
        <v>1459</v>
      </c>
      <c r="BM685" t="s">
        <v>10978</v>
      </c>
      <c r="BN685" t="s">
        <v>74</v>
      </c>
      <c r="BO685" t="s">
        <v>1240</v>
      </c>
      <c r="BP685" t="s">
        <v>74</v>
      </c>
      <c r="BQ685" t="s">
        <v>74</v>
      </c>
      <c r="BR685" t="s">
        <v>105</v>
      </c>
      <c r="BS685" t="s">
        <v>13229</v>
      </c>
      <c r="BT685" t="str">
        <f>HYPERLINK("https%3A%2F%2Fwww.webofscience.com%2Fwos%2Fwoscc%2Ffull-record%2FWOS:000411770600002","View Full Record in Web of Science")</f>
        <v>View Full Record in Web of Science</v>
      </c>
    </row>
    <row r="686" spans="1:72" x14ac:dyDescent="0.15">
      <c r="A686" t="s">
        <v>72</v>
      </c>
      <c r="B686" t="s">
        <v>13230</v>
      </c>
      <c r="C686" t="s">
        <v>74</v>
      </c>
      <c r="D686" t="s">
        <v>74</v>
      </c>
      <c r="E686" t="s">
        <v>74</v>
      </c>
      <c r="F686" t="s">
        <v>13231</v>
      </c>
      <c r="G686" t="s">
        <v>74</v>
      </c>
      <c r="H686" t="s">
        <v>74</v>
      </c>
      <c r="I686" t="s">
        <v>13232</v>
      </c>
      <c r="J686" t="s">
        <v>2256</v>
      </c>
      <c r="K686" t="s">
        <v>74</v>
      </c>
      <c r="L686" t="s">
        <v>74</v>
      </c>
      <c r="M686" t="s">
        <v>78</v>
      </c>
      <c r="N686" t="s">
        <v>79</v>
      </c>
      <c r="O686" t="s">
        <v>74</v>
      </c>
      <c r="P686" t="s">
        <v>74</v>
      </c>
      <c r="Q686" t="s">
        <v>74</v>
      </c>
      <c r="R686" t="s">
        <v>74</v>
      </c>
      <c r="S686" t="s">
        <v>74</v>
      </c>
      <c r="T686" t="s">
        <v>13233</v>
      </c>
      <c r="U686" t="s">
        <v>13234</v>
      </c>
      <c r="V686" t="s">
        <v>13235</v>
      </c>
      <c r="W686" t="s">
        <v>13236</v>
      </c>
      <c r="X686" t="s">
        <v>13237</v>
      </c>
      <c r="Y686" t="s">
        <v>13238</v>
      </c>
      <c r="Z686" t="s">
        <v>13239</v>
      </c>
      <c r="AA686" t="s">
        <v>13240</v>
      </c>
      <c r="AB686" t="s">
        <v>13241</v>
      </c>
      <c r="AC686" t="s">
        <v>13242</v>
      </c>
      <c r="AD686" t="s">
        <v>13243</v>
      </c>
      <c r="AE686" t="s">
        <v>13244</v>
      </c>
      <c r="AF686" t="s">
        <v>74</v>
      </c>
      <c r="AG686">
        <v>84</v>
      </c>
      <c r="AH686">
        <v>18</v>
      </c>
      <c r="AI686">
        <v>18</v>
      </c>
      <c r="AJ686">
        <v>1</v>
      </c>
      <c r="AK686">
        <v>30</v>
      </c>
      <c r="AL686" t="s">
        <v>1981</v>
      </c>
      <c r="AM686" t="s">
        <v>729</v>
      </c>
      <c r="AN686" t="s">
        <v>1982</v>
      </c>
      <c r="AO686" t="s">
        <v>2269</v>
      </c>
      <c r="AP686" t="s">
        <v>74</v>
      </c>
      <c r="AQ686" t="s">
        <v>74</v>
      </c>
      <c r="AR686" t="s">
        <v>2270</v>
      </c>
      <c r="AS686" t="s">
        <v>2271</v>
      </c>
      <c r="AT686" t="s">
        <v>10661</v>
      </c>
      <c r="AU686">
        <v>2017</v>
      </c>
      <c r="AV686">
        <v>169</v>
      </c>
      <c r="AW686" t="s">
        <v>74</v>
      </c>
      <c r="AX686" t="s">
        <v>74</v>
      </c>
      <c r="AY686" t="s">
        <v>74</v>
      </c>
      <c r="AZ686" t="s">
        <v>74</v>
      </c>
      <c r="BA686" t="s">
        <v>74</v>
      </c>
      <c r="BB686">
        <v>85</v>
      </c>
      <c r="BC686">
        <v>98</v>
      </c>
      <c r="BD686" t="s">
        <v>74</v>
      </c>
      <c r="BE686" t="s">
        <v>13245</v>
      </c>
      <c r="BF686" t="str">
        <f>HYPERLINK("http://dx.doi.org/10.1016/j.quascirev.2017.06.003","http://dx.doi.org/10.1016/j.quascirev.2017.06.003")</f>
        <v>http://dx.doi.org/10.1016/j.quascirev.2017.06.003</v>
      </c>
      <c r="BG686" t="s">
        <v>74</v>
      </c>
      <c r="BH686" t="s">
        <v>74</v>
      </c>
      <c r="BI686">
        <v>14</v>
      </c>
      <c r="BJ686" t="s">
        <v>319</v>
      </c>
      <c r="BK686" t="s">
        <v>101</v>
      </c>
      <c r="BL686" t="s">
        <v>320</v>
      </c>
      <c r="BM686" t="s">
        <v>13246</v>
      </c>
      <c r="BN686" t="s">
        <v>74</v>
      </c>
      <c r="BO686" t="s">
        <v>1240</v>
      </c>
      <c r="BP686" t="s">
        <v>74</v>
      </c>
      <c r="BQ686" t="s">
        <v>74</v>
      </c>
      <c r="BR686" t="s">
        <v>105</v>
      </c>
      <c r="BS686" t="s">
        <v>13247</v>
      </c>
      <c r="BT686" t="str">
        <f>HYPERLINK("https%3A%2F%2Fwww.webofscience.com%2Fwos%2Fwoscc%2Ffull-record%2FWOS:000405154100006","View Full Record in Web of Science")</f>
        <v>View Full Record in Web of Science</v>
      </c>
    </row>
    <row r="687" spans="1:72" x14ac:dyDescent="0.15">
      <c r="A687" t="s">
        <v>72</v>
      </c>
      <c r="B687" t="s">
        <v>13248</v>
      </c>
      <c r="C687" t="s">
        <v>74</v>
      </c>
      <c r="D687" t="s">
        <v>74</v>
      </c>
      <c r="E687" t="s">
        <v>74</v>
      </c>
      <c r="F687" t="s">
        <v>13249</v>
      </c>
      <c r="G687" t="s">
        <v>74</v>
      </c>
      <c r="H687" t="s">
        <v>74</v>
      </c>
      <c r="I687" t="s">
        <v>13250</v>
      </c>
      <c r="J687" t="s">
        <v>6424</v>
      </c>
      <c r="K687" t="s">
        <v>74</v>
      </c>
      <c r="L687" t="s">
        <v>74</v>
      </c>
      <c r="M687" t="s">
        <v>78</v>
      </c>
      <c r="N687" t="s">
        <v>2737</v>
      </c>
      <c r="O687" t="s">
        <v>74</v>
      </c>
      <c r="P687" t="s">
        <v>74</v>
      </c>
      <c r="Q687" t="s">
        <v>74</v>
      </c>
      <c r="R687" t="s">
        <v>74</v>
      </c>
      <c r="S687" t="s">
        <v>74</v>
      </c>
      <c r="T687" t="s">
        <v>13251</v>
      </c>
      <c r="U687" t="s">
        <v>74</v>
      </c>
      <c r="V687" t="s">
        <v>13252</v>
      </c>
      <c r="W687" t="s">
        <v>13253</v>
      </c>
      <c r="X687" t="s">
        <v>13254</v>
      </c>
      <c r="Y687" t="s">
        <v>13255</v>
      </c>
      <c r="Z687" t="s">
        <v>13256</v>
      </c>
      <c r="AA687" t="s">
        <v>13257</v>
      </c>
      <c r="AB687" t="s">
        <v>13258</v>
      </c>
      <c r="AC687" t="s">
        <v>13259</v>
      </c>
      <c r="AD687" t="s">
        <v>13260</v>
      </c>
      <c r="AE687" t="s">
        <v>13261</v>
      </c>
      <c r="AF687" t="s">
        <v>74</v>
      </c>
      <c r="AG687">
        <v>25</v>
      </c>
      <c r="AH687">
        <v>16</v>
      </c>
      <c r="AI687">
        <v>16</v>
      </c>
      <c r="AJ687">
        <v>7</v>
      </c>
      <c r="AK687">
        <v>90</v>
      </c>
      <c r="AL687" t="s">
        <v>3485</v>
      </c>
      <c r="AM687" t="s">
        <v>3486</v>
      </c>
      <c r="AN687" t="s">
        <v>3487</v>
      </c>
      <c r="AO687" t="s">
        <v>6438</v>
      </c>
      <c r="AP687" t="s">
        <v>74</v>
      </c>
      <c r="AQ687" t="s">
        <v>74</v>
      </c>
      <c r="AR687" t="s">
        <v>6439</v>
      </c>
      <c r="AS687" t="s">
        <v>6440</v>
      </c>
      <c r="AT687" t="s">
        <v>10370</v>
      </c>
      <c r="AU687">
        <v>2017</v>
      </c>
      <c r="AV687">
        <v>9</v>
      </c>
      <c r="AW687">
        <v>8</v>
      </c>
      <c r="AX687" t="s">
        <v>74</v>
      </c>
      <c r="AY687" t="s">
        <v>74</v>
      </c>
      <c r="AZ687" t="s">
        <v>74</v>
      </c>
      <c r="BA687" t="s">
        <v>74</v>
      </c>
      <c r="BB687" t="s">
        <v>74</v>
      </c>
      <c r="BC687" t="s">
        <v>74</v>
      </c>
      <c r="BD687">
        <v>818</v>
      </c>
      <c r="BE687" t="s">
        <v>13262</v>
      </c>
      <c r="BF687" t="str">
        <f>HYPERLINK("http://dx.doi.org/10.3390/rs9080818","http://dx.doi.org/10.3390/rs9080818")</f>
        <v>http://dx.doi.org/10.3390/rs9080818</v>
      </c>
      <c r="BG687" t="s">
        <v>74</v>
      </c>
      <c r="BH687" t="s">
        <v>74</v>
      </c>
      <c r="BI687">
        <v>5</v>
      </c>
      <c r="BJ687" t="s">
        <v>6442</v>
      </c>
      <c r="BK687" t="s">
        <v>101</v>
      </c>
      <c r="BL687" t="s">
        <v>6443</v>
      </c>
      <c r="BM687" t="s">
        <v>13263</v>
      </c>
      <c r="BN687" t="s">
        <v>74</v>
      </c>
      <c r="BO687" t="s">
        <v>3495</v>
      </c>
      <c r="BP687" t="s">
        <v>74</v>
      </c>
      <c r="BQ687" t="s">
        <v>74</v>
      </c>
      <c r="BR687" t="s">
        <v>105</v>
      </c>
      <c r="BS687" t="s">
        <v>13264</v>
      </c>
      <c r="BT687" t="str">
        <f>HYPERLINK("https%3A%2F%2Fwww.webofscience.com%2Fwos%2Fwoscc%2Ffull-record%2FWOS:000408605600056","View Full Record in Web of Science")</f>
        <v>View Full Record in Web of Science</v>
      </c>
    </row>
    <row r="688" spans="1:72" x14ac:dyDescent="0.15">
      <c r="A688" t="s">
        <v>72</v>
      </c>
      <c r="B688" t="s">
        <v>13265</v>
      </c>
      <c r="C688" t="s">
        <v>74</v>
      </c>
      <c r="D688" t="s">
        <v>74</v>
      </c>
      <c r="E688" t="s">
        <v>74</v>
      </c>
      <c r="F688" t="s">
        <v>13266</v>
      </c>
      <c r="G688" t="s">
        <v>74</v>
      </c>
      <c r="H688" t="s">
        <v>74</v>
      </c>
      <c r="I688" t="s">
        <v>13267</v>
      </c>
      <c r="J688" t="s">
        <v>3751</v>
      </c>
      <c r="K688" t="s">
        <v>74</v>
      </c>
      <c r="L688" t="s">
        <v>74</v>
      </c>
      <c r="M688" t="s">
        <v>78</v>
      </c>
      <c r="N688" t="s">
        <v>79</v>
      </c>
      <c r="O688" t="s">
        <v>74</v>
      </c>
      <c r="P688" t="s">
        <v>74</v>
      </c>
      <c r="Q688" t="s">
        <v>74</v>
      </c>
      <c r="R688" t="s">
        <v>74</v>
      </c>
      <c r="S688" t="s">
        <v>74</v>
      </c>
      <c r="T688" t="s">
        <v>74</v>
      </c>
      <c r="U688" t="s">
        <v>13268</v>
      </c>
      <c r="V688" t="s">
        <v>13269</v>
      </c>
      <c r="W688" t="s">
        <v>13270</v>
      </c>
      <c r="X688" t="s">
        <v>13271</v>
      </c>
      <c r="Y688" t="s">
        <v>13272</v>
      </c>
      <c r="Z688" t="s">
        <v>13273</v>
      </c>
      <c r="AA688" t="s">
        <v>13274</v>
      </c>
      <c r="AB688" t="s">
        <v>13275</v>
      </c>
      <c r="AC688" t="s">
        <v>13276</v>
      </c>
      <c r="AD688" t="s">
        <v>13277</v>
      </c>
      <c r="AE688" t="s">
        <v>13278</v>
      </c>
      <c r="AF688" t="s">
        <v>74</v>
      </c>
      <c r="AG688">
        <v>50</v>
      </c>
      <c r="AH688">
        <v>66</v>
      </c>
      <c r="AI688">
        <v>76</v>
      </c>
      <c r="AJ688">
        <v>1</v>
      </c>
      <c r="AK688">
        <v>28</v>
      </c>
      <c r="AL688" t="s">
        <v>3763</v>
      </c>
      <c r="AM688" t="s">
        <v>92</v>
      </c>
      <c r="AN688" t="s">
        <v>3764</v>
      </c>
      <c r="AO688" t="s">
        <v>3765</v>
      </c>
      <c r="AP688" t="s">
        <v>74</v>
      </c>
      <c r="AQ688" t="s">
        <v>74</v>
      </c>
      <c r="AR688" t="s">
        <v>3766</v>
      </c>
      <c r="AS688" t="s">
        <v>3767</v>
      </c>
      <c r="AT688" t="s">
        <v>10370</v>
      </c>
      <c r="AU688">
        <v>2017</v>
      </c>
      <c r="AV688">
        <v>3</v>
      </c>
      <c r="AW688">
        <v>8</v>
      </c>
      <c r="AX688" t="s">
        <v>74</v>
      </c>
      <c r="AY688" t="s">
        <v>74</v>
      </c>
      <c r="AZ688" t="s">
        <v>74</v>
      </c>
      <c r="BA688" t="s">
        <v>74</v>
      </c>
      <c r="BB688" t="s">
        <v>74</v>
      </c>
      <c r="BC688" t="s">
        <v>74</v>
      </c>
      <c r="BD688" t="s">
        <v>13279</v>
      </c>
      <c r="BE688" t="s">
        <v>13280</v>
      </c>
      <c r="BF688" t="str">
        <f>HYPERLINK("http://dx.doi.org/10.1126/sciadv.1701440","http://dx.doi.org/10.1126/sciadv.1701440")</f>
        <v>http://dx.doi.org/10.1126/sciadv.1701440</v>
      </c>
      <c r="BG688" t="s">
        <v>74</v>
      </c>
      <c r="BH688" t="s">
        <v>74</v>
      </c>
      <c r="BI688">
        <v>10</v>
      </c>
      <c r="BJ688" t="s">
        <v>190</v>
      </c>
      <c r="BK688" t="s">
        <v>101</v>
      </c>
      <c r="BL688" t="s">
        <v>191</v>
      </c>
      <c r="BM688" t="s">
        <v>13281</v>
      </c>
      <c r="BN688">
        <v>28808685</v>
      </c>
      <c r="BO688" t="s">
        <v>658</v>
      </c>
      <c r="BP688" t="s">
        <v>74</v>
      </c>
      <c r="BQ688" t="s">
        <v>74</v>
      </c>
      <c r="BR688" t="s">
        <v>105</v>
      </c>
      <c r="BS688" t="s">
        <v>13282</v>
      </c>
      <c r="BT688" t="str">
        <f>HYPERLINK("https%3A%2F%2Fwww.webofscience.com%2Fwos%2Fwoscc%2Ffull-record%2FWOS:000411589900032","View Full Record in Web of Science")</f>
        <v>View Full Record in Web of Science</v>
      </c>
    </row>
    <row r="689" spans="1:72" x14ac:dyDescent="0.15">
      <c r="A689" t="s">
        <v>72</v>
      </c>
      <c r="B689" t="s">
        <v>13283</v>
      </c>
      <c r="C689" t="s">
        <v>74</v>
      </c>
      <c r="D689" t="s">
        <v>74</v>
      </c>
      <c r="E689" t="s">
        <v>74</v>
      </c>
      <c r="F689" t="s">
        <v>13284</v>
      </c>
      <c r="G689" t="s">
        <v>74</v>
      </c>
      <c r="H689" t="s">
        <v>74</v>
      </c>
      <c r="I689" t="s">
        <v>13285</v>
      </c>
      <c r="J689" t="s">
        <v>13286</v>
      </c>
      <c r="K689" t="s">
        <v>74</v>
      </c>
      <c r="L689" t="s">
        <v>74</v>
      </c>
      <c r="M689" t="s">
        <v>78</v>
      </c>
      <c r="N689" t="s">
        <v>79</v>
      </c>
      <c r="O689" t="s">
        <v>74</v>
      </c>
      <c r="P689" t="s">
        <v>74</v>
      </c>
      <c r="Q689" t="s">
        <v>74</v>
      </c>
      <c r="R689" t="s">
        <v>74</v>
      </c>
      <c r="S689" t="s">
        <v>74</v>
      </c>
      <c r="T689" t="s">
        <v>13287</v>
      </c>
      <c r="U689" t="s">
        <v>13288</v>
      </c>
      <c r="V689" t="s">
        <v>13289</v>
      </c>
      <c r="W689" t="s">
        <v>13290</v>
      </c>
      <c r="X689" t="s">
        <v>13291</v>
      </c>
      <c r="Y689" t="s">
        <v>13292</v>
      </c>
      <c r="Z689" t="s">
        <v>13293</v>
      </c>
      <c r="AA689" t="s">
        <v>10729</v>
      </c>
      <c r="AB689" t="s">
        <v>13294</v>
      </c>
      <c r="AC689" t="s">
        <v>13295</v>
      </c>
      <c r="AD689" t="s">
        <v>13296</v>
      </c>
      <c r="AE689" t="s">
        <v>13297</v>
      </c>
      <c r="AF689" t="s">
        <v>74</v>
      </c>
      <c r="AG689">
        <v>43</v>
      </c>
      <c r="AH689">
        <v>45</v>
      </c>
      <c r="AI689">
        <v>45</v>
      </c>
      <c r="AJ689">
        <v>0</v>
      </c>
      <c r="AK689">
        <v>7</v>
      </c>
      <c r="AL689" t="s">
        <v>91</v>
      </c>
      <c r="AM689" t="s">
        <v>92</v>
      </c>
      <c r="AN689" t="s">
        <v>93</v>
      </c>
      <c r="AO689" t="s">
        <v>74</v>
      </c>
      <c r="AP689" t="s">
        <v>13298</v>
      </c>
      <c r="AQ689" t="s">
        <v>74</v>
      </c>
      <c r="AR689" t="s">
        <v>13299</v>
      </c>
      <c r="AS689" t="s">
        <v>13300</v>
      </c>
      <c r="AT689" t="s">
        <v>10370</v>
      </c>
      <c r="AU689">
        <v>2017</v>
      </c>
      <c r="AV689">
        <v>15</v>
      </c>
      <c r="AW689">
        <v>8</v>
      </c>
      <c r="AX689" t="s">
        <v>74</v>
      </c>
      <c r="AY689" t="s">
        <v>74</v>
      </c>
      <c r="AZ689" t="s">
        <v>74</v>
      </c>
      <c r="BA689" t="s">
        <v>74</v>
      </c>
      <c r="BB689">
        <v>1020</v>
      </c>
      <c r="BC689">
        <v>1038</v>
      </c>
      <c r="BD689" t="s">
        <v>74</v>
      </c>
      <c r="BE689" t="s">
        <v>13301</v>
      </c>
      <c r="BF689" t="str">
        <f>HYPERLINK("http://dx.doi.org/10.1002/2017SW001635","http://dx.doi.org/10.1002/2017SW001635")</f>
        <v>http://dx.doi.org/10.1002/2017SW001635</v>
      </c>
      <c r="BG689" t="s">
        <v>74</v>
      </c>
      <c r="BH689" t="s">
        <v>74</v>
      </c>
      <c r="BI689">
        <v>19</v>
      </c>
      <c r="BJ689" t="s">
        <v>13302</v>
      </c>
      <c r="BK689" t="s">
        <v>101</v>
      </c>
      <c r="BL689" t="s">
        <v>13302</v>
      </c>
      <c r="BM689" t="s">
        <v>13303</v>
      </c>
      <c r="BN689" t="s">
        <v>74</v>
      </c>
      <c r="BO689" t="s">
        <v>1240</v>
      </c>
      <c r="BP689" t="s">
        <v>74</v>
      </c>
      <c r="BQ689" t="s">
        <v>74</v>
      </c>
      <c r="BR689" t="s">
        <v>105</v>
      </c>
      <c r="BS689" t="s">
        <v>13304</v>
      </c>
      <c r="BT689" t="str">
        <f>HYPERLINK("https%3A%2F%2Fwww.webofscience.com%2Fwos%2Fwoscc%2Ffull-record%2FWOS:000410818900005","View Full Record in Web of Science")</f>
        <v>View Full Record in Web of Science</v>
      </c>
    </row>
    <row r="690" spans="1:72" x14ac:dyDescent="0.15">
      <c r="A690" t="s">
        <v>72</v>
      </c>
      <c r="B690" t="s">
        <v>13305</v>
      </c>
      <c r="C690" t="s">
        <v>74</v>
      </c>
      <c r="D690" t="s">
        <v>74</v>
      </c>
      <c r="E690" t="s">
        <v>74</v>
      </c>
      <c r="F690" t="s">
        <v>13306</v>
      </c>
      <c r="G690" t="s">
        <v>74</v>
      </c>
      <c r="H690" t="s">
        <v>74</v>
      </c>
      <c r="I690" t="s">
        <v>13307</v>
      </c>
      <c r="J690" t="s">
        <v>13308</v>
      </c>
      <c r="K690" t="s">
        <v>74</v>
      </c>
      <c r="L690" t="s">
        <v>74</v>
      </c>
      <c r="M690" t="s">
        <v>78</v>
      </c>
      <c r="N690" t="s">
        <v>79</v>
      </c>
      <c r="O690" t="s">
        <v>74</v>
      </c>
      <c r="P690" t="s">
        <v>74</v>
      </c>
      <c r="Q690" t="s">
        <v>74</v>
      </c>
      <c r="R690" t="s">
        <v>74</v>
      </c>
      <c r="S690" t="s">
        <v>74</v>
      </c>
      <c r="T690" t="s">
        <v>13309</v>
      </c>
      <c r="U690" t="s">
        <v>13310</v>
      </c>
      <c r="V690" t="s">
        <v>13311</v>
      </c>
      <c r="W690" t="s">
        <v>13312</v>
      </c>
      <c r="X690" t="s">
        <v>13313</v>
      </c>
      <c r="Y690" t="s">
        <v>13314</v>
      </c>
      <c r="Z690" t="s">
        <v>13315</v>
      </c>
      <c r="AA690" t="s">
        <v>74</v>
      </c>
      <c r="AB690" t="s">
        <v>74</v>
      </c>
      <c r="AC690" t="s">
        <v>13316</v>
      </c>
      <c r="AD690" t="s">
        <v>13316</v>
      </c>
      <c r="AE690" t="s">
        <v>13317</v>
      </c>
      <c r="AF690" t="s">
        <v>74</v>
      </c>
      <c r="AG690">
        <v>54</v>
      </c>
      <c r="AH690">
        <v>18</v>
      </c>
      <c r="AI690">
        <v>20</v>
      </c>
      <c r="AJ690">
        <v>4</v>
      </c>
      <c r="AK690">
        <v>41</v>
      </c>
      <c r="AL690" t="s">
        <v>1338</v>
      </c>
      <c r="AM690" t="s">
        <v>1339</v>
      </c>
      <c r="AN690" t="s">
        <v>1340</v>
      </c>
      <c r="AO690" t="s">
        <v>13318</v>
      </c>
      <c r="AP690" t="s">
        <v>13319</v>
      </c>
      <c r="AQ690" t="s">
        <v>74</v>
      </c>
      <c r="AR690" t="s">
        <v>13320</v>
      </c>
      <c r="AS690" t="s">
        <v>13321</v>
      </c>
      <c r="AT690" t="s">
        <v>10370</v>
      </c>
      <c r="AU690">
        <v>2017</v>
      </c>
      <c r="AV690">
        <v>23</v>
      </c>
      <c r="AW690">
        <v>4</v>
      </c>
      <c r="AX690" t="s">
        <v>74</v>
      </c>
      <c r="AY690" t="s">
        <v>74</v>
      </c>
      <c r="AZ690" t="s">
        <v>74</v>
      </c>
      <c r="BA690" t="s">
        <v>74</v>
      </c>
      <c r="BB690">
        <v>721</v>
      </c>
      <c r="BC690">
        <v>729</v>
      </c>
      <c r="BD690" t="s">
        <v>74</v>
      </c>
      <c r="BE690" t="s">
        <v>13322</v>
      </c>
      <c r="BF690" t="str">
        <f>HYPERLINK("http://dx.doi.org/10.1111/anu.12439","http://dx.doi.org/10.1111/anu.12439")</f>
        <v>http://dx.doi.org/10.1111/anu.12439</v>
      </c>
      <c r="BG690" t="s">
        <v>74</v>
      </c>
      <c r="BH690" t="s">
        <v>74</v>
      </c>
      <c r="BI690">
        <v>9</v>
      </c>
      <c r="BJ690" t="s">
        <v>7962</v>
      </c>
      <c r="BK690" t="s">
        <v>101</v>
      </c>
      <c r="BL690" t="s">
        <v>7962</v>
      </c>
      <c r="BM690" t="s">
        <v>13323</v>
      </c>
      <c r="BN690" t="s">
        <v>74</v>
      </c>
      <c r="BO690" t="s">
        <v>1278</v>
      </c>
      <c r="BP690" t="s">
        <v>74</v>
      </c>
      <c r="BQ690" t="s">
        <v>74</v>
      </c>
      <c r="BR690" t="s">
        <v>105</v>
      </c>
      <c r="BS690" t="s">
        <v>13324</v>
      </c>
      <c r="BT690" t="str">
        <f>HYPERLINK("https%3A%2F%2Fwww.webofscience.com%2Fwos%2Fwoscc%2Ffull-record%2FWOS:000405635300008","View Full Record in Web of Science")</f>
        <v>View Full Record in Web of Science</v>
      </c>
    </row>
    <row r="691" spans="1:72" x14ac:dyDescent="0.15">
      <c r="A691" t="s">
        <v>72</v>
      </c>
      <c r="B691" t="s">
        <v>13325</v>
      </c>
      <c r="C691" t="s">
        <v>74</v>
      </c>
      <c r="D691" t="s">
        <v>74</v>
      </c>
      <c r="E691" t="s">
        <v>74</v>
      </c>
      <c r="F691" t="s">
        <v>13326</v>
      </c>
      <c r="G691" t="s">
        <v>74</v>
      </c>
      <c r="H691" t="s">
        <v>74</v>
      </c>
      <c r="I691" t="s">
        <v>13327</v>
      </c>
      <c r="J691" t="s">
        <v>3812</v>
      </c>
      <c r="K691" t="s">
        <v>74</v>
      </c>
      <c r="L691" t="s">
        <v>74</v>
      </c>
      <c r="M691" t="s">
        <v>78</v>
      </c>
      <c r="N691" t="s">
        <v>79</v>
      </c>
      <c r="O691" t="s">
        <v>74</v>
      </c>
      <c r="P691" t="s">
        <v>74</v>
      </c>
      <c r="Q691" t="s">
        <v>74</v>
      </c>
      <c r="R691" t="s">
        <v>74</v>
      </c>
      <c r="S691" t="s">
        <v>74</v>
      </c>
      <c r="T691" t="s">
        <v>74</v>
      </c>
      <c r="U691" t="s">
        <v>13328</v>
      </c>
      <c r="V691" t="s">
        <v>13329</v>
      </c>
      <c r="W691" t="s">
        <v>13330</v>
      </c>
      <c r="X691" t="s">
        <v>13331</v>
      </c>
      <c r="Y691" t="s">
        <v>13332</v>
      </c>
      <c r="Z691" t="s">
        <v>13333</v>
      </c>
      <c r="AA691" t="s">
        <v>13334</v>
      </c>
      <c r="AB691" t="s">
        <v>13335</v>
      </c>
      <c r="AC691" t="s">
        <v>13336</v>
      </c>
      <c r="AD691" t="s">
        <v>13337</v>
      </c>
      <c r="AE691" t="s">
        <v>13338</v>
      </c>
      <c r="AF691" t="s">
        <v>74</v>
      </c>
      <c r="AG691">
        <v>50</v>
      </c>
      <c r="AH691">
        <v>41</v>
      </c>
      <c r="AI691">
        <v>43</v>
      </c>
      <c r="AJ691">
        <v>1</v>
      </c>
      <c r="AK691">
        <v>35</v>
      </c>
      <c r="AL691" t="s">
        <v>181</v>
      </c>
      <c r="AM691" t="s">
        <v>182</v>
      </c>
      <c r="AN691" t="s">
        <v>183</v>
      </c>
      <c r="AO691" t="s">
        <v>3826</v>
      </c>
      <c r="AP691" t="s">
        <v>3827</v>
      </c>
      <c r="AQ691" t="s">
        <v>74</v>
      </c>
      <c r="AR691" t="s">
        <v>3828</v>
      </c>
      <c r="AS691" t="s">
        <v>3829</v>
      </c>
      <c r="AT691" t="s">
        <v>10370</v>
      </c>
      <c r="AU691">
        <v>2017</v>
      </c>
      <c r="AV691">
        <v>11</v>
      </c>
      <c r="AW691">
        <v>8</v>
      </c>
      <c r="AX691" t="s">
        <v>74</v>
      </c>
      <c r="AY691" t="s">
        <v>74</v>
      </c>
      <c r="AZ691" t="s">
        <v>74</v>
      </c>
      <c r="BA691" t="s">
        <v>74</v>
      </c>
      <c r="BB691">
        <v>1777</v>
      </c>
      <c r="BC691">
        <v>1787</v>
      </c>
      <c r="BD691" t="s">
        <v>74</v>
      </c>
      <c r="BE691" t="s">
        <v>13339</v>
      </c>
      <c r="BF691" t="str">
        <f>HYPERLINK("http://dx.doi.org/10.1038/ismej.2017.53","http://dx.doi.org/10.1038/ismej.2017.53")</f>
        <v>http://dx.doi.org/10.1038/ismej.2017.53</v>
      </c>
      <c r="BG691" t="s">
        <v>74</v>
      </c>
      <c r="BH691" t="s">
        <v>74</v>
      </c>
      <c r="BI691">
        <v>11</v>
      </c>
      <c r="BJ691" t="s">
        <v>3831</v>
      </c>
      <c r="BK691" t="s">
        <v>101</v>
      </c>
      <c r="BL691" t="s">
        <v>3832</v>
      </c>
      <c r="BM691" t="s">
        <v>13340</v>
      </c>
      <c r="BN691">
        <v>28430186</v>
      </c>
      <c r="BO691" t="s">
        <v>13341</v>
      </c>
      <c r="BP691" t="s">
        <v>74</v>
      </c>
      <c r="BQ691" t="s">
        <v>74</v>
      </c>
      <c r="BR691" t="s">
        <v>105</v>
      </c>
      <c r="BS691" t="s">
        <v>13342</v>
      </c>
      <c r="BT691" t="str">
        <f>HYPERLINK("https%3A%2F%2Fwww.webofscience.com%2Fwos%2Fwoscc%2Ffull-record%2FWOS:000405723500005","View Full Record in Web of Science")</f>
        <v>View Full Record in Web of Science</v>
      </c>
    </row>
    <row r="692" spans="1:72" x14ac:dyDescent="0.15">
      <c r="A692" t="s">
        <v>72</v>
      </c>
      <c r="B692" t="s">
        <v>13343</v>
      </c>
      <c r="C692" t="s">
        <v>74</v>
      </c>
      <c r="D692" t="s">
        <v>74</v>
      </c>
      <c r="E692" t="s">
        <v>74</v>
      </c>
      <c r="F692" t="s">
        <v>13344</v>
      </c>
      <c r="G692" t="s">
        <v>74</v>
      </c>
      <c r="H692" t="s">
        <v>74</v>
      </c>
      <c r="I692" t="s">
        <v>13345</v>
      </c>
      <c r="J692" t="s">
        <v>2406</v>
      </c>
      <c r="K692" t="s">
        <v>74</v>
      </c>
      <c r="L692" t="s">
        <v>74</v>
      </c>
      <c r="M692" t="s">
        <v>78</v>
      </c>
      <c r="N692" t="s">
        <v>79</v>
      </c>
      <c r="O692" t="s">
        <v>74</v>
      </c>
      <c r="P692" t="s">
        <v>74</v>
      </c>
      <c r="Q692" t="s">
        <v>74</v>
      </c>
      <c r="R692" t="s">
        <v>74</v>
      </c>
      <c r="S692" t="s">
        <v>74</v>
      </c>
      <c r="T692" t="s">
        <v>74</v>
      </c>
      <c r="U692" t="s">
        <v>13346</v>
      </c>
      <c r="V692" t="s">
        <v>13347</v>
      </c>
      <c r="W692" t="s">
        <v>13348</v>
      </c>
      <c r="X692" t="s">
        <v>13349</v>
      </c>
      <c r="Y692" t="s">
        <v>13350</v>
      </c>
      <c r="Z692" t="s">
        <v>13351</v>
      </c>
      <c r="AA692" t="s">
        <v>13352</v>
      </c>
      <c r="AB692" t="s">
        <v>13353</v>
      </c>
      <c r="AC692" t="s">
        <v>13354</v>
      </c>
      <c r="AD692" t="s">
        <v>13355</v>
      </c>
      <c r="AE692" t="s">
        <v>13356</v>
      </c>
      <c r="AF692" t="s">
        <v>74</v>
      </c>
      <c r="AG692">
        <v>45</v>
      </c>
      <c r="AH692">
        <v>17</v>
      </c>
      <c r="AI692">
        <v>17</v>
      </c>
      <c r="AJ692">
        <v>1</v>
      </c>
      <c r="AK692">
        <v>25</v>
      </c>
      <c r="AL692" t="s">
        <v>1366</v>
      </c>
      <c r="AM692" t="s">
        <v>1367</v>
      </c>
      <c r="AN692" t="s">
        <v>1368</v>
      </c>
      <c r="AO692" t="s">
        <v>2418</v>
      </c>
      <c r="AP692" t="s">
        <v>2419</v>
      </c>
      <c r="AQ692" t="s">
        <v>74</v>
      </c>
      <c r="AR692" t="s">
        <v>2420</v>
      </c>
      <c r="AS692" t="s">
        <v>2421</v>
      </c>
      <c r="AT692" t="s">
        <v>10370</v>
      </c>
      <c r="AU692">
        <v>2017</v>
      </c>
      <c r="AV692">
        <v>30</v>
      </c>
      <c r="AW692">
        <v>15</v>
      </c>
      <c r="AX692" t="s">
        <v>74</v>
      </c>
      <c r="AY692" t="s">
        <v>74</v>
      </c>
      <c r="AZ692" t="s">
        <v>74</v>
      </c>
      <c r="BA692" t="s">
        <v>74</v>
      </c>
      <c r="BB692">
        <v>5775</v>
      </c>
      <c r="BC692">
        <v>5790</v>
      </c>
      <c r="BD692" t="s">
        <v>74</v>
      </c>
      <c r="BE692" t="s">
        <v>13357</v>
      </c>
      <c r="BF692" t="str">
        <f>HYPERLINK("http://dx.doi.org/10.1175/JCLI-D-15-0554.1","http://dx.doi.org/10.1175/JCLI-D-15-0554.1")</f>
        <v>http://dx.doi.org/10.1175/JCLI-D-15-0554.1</v>
      </c>
      <c r="BG692" t="s">
        <v>74</v>
      </c>
      <c r="BH692" t="s">
        <v>74</v>
      </c>
      <c r="BI692">
        <v>16</v>
      </c>
      <c r="BJ692" t="s">
        <v>162</v>
      </c>
      <c r="BK692" t="s">
        <v>101</v>
      </c>
      <c r="BL692" t="s">
        <v>162</v>
      </c>
      <c r="BM692" t="s">
        <v>13358</v>
      </c>
      <c r="BN692" t="s">
        <v>74</v>
      </c>
      <c r="BO692" t="s">
        <v>511</v>
      </c>
      <c r="BP692" t="s">
        <v>74</v>
      </c>
      <c r="BQ692" t="s">
        <v>74</v>
      </c>
      <c r="BR692" t="s">
        <v>105</v>
      </c>
      <c r="BS692" t="s">
        <v>13359</v>
      </c>
      <c r="BT692" t="str">
        <f>HYPERLINK("https%3A%2F%2Fwww.webofscience.com%2Fwos%2Fwoscc%2Ffull-record%2FWOS:000405470400010","View Full Record in Web of Science")</f>
        <v>View Full Record in Web of Science</v>
      </c>
    </row>
    <row r="693" spans="1:72" x14ac:dyDescent="0.15">
      <c r="A693" t="s">
        <v>72</v>
      </c>
      <c r="B693" t="s">
        <v>13360</v>
      </c>
      <c r="C693" t="s">
        <v>74</v>
      </c>
      <c r="D693" t="s">
        <v>74</v>
      </c>
      <c r="E693" t="s">
        <v>74</v>
      </c>
      <c r="F693" t="s">
        <v>13361</v>
      </c>
      <c r="G693" t="s">
        <v>74</v>
      </c>
      <c r="H693" t="s">
        <v>74</v>
      </c>
      <c r="I693" t="s">
        <v>13362</v>
      </c>
      <c r="J693" t="s">
        <v>13363</v>
      </c>
      <c r="K693" t="s">
        <v>74</v>
      </c>
      <c r="L693" t="s">
        <v>74</v>
      </c>
      <c r="M693" t="s">
        <v>78</v>
      </c>
      <c r="N693" t="s">
        <v>79</v>
      </c>
      <c r="O693" t="s">
        <v>74</v>
      </c>
      <c r="P693" t="s">
        <v>74</v>
      </c>
      <c r="Q693" t="s">
        <v>74</v>
      </c>
      <c r="R693" t="s">
        <v>74</v>
      </c>
      <c r="S693" t="s">
        <v>74</v>
      </c>
      <c r="T693" t="s">
        <v>74</v>
      </c>
      <c r="U693" t="s">
        <v>13364</v>
      </c>
      <c r="V693" t="s">
        <v>13365</v>
      </c>
      <c r="W693" t="s">
        <v>13366</v>
      </c>
      <c r="X693" t="s">
        <v>13367</v>
      </c>
      <c r="Y693" t="s">
        <v>13368</v>
      </c>
      <c r="Z693" t="s">
        <v>13369</v>
      </c>
      <c r="AA693" t="s">
        <v>13370</v>
      </c>
      <c r="AB693" t="s">
        <v>13371</v>
      </c>
      <c r="AC693" t="s">
        <v>13372</v>
      </c>
      <c r="AD693" t="s">
        <v>13373</v>
      </c>
      <c r="AE693" t="s">
        <v>13374</v>
      </c>
      <c r="AF693" t="s">
        <v>74</v>
      </c>
      <c r="AG693">
        <v>51</v>
      </c>
      <c r="AH693">
        <v>30</v>
      </c>
      <c r="AI693">
        <v>33</v>
      </c>
      <c r="AJ693">
        <v>1</v>
      </c>
      <c r="AK693">
        <v>28</v>
      </c>
      <c r="AL693" t="s">
        <v>208</v>
      </c>
      <c r="AM693" t="s">
        <v>209</v>
      </c>
      <c r="AN693" t="s">
        <v>210</v>
      </c>
      <c r="AO693" t="s">
        <v>13375</v>
      </c>
      <c r="AP693" t="s">
        <v>13376</v>
      </c>
      <c r="AQ693" t="s">
        <v>74</v>
      </c>
      <c r="AR693" t="s">
        <v>13377</v>
      </c>
      <c r="AS693" t="s">
        <v>13378</v>
      </c>
      <c r="AT693" t="s">
        <v>10370</v>
      </c>
      <c r="AU693">
        <v>2017</v>
      </c>
      <c r="AV693">
        <v>52</v>
      </c>
      <c r="AW693">
        <v>6</v>
      </c>
      <c r="AX693" t="s">
        <v>74</v>
      </c>
      <c r="AY693" t="s">
        <v>74</v>
      </c>
      <c r="AZ693" t="s">
        <v>74</v>
      </c>
      <c r="BA693" t="s">
        <v>74</v>
      </c>
      <c r="BB693">
        <v>791</v>
      </c>
      <c r="BC693">
        <v>798</v>
      </c>
      <c r="BD693" t="s">
        <v>74</v>
      </c>
      <c r="BE693" t="s">
        <v>13379</v>
      </c>
      <c r="BF693" t="str">
        <f>HYPERLINK("http://dx.doi.org/10.1007/s00126-017-0735-7","http://dx.doi.org/10.1007/s00126-017-0735-7")</f>
        <v>http://dx.doi.org/10.1007/s00126-017-0735-7</v>
      </c>
      <c r="BG693" t="s">
        <v>74</v>
      </c>
      <c r="BH693" t="s">
        <v>74</v>
      </c>
      <c r="BI693">
        <v>8</v>
      </c>
      <c r="BJ693" t="s">
        <v>13380</v>
      </c>
      <c r="BK693" t="s">
        <v>101</v>
      </c>
      <c r="BL693" t="s">
        <v>13380</v>
      </c>
      <c r="BM693" t="s">
        <v>13381</v>
      </c>
      <c r="BN693" t="s">
        <v>74</v>
      </c>
      <c r="BO693" t="s">
        <v>74</v>
      </c>
      <c r="BP693" t="s">
        <v>74</v>
      </c>
      <c r="BQ693" t="s">
        <v>74</v>
      </c>
      <c r="BR693" t="s">
        <v>105</v>
      </c>
      <c r="BS693" t="s">
        <v>13382</v>
      </c>
      <c r="BT693" t="str">
        <f>HYPERLINK("https%3A%2F%2Fwww.webofscience.com%2Fwos%2Fwoscc%2Ffull-record%2FWOS:000405602500001","View Full Record in Web of Science")</f>
        <v>View Full Record in Web of Science</v>
      </c>
    </row>
    <row r="694" spans="1:72" x14ac:dyDescent="0.15">
      <c r="A694" t="s">
        <v>72</v>
      </c>
      <c r="B694" t="s">
        <v>13383</v>
      </c>
      <c r="C694" t="s">
        <v>74</v>
      </c>
      <c r="D694" t="s">
        <v>74</v>
      </c>
      <c r="E694" t="s">
        <v>74</v>
      </c>
      <c r="F694" t="s">
        <v>13384</v>
      </c>
      <c r="G694" t="s">
        <v>74</v>
      </c>
      <c r="H694" t="s">
        <v>74</v>
      </c>
      <c r="I694" t="s">
        <v>13385</v>
      </c>
      <c r="J694" t="s">
        <v>3432</v>
      </c>
      <c r="K694" t="s">
        <v>74</v>
      </c>
      <c r="L694" t="s">
        <v>74</v>
      </c>
      <c r="M694" t="s">
        <v>78</v>
      </c>
      <c r="N694" t="s">
        <v>79</v>
      </c>
      <c r="O694" t="s">
        <v>74</v>
      </c>
      <c r="P694" t="s">
        <v>74</v>
      </c>
      <c r="Q694" t="s">
        <v>74</v>
      </c>
      <c r="R694" t="s">
        <v>74</v>
      </c>
      <c r="S694" t="s">
        <v>74</v>
      </c>
      <c r="T694" t="s">
        <v>13386</v>
      </c>
      <c r="U694" t="s">
        <v>13387</v>
      </c>
      <c r="V694" t="s">
        <v>13388</v>
      </c>
      <c r="W694" t="s">
        <v>13389</v>
      </c>
      <c r="X694" t="s">
        <v>13390</v>
      </c>
      <c r="Y694" t="s">
        <v>13391</v>
      </c>
      <c r="Z694" t="s">
        <v>13392</v>
      </c>
      <c r="AA694" t="s">
        <v>13393</v>
      </c>
      <c r="AB694" t="s">
        <v>13394</v>
      </c>
      <c r="AC694" t="s">
        <v>13395</v>
      </c>
      <c r="AD694" t="s">
        <v>13396</v>
      </c>
      <c r="AE694" t="s">
        <v>13397</v>
      </c>
      <c r="AF694" t="s">
        <v>74</v>
      </c>
      <c r="AG694">
        <v>124</v>
      </c>
      <c r="AH694">
        <v>21</v>
      </c>
      <c r="AI694">
        <v>26</v>
      </c>
      <c r="AJ694">
        <v>0</v>
      </c>
      <c r="AK694">
        <v>5</v>
      </c>
      <c r="AL694" t="s">
        <v>1981</v>
      </c>
      <c r="AM694" t="s">
        <v>729</v>
      </c>
      <c r="AN694" t="s">
        <v>1982</v>
      </c>
      <c r="AO694" t="s">
        <v>3445</v>
      </c>
      <c r="AP694" t="s">
        <v>74</v>
      </c>
      <c r="AQ694" t="s">
        <v>74</v>
      </c>
      <c r="AR694" t="s">
        <v>3447</v>
      </c>
      <c r="AS694" t="s">
        <v>3448</v>
      </c>
      <c r="AT694" t="s">
        <v>10370</v>
      </c>
      <c r="AU694">
        <v>2017</v>
      </c>
      <c r="AV694">
        <v>77</v>
      </c>
      <c r="AW694" t="s">
        <v>74</v>
      </c>
      <c r="AX694" t="s">
        <v>74</v>
      </c>
      <c r="AY694" t="s">
        <v>74</v>
      </c>
      <c r="AZ694" t="s">
        <v>74</v>
      </c>
      <c r="BA694" t="s">
        <v>74</v>
      </c>
      <c r="BB694">
        <v>150</v>
      </c>
      <c r="BC694">
        <v>169</v>
      </c>
      <c r="BD694" t="s">
        <v>74</v>
      </c>
      <c r="BE694" t="s">
        <v>13398</v>
      </c>
      <c r="BF694" t="str">
        <f>HYPERLINK("http://dx.doi.org/10.1016/j.jsames.2017.05.004","http://dx.doi.org/10.1016/j.jsames.2017.05.004")</f>
        <v>http://dx.doi.org/10.1016/j.jsames.2017.05.004</v>
      </c>
      <c r="BG694" t="s">
        <v>74</v>
      </c>
      <c r="BH694" t="s">
        <v>74</v>
      </c>
      <c r="BI694">
        <v>20</v>
      </c>
      <c r="BJ694" t="s">
        <v>100</v>
      </c>
      <c r="BK694" t="s">
        <v>101</v>
      </c>
      <c r="BL694" t="s">
        <v>102</v>
      </c>
      <c r="BM694" t="s">
        <v>13399</v>
      </c>
      <c r="BN694" t="s">
        <v>74</v>
      </c>
      <c r="BO694" t="s">
        <v>74</v>
      </c>
      <c r="BP694" t="s">
        <v>74</v>
      </c>
      <c r="BQ694" t="s">
        <v>74</v>
      </c>
      <c r="BR694" t="s">
        <v>105</v>
      </c>
      <c r="BS694" t="s">
        <v>13400</v>
      </c>
      <c r="BT694" t="str">
        <f>HYPERLINK("https%3A%2F%2Fwww.webofscience.com%2Fwos%2Fwoscc%2Ffull-record%2FWOS:000405051600011","View Full Record in Web of Science")</f>
        <v>View Full Record in Web of Science</v>
      </c>
    </row>
    <row r="695" spans="1:72" x14ac:dyDescent="0.15">
      <c r="A695" t="s">
        <v>72</v>
      </c>
      <c r="B695" t="s">
        <v>13401</v>
      </c>
      <c r="C695" t="s">
        <v>74</v>
      </c>
      <c r="D695" t="s">
        <v>74</v>
      </c>
      <c r="E695" t="s">
        <v>74</v>
      </c>
      <c r="F695" t="s">
        <v>13402</v>
      </c>
      <c r="G695" t="s">
        <v>74</v>
      </c>
      <c r="H695" t="s">
        <v>74</v>
      </c>
      <c r="I695" t="s">
        <v>13403</v>
      </c>
      <c r="J695" t="s">
        <v>2445</v>
      </c>
      <c r="K695" t="s">
        <v>74</v>
      </c>
      <c r="L695" t="s">
        <v>74</v>
      </c>
      <c r="M695" t="s">
        <v>78</v>
      </c>
      <c r="N695" t="s">
        <v>79</v>
      </c>
      <c r="O695" t="s">
        <v>74</v>
      </c>
      <c r="P695" t="s">
        <v>74</v>
      </c>
      <c r="Q695" t="s">
        <v>74</v>
      </c>
      <c r="R695" t="s">
        <v>74</v>
      </c>
      <c r="S695" t="s">
        <v>74</v>
      </c>
      <c r="T695" t="s">
        <v>13404</v>
      </c>
      <c r="U695" t="s">
        <v>13405</v>
      </c>
      <c r="V695" t="s">
        <v>13406</v>
      </c>
      <c r="W695" t="s">
        <v>13407</v>
      </c>
      <c r="X695" t="s">
        <v>13408</v>
      </c>
      <c r="Y695" t="s">
        <v>13409</v>
      </c>
      <c r="Z695" t="s">
        <v>13410</v>
      </c>
      <c r="AA695" t="s">
        <v>13411</v>
      </c>
      <c r="AB695" t="s">
        <v>13412</v>
      </c>
      <c r="AC695" t="s">
        <v>13413</v>
      </c>
      <c r="AD695" t="s">
        <v>13414</v>
      </c>
      <c r="AE695" t="s">
        <v>13415</v>
      </c>
      <c r="AF695" t="s">
        <v>74</v>
      </c>
      <c r="AG695">
        <v>50</v>
      </c>
      <c r="AH695">
        <v>16</v>
      </c>
      <c r="AI695">
        <v>17</v>
      </c>
      <c r="AJ695">
        <v>3</v>
      </c>
      <c r="AK695">
        <v>15</v>
      </c>
      <c r="AL695" t="s">
        <v>728</v>
      </c>
      <c r="AM695" t="s">
        <v>729</v>
      </c>
      <c r="AN695" t="s">
        <v>730</v>
      </c>
      <c r="AO695" t="s">
        <v>2458</v>
      </c>
      <c r="AP695" t="s">
        <v>2459</v>
      </c>
      <c r="AQ695" t="s">
        <v>74</v>
      </c>
      <c r="AR695" t="s">
        <v>2460</v>
      </c>
      <c r="AS695" t="s">
        <v>2461</v>
      </c>
      <c r="AT695" t="s">
        <v>10370</v>
      </c>
      <c r="AU695">
        <v>2017</v>
      </c>
      <c r="AV695">
        <v>116</v>
      </c>
      <c r="AW695" t="s">
        <v>74</v>
      </c>
      <c r="AX695" t="s">
        <v>74</v>
      </c>
      <c r="AY695" t="s">
        <v>74</v>
      </c>
      <c r="AZ695" t="s">
        <v>74</v>
      </c>
      <c r="BA695" t="s">
        <v>74</v>
      </c>
      <c r="BB695">
        <v>108</v>
      </c>
      <c r="BC695">
        <v>117</v>
      </c>
      <c r="BD695" t="s">
        <v>74</v>
      </c>
      <c r="BE695" t="s">
        <v>13416</v>
      </c>
      <c r="BF695" t="str">
        <f>HYPERLINK("http://dx.doi.org/10.1016/j.ocemod.2017.06.010","http://dx.doi.org/10.1016/j.ocemod.2017.06.010")</f>
        <v>http://dx.doi.org/10.1016/j.ocemod.2017.06.010</v>
      </c>
      <c r="BG695" t="s">
        <v>74</v>
      </c>
      <c r="BH695" t="s">
        <v>74</v>
      </c>
      <c r="BI695">
        <v>10</v>
      </c>
      <c r="BJ695" t="s">
        <v>2463</v>
      </c>
      <c r="BK695" t="s">
        <v>101</v>
      </c>
      <c r="BL695" t="s">
        <v>2463</v>
      </c>
      <c r="BM695" t="s">
        <v>13417</v>
      </c>
      <c r="BN695" t="s">
        <v>74</v>
      </c>
      <c r="BO695" t="s">
        <v>74</v>
      </c>
      <c r="BP695" t="s">
        <v>74</v>
      </c>
      <c r="BQ695" t="s">
        <v>74</v>
      </c>
      <c r="BR695" t="s">
        <v>105</v>
      </c>
      <c r="BS695" t="s">
        <v>13418</v>
      </c>
      <c r="BT695" t="str">
        <f>HYPERLINK("https%3A%2F%2Fwww.webofscience.com%2Fwos%2Fwoscc%2Ffull-record%2FWOS:000405462900007","View Full Record in Web of Science")</f>
        <v>View Full Record in Web of Science</v>
      </c>
    </row>
    <row r="696" spans="1:72" x14ac:dyDescent="0.15">
      <c r="A696" t="s">
        <v>72</v>
      </c>
      <c r="B696" t="s">
        <v>13419</v>
      </c>
      <c r="C696" t="s">
        <v>74</v>
      </c>
      <c r="D696" t="s">
        <v>74</v>
      </c>
      <c r="E696" t="s">
        <v>74</v>
      </c>
      <c r="F696" t="s">
        <v>13420</v>
      </c>
      <c r="G696" t="s">
        <v>74</v>
      </c>
      <c r="H696" t="s">
        <v>74</v>
      </c>
      <c r="I696" t="s">
        <v>13421</v>
      </c>
      <c r="J696" t="s">
        <v>13422</v>
      </c>
      <c r="K696" t="s">
        <v>74</v>
      </c>
      <c r="L696" t="s">
        <v>74</v>
      </c>
      <c r="M696" t="s">
        <v>78</v>
      </c>
      <c r="N696" t="s">
        <v>79</v>
      </c>
      <c r="O696" t="s">
        <v>74</v>
      </c>
      <c r="P696" t="s">
        <v>74</v>
      </c>
      <c r="Q696" t="s">
        <v>74</v>
      </c>
      <c r="R696" t="s">
        <v>74</v>
      </c>
      <c r="S696" t="s">
        <v>74</v>
      </c>
      <c r="T696" t="s">
        <v>13423</v>
      </c>
      <c r="U696" t="s">
        <v>13424</v>
      </c>
      <c r="V696" t="s">
        <v>13425</v>
      </c>
      <c r="W696" t="s">
        <v>13426</v>
      </c>
      <c r="X696" t="s">
        <v>13427</v>
      </c>
      <c r="Y696" t="s">
        <v>13428</v>
      </c>
      <c r="Z696" t="s">
        <v>7063</v>
      </c>
      <c r="AA696" t="s">
        <v>13429</v>
      </c>
      <c r="AB696" t="s">
        <v>13430</v>
      </c>
      <c r="AC696" t="s">
        <v>13431</v>
      </c>
      <c r="AD696" t="s">
        <v>13432</v>
      </c>
      <c r="AE696" t="s">
        <v>13433</v>
      </c>
      <c r="AF696" t="s">
        <v>74</v>
      </c>
      <c r="AG696">
        <v>93</v>
      </c>
      <c r="AH696">
        <v>9</v>
      </c>
      <c r="AI696">
        <v>9</v>
      </c>
      <c r="AJ696">
        <v>0</v>
      </c>
      <c r="AK696">
        <v>7</v>
      </c>
      <c r="AL696" t="s">
        <v>1338</v>
      </c>
      <c r="AM696" t="s">
        <v>1339</v>
      </c>
      <c r="AN696" t="s">
        <v>1340</v>
      </c>
      <c r="AO696" t="s">
        <v>13434</v>
      </c>
      <c r="AP696" t="s">
        <v>13435</v>
      </c>
      <c r="AQ696" t="s">
        <v>74</v>
      </c>
      <c r="AR696" t="s">
        <v>13436</v>
      </c>
      <c r="AS696" t="s">
        <v>13437</v>
      </c>
      <c r="AT696" t="s">
        <v>10370</v>
      </c>
      <c r="AU696">
        <v>2017</v>
      </c>
      <c r="AV696">
        <v>278</v>
      </c>
      <c r="AW696">
        <v>8</v>
      </c>
      <c r="AX696" t="s">
        <v>74</v>
      </c>
      <c r="AY696" t="s">
        <v>74</v>
      </c>
      <c r="AZ696" t="s">
        <v>74</v>
      </c>
      <c r="BA696" t="s">
        <v>74</v>
      </c>
      <c r="BB696">
        <v>1091</v>
      </c>
      <c r="BC696">
        <v>1104</v>
      </c>
      <c r="BD696" t="s">
        <v>74</v>
      </c>
      <c r="BE696" t="s">
        <v>13438</v>
      </c>
      <c r="BF696" t="str">
        <f>HYPERLINK("http://dx.doi.org/10.1002/jmor.20696","http://dx.doi.org/10.1002/jmor.20696")</f>
        <v>http://dx.doi.org/10.1002/jmor.20696</v>
      </c>
      <c r="BG696" t="s">
        <v>74</v>
      </c>
      <c r="BH696" t="s">
        <v>74</v>
      </c>
      <c r="BI696">
        <v>14</v>
      </c>
      <c r="BJ696" t="s">
        <v>13439</v>
      </c>
      <c r="BK696" t="s">
        <v>101</v>
      </c>
      <c r="BL696" t="s">
        <v>13439</v>
      </c>
      <c r="BM696" t="s">
        <v>13440</v>
      </c>
      <c r="BN696">
        <v>28480519</v>
      </c>
      <c r="BO696" t="s">
        <v>74</v>
      </c>
      <c r="BP696" t="s">
        <v>74</v>
      </c>
      <c r="BQ696" t="s">
        <v>74</v>
      </c>
      <c r="BR696" t="s">
        <v>105</v>
      </c>
      <c r="BS696" t="s">
        <v>13441</v>
      </c>
      <c r="BT696" t="str">
        <f>HYPERLINK("https%3A%2F%2Fwww.webofscience.com%2Fwos%2Fwoscc%2Ffull-record%2FWOS:000405399700005","View Full Record in Web of Science")</f>
        <v>View Full Record in Web of Science</v>
      </c>
    </row>
    <row r="697" spans="1:72" x14ac:dyDescent="0.15">
      <c r="A697" t="s">
        <v>72</v>
      </c>
      <c r="B697" t="s">
        <v>13442</v>
      </c>
      <c r="C697" t="s">
        <v>74</v>
      </c>
      <c r="D697" t="s">
        <v>74</v>
      </c>
      <c r="E697" t="s">
        <v>74</v>
      </c>
      <c r="F697" t="s">
        <v>13443</v>
      </c>
      <c r="G697" t="s">
        <v>74</v>
      </c>
      <c r="H697" t="s">
        <v>74</v>
      </c>
      <c r="I697" t="s">
        <v>13444</v>
      </c>
      <c r="J697" t="s">
        <v>4721</v>
      </c>
      <c r="K697" t="s">
        <v>74</v>
      </c>
      <c r="L697" t="s">
        <v>74</v>
      </c>
      <c r="M697" t="s">
        <v>78</v>
      </c>
      <c r="N697" t="s">
        <v>79</v>
      </c>
      <c r="O697" t="s">
        <v>74</v>
      </c>
      <c r="P697" t="s">
        <v>74</v>
      </c>
      <c r="Q697" t="s">
        <v>74</v>
      </c>
      <c r="R697" t="s">
        <v>74</v>
      </c>
      <c r="S697" t="s">
        <v>74</v>
      </c>
      <c r="T697" t="s">
        <v>13445</v>
      </c>
      <c r="U697" t="s">
        <v>13446</v>
      </c>
      <c r="V697" t="s">
        <v>13447</v>
      </c>
      <c r="W697" t="s">
        <v>13448</v>
      </c>
      <c r="X697" t="s">
        <v>13449</v>
      </c>
      <c r="Y697" t="s">
        <v>13450</v>
      </c>
      <c r="Z697" t="s">
        <v>13451</v>
      </c>
      <c r="AA697" t="s">
        <v>13452</v>
      </c>
      <c r="AB697" t="s">
        <v>13453</v>
      </c>
      <c r="AC697" t="s">
        <v>13454</v>
      </c>
      <c r="AD697" t="s">
        <v>13455</v>
      </c>
      <c r="AE697" t="s">
        <v>13456</v>
      </c>
      <c r="AF697" t="s">
        <v>74</v>
      </c>
      <c r="AG697">
        <v>49</v>
      </c>
      <c r="AH697">
        <v>48</v>
      </c>
      <c r="AI697">
        <v>56</v>
      </c>
      <c r="AJ697">
        <v>2</v>
      </c>
      <c r="AK697">
        <v>86</v>
      </c>
      <c r="AL697" t="s">
        <v>371</v>
      </c>
      <c r="AM697" t="s">
        <v>372</v>
      </c>
      <c r="AN697" t="s">
        <v>373</v>
      </c>
      <c r="AO697" t="s">
        <v>4738</v>
      </c>
      <c r="AP697" t="s">
        <v>4739</v>
      </c>
      <c r="AQ697" t="s">
        <v>74</v>
      </c>
      <c r="AR697" t="s">
        <v>4721</v>
      </c>
      <c r="AS697" t="s">
        <v>4740</v>
      </c>
      <c r="AT697" t="s">
        <v>10661</v>
      </c>
      <c r="AU697">
        <v>2017</v>
      </c>
      <c r="AV697">
        <v>290</v>
      </c>
      <c r="AW697" t="s">
        <v>74</v>
      </c>
      <c r="AX697" t="s">
        <v>74</v>
      </c>
      <c r="AY697" t="s">
        <v>74</v>
      </c>
      <c r="AZ697" t="s">
        <v>74</v>
      </c>
      <c r="BA697" t="s">
        <v>74</v>
      </c>
      <c r="BB697">
        <v>29</v>
      </c>
      <c r="BC697">
        <v>38</v>
      </c>
      <c r="BD697" t="s">
        <v>74</v>
      </c>
      <c r="BE697" t="s">
        <v>13457</v>
      </c>
      <c r="BF697" t="str">
        <f>HYPERLINK("http://dx.doi.org/10.1016/j.geomorph.2017.03.033","http://dx.doi.org/10.1016/j.geomorph.2017.03.033")</f>
        <v>http://dx.doi.org/10.1016/j.geomorph.2017.03.033</v>
      </c>
      <c r="BG697" t="s">
        <v>74</v>
      </c>
      <c r="BH697" t="s">
        <v>74</v>
      </c>
      <c r="BI697">
        <v>10</v>
      </c>
      <c r="BJ697" t="s">
        <v>319</v>
      </c>
      <c r="BK697" t="s">
        <v>101</v>
      </c>
      <c r="BL697" t="s">
        <v>320</v>
      </c>
      <c r="BM697" t="s">
        <v>13458</v>
      </c>
      <c r="BN697" t="s">
        <v>74</v>
      </c>
      <c r="BO697" t="s">
        <v>74</v>
      </c>
      <c r="BP697" t="s">
        <v>74</v>
      </c>
      <c r="BQ697" t="s">
        <v>74</v>
      </c>
      <c r="BR697" t="s">
        <v>105</v>
      </c>
      <c r="BS697" t="s">
        <v>13459</v>
      </c>
      <c r="BT697" t="str">
        <f>HYPERLINK("https%3A%2F%2Fwww.webofscience.com%2Fwos%2Fwoscc%2Ffull-record%2FWOS:000405056100003","View Full Record in Web of Science")</f>
        <v>View Full Record in Web of Science</v>
      </c>
    </row>
    <row r="698" spans="1:72" x14ac:dyDescent="0.15">
      <c r="A698" t="s">
        <v>72</v>
      </c>
      <c r="B698" t="s">
        <v>13460</v>
      </c>
      <c r="C698" t="s">
        <v>74</v>
      </c>
      <c r="D698" t="s">
        <v>74</v>
      </c>
      <c r="E698" t="s">
        <v>74</v>
      </c>
      <c r="F698" t="s">
        <v>13461</v>
      </c>
      <c r="G698" t="s">
        <v>74</v>
      </c>
      <c r="H698" t="s">
        <v>74</v>
      </c>
      <c r="I698" t="s">
        <v>13462</v>
      </c>
      <c r="J698" t="s">
        <v>2256</v>
      </c>
      <c r="K698" t="s">
        <v>74</v>
      </c>
      <c r="L698" t="s">
        <v>74</v>
      </c>
      <c r="M698" t="s">
        <v>78</v>
      </c>
      <c r="N698" t="s">
        <v>79</v>
      </c>
      <c r="O698" t="s">
        <v>74</v>
      </c>
      <c r="P698" t="s">
        <v>74</v>
      </c>
      <c r="Q698" t="s">
        <v>74</v>
      </c>
      <c r="R698" t="s">
        <v>74</v>
      </c>
      <c r="S698" t="s">
        <v>74</v>
      </c>
      <c r="T698" t="s">
        <v>13463</v>
      </c>
      <c r="U698" t="s">
        <v>13464</v>
      </c>
      <c r="V698" t="s">
        <v>13465</v>
      </c>
      <c r="W698" t="s">
        <v>13466</v>
      </c>
      <c r="X698" t="s">
        <v>13467</v>
      </c>
      <c r="Y698" t="s">
        <v>13468</v>
      </c>
      <c r="Z698" t="s">
        <v>13469</v>
      </c>
      <c r="AA698" t="s">
        <v>13470</v>
      </c>
      <c r="AB698" t="s">
        <v>13471</v>
      </c>
      <c r="AC698" t="s">
        <v>13472</v>
      </c>
      <c r="AD698" t="s">
        <v>13473</v>
      </c>
      <c r="AE698" t="s">
        <v>13474</v>
      </c>
      <c r="AF698" t="s">
        <v>74</v>
      </c>
      <c r="AG698">
        <v>104</v>
      </c>
      <c r="AH698">
        <v>16</v>
      </c>
      <c r="AI698">
        <v>18</v>
      </c>
      <c r="AJ698">
        <v>0</v>
      </c>
      <c r="AK698">
        <v>11</v>
      </c>
      <c r="AL698" t="s">
        <v>1981</v>
      </c>
      <c r="AM698" t="s">
        <v>729</v>
      </c>
      <c r="AN698" t="s">
        <v>1982</v>
      </c>
      <c r="AO698" t="s">
        <v>2269</v>
      </c>
      <c r="AP698" t="s">
        <v>74</v>
      </c>
      <c r="AQ698" t="s">
        <v>74</v>
      </c>
      <c r="AR698" t="s">
        <v>2270</v>
      </c>
      <c r="AS698" t="s">
        <v>2271</v>
      </c>
      <c r="AT698" t="s">
        <v>10661</v>
      </c>
      <c r="AU698">
        <v>2017</v>
      </c>
      <c r="AV698">
        <v>169</v>
      </c>
      <c r="AW698" t="s">
        <v>74</v>
      </c>
      <c r="AX698" t="s">
        <v>74</v>
      </c>
      <c r="AY698" t="s">
        <v>74</v>
      </c>
      <c r="AZ698" t="s">
        <v>74</v>
      </c>
      <c r="BA698" t="s">
        <v>74</v>
      </c>
      <c r="BB698">
        <v>131</v>
      </c>
      <c r="BC698">
        <v>147</v>
      </c>
      <c r="BD698" t="s">
        <v>74</v>
      </c>
      <c r="BE698" t="s">
        <v>13475</v>
      </c>
      <c r="BF698" t="str">
        <f>HYPERLINK("http://dx.doi.org/10.1016/j.quascirev.2017.06.004","http://dx.doi.org/10.1016/j.quascirev.2017.06.004")</f>
        <v>http://dx.doi.org/10.1016/j.quascirev.2017.06.004</v>
      </c>
      <c r="BG698" t="s">
        <v>74</v>
      </c>
      <c r="BH698" t="s">
        <v>74</v>
      </c>
      <c r="BI698">
        <v>17</v>
      </c>
      <c r="BJ698" t="s">
        <v>319</v>
      </c>
      <c r="BK698" t="s">
        <v>101</v>
      </c>
      <c r="BL698" t="s">
        <v>320</v>
      </c>
      <c r="BM698" t="s">
        <v>13246</v>
      </c>
      <c r="BN698" t="s">
        <v>74</v>
      </c>
      <c r="BO698" t="s">
        <v>1240</v>
      </c>
      <c r="BP698" t="s">
        <v>74</v>
      </c>
      <c r="BQ698" t="s">
        <v>74</v>
      </c>
      <c r="BR698" t="s">
        <v>105</v>
      </c>
      <c r="BS698" t="s">
        <v>13476</v>
      </c>
      <c r="BT698" t="str">
        <f>HYPERLINK("https%3A%2F%2Fwww.webofscience.com%2Fwos%2Fwoscc%2Ffull-record%2FWOS:000405154100009","View Full Record in Web of Science")</f>
        <v>View Full Record in Web of Science</v>
      </c>
    </row>
    <row r="699" spans="1:72" x14ac:dyDescent="0.15">
      <c r="A699" t="s">
        <v>72</v>
      </c>
      <c r="B699" t="s">
        <v>13477</v>
      </c>
      <c r="C699" t="s">
        <v>74</v>
      </c>
      <c r="D699" t="s">
        <v>74</v>
      </c>
      <c r="E699" t="s">
        <v>74</v>
      </c>
      <c r="F699" t="s">
        <v>13478</v>
      </c>
      <c r="G699" t="s">
        <v>74</v>
      </c>
      <c r="H699" t="s">
        <v>74</v>
      </c>
      <c r="I699" t="s">
        <v>13479</v>
      </c>
      <c r="J699" t="s">
        <v>2256</v>
      </c>
      <c r="K699" t="s">
        <v>74</v>
      </c>
      <c r="L699" t="s">
        <v>74</v>
      </c>
      <c r="M699" t="s">
        <v>78</v>
      </c>
      <c r="N699" t="s">
        <v>79</v>
      </c>
      <c r="O699" t="s">
        <v>74</v>
      </c>
      <c r="P699" t="s">
        <v>74</v>
      </c>
      <c r="Q699" t="s">
        <v>74</v>
      </c>
      <c r="R699" t="s">
        <v>74</v>
      </c>
      <c r="S699" t="s">
        <v>74</v>
      </c>
      <c r="T699" t="s">
        <v>13480</v>
      </c>
      <c r="U699" t="s">
        <v>13481</v>
      </c>
      <c r="V699" t="s">
        <v>13482</v>
      </c>
      <c r="W699" t="s">
        <v>13483</v>
      </c>
      <c r="X699" t="s">
        <v>13484</v>
      </c>
      <c r="Y699" t="s">
        <v>13485</v>
      </c>
      <c r="Z699" t="s">
        <v>13486</v>
      </c>
      <c r="AA699" t="s">
        <v>13487</v>
      </c>
      <c r="AB699" t="s">
        <v>13488</v>
      </c>
      <c r="AC699" t="s">
        <v>13489</v>
      </c>
      <c r="AD699" t="s">
        <v>13490</v>
      </c>
      <c r="AE699" t="s">
        <v>13491</v>
      </c>
      <c r="AF699" t="s">
        <v>74</v>
      </c>
      <c r="AG699">
        <v>131</v>
      </c>
      <c r="AH699">
        <v>21</v>
      </c>
      <c r="AI699">
        <v>21</v>
      </c>
      <c r="AJ699">
        <v>2</v>
      </c>
      <c r="AK699">
        <v>22</v>
      </c>
      <c r="AL699" t="s">
        <v>1981</v>
      </c>
      <c r="AM699" t="s">
        <v>729</v>
      </c>
      <c r="AN699" t="s">
        <v>1982</v>
      </c>
      <c r="AO699" t="s">
        <v>2269</v>
      </c>
      <c r="AP699" t="s">
        <v>13492</v>
      </c>
      <c r="AQ699" t="s">
        <v>74</v>
      </c>
      <c r="AR699" t="s">
        <v>2270</v>
      </c>
      <c r="AS699" t="s">
        <v>2271</v>
      </c>
      <c r="AT699" t="s">
        <v>10661</v>
      </c>
      <c r="AU699">
        <v>2017</v>
      </c>
      <c r="AV699">
        <v>169</v>
      </c>
      <c r="AW699" t="s">
        <v>74</v>
      </c>
      <c r="AX699" t="s">
        <v>74</v>
      </c>
      <c r="AY699" t="s">
        <v>74</v>
      </c>
      <c r="AZ699" t="s">
        <v>74</v>
      </c>
      <c r="BA699" t="s">
        <v>74</v>
      </c>
      <c r="BB699">
        <v>206</v>
      </c>
      <c r="BC699">
        <v>230</v>
      </c>
      <c r="BD699" t="s">
        <v>74</v>
      </c>
      <c r="BE699" t="s">
        <v>13493</v>
      </c>
      <c r="BF699" t="str">
        <f>HYPERLINK("http://dx.doi.org/10.1016/j.quascirev.2017.05.021","http://dx.doi.org/10.1016/j.quascirev.2017.05.021")</f>
        <v>http://dx.doi.org/10.1016/j.quascirev.2017.05.021</v>
      </c>
      <c r="BG699" t="s">
        <v>74</v>
      </c>
      <c r="BH699" t="s">
        <v>74</v>
      </c>
      <c r="BI699">
        <v>25</v>
      </c>
      <c r="BJ699" t="s">
        <v>319</v>
      </c>
      <c r="BK699" t="s">
        <v>101</v>
      </c>
      <c r="BL699" t="s">
        <v>320</v>
      </c>
      <c r="BM699" t="s">
        <v>13246</v>
      </c>
      <c r="BN699" t="s">
        <v>74</v>
      </c>
      <c r="BO699" t="s">
        <v>13494</v>
      </c>
      <c r="BP699" t="s">
        <v>74</v>
      </c>
      <c r="BQ699" t="s">
        <v>74</v>
      </c>
      <c r="BR699" t="s">
        <v>105</v>
      </c>
      <c r="BS699" t="s">
        <v>13495</v>
      </c>
      <c r="BT699" t="str">
        <f>HYPERLINK("https%3A%2F%2Fwww.webofscience.com%2Fwos%2Fwoscc%2Ffull-record%2FWOS:000405154100013","View Full Record in Web of Science")</f>
        <v>View Full Record in Web of Science</v>
      </c>
    </row>
    <row r="700" spans="1:72" x14ac:dyDescent="0.15">
      <c r="A700" t="s">
        <v>72</v>
      </c>
      <c r="B700" t="s">
        <v>13496</v>
      </c>
      <c r="C700" t="s">
        <v>74</v>
      </c>
      <c r="D700" t="s">
        <v>74</v>
      </c>
      <c r="E700" t="s">
        <v>74</v>
      </c>
      <c r="F700" t="s">
        <v>13497</v>
      </c>
      <c r="G700" t="s">
        <v>74</v>
      </c>
      <c r="H700" t="s">
        <v>74</v>
      </c>
      <c r="I700" t="s">
        <v>13498</v>
      </c>
      <c r="J700" t="s">
        <v>2256</v>
      </c>
      <c r="K700" t="s">
        <v>74</v>
      </c>
      <c r="L700" t="s">
        <v>74</v>
      </c>
      <c r="M700" t="s">
        <v>78</v>
      </c>
      <c r="N700" t="s">
        <v>79</v>
      </c>
      <c r="O700" t="s">
        <v>74</v>
      </c>
      <c r="P700" t="s">
        <v>74</v>
      </c>
      <c r="Q700" t="s">
        <v>74</v>
      </c>
      <c r="R700" t="s">
        <v>74</v>
      </c>
      <c r="S700" t="s">
        <v>74</v>
      </c>
      <c r="T700" t="s">
        <v>13499</v>
      </c>
      <c r="U700" t="s">
        <v>13500</v>
      </c>
      <c r="V700" t="s">
        <v>13501</v>
      </c>
      <c r="W700" t="s">
        <v>13502</v>
      </c>
      <c r="X700" t="s">
        <v>13503</v>
      </c>
      <c r="Y700" t="s">
        <v>13504</v>
      </c>
      <c r="Z700" t="s">
        <v>13505</v>
      </c>
      <c r="AA700" t="s">
        <v>13506</v>
      </c>
      <c r="AB700" t="s">
        <v>13507</v>
      </c>
      <c r="AC700" t="s">
        <v>13508</v>
      </c>
      <c r="AD700" t="s">
        <v>13509</v>
      </c>
      <c r="AE700" t="s">
        <v>13510</v>
      </c>
      <c r="AF700" t="s">
        <v>74</v>
      </c>
      <c r="AG700">
        <v>51</v>
      </c>
      <c r="AH700">
        <v>27</v>
      </c>
      <c r="AI700">
        <v>27</v>
      </c>
      <c r="AJ700">
        <v>0</v>
      </c>
      <c r="AK700">
        <v>18</v>
      </c>
      <c r="AL700" t="s">
        <v>1981</v>
      </c>
      <c r="AM700" t="s">
        <v>729</v>
      </c>
      <c r="AN700" t="s">
        <v>1982</v>
      </c>
      <c r="AO700" t="s">
        <v>2269</v>
      </c>
      <c r="AP700" t="s">
        <v>74</v>
      </c>
      <c r="AQ700" t="s">
        <v>74</v>
      </c>
      <c r="AR700" t="s">
        <v>2270</v>
      </c>
      <c r="AS700" t="s">
        <v>2271</v>
      </c>
      <c r="AT700" t="s">
        <v>10661</v>
      </c>
      <c r="AU700">
        <v>2017</v>
      </c>
      <c r="AV700">
        <v>169</v>
      </c>
      <c r="AW700" t="s">
        <v>74</v>
      </c>
      <c r="AX700" t="s">
        <v>74</v>
      </c>
      <c r="AY700" t="s">
        <v>74</v>
      </c>
      <c r="AZ700" t="s">
        <v>74</v>
      </c>
      <c r="BA700" t="s">
        <v>74</v>
      </c>
      <c r="BB700">
        <v>391</v>
      </c>
      <c r="BC700">
        <v>397</v>
      </c>
      <c r="BD700" t="s">
        <v>74</v>
      </c>
      <c r="BE700" t="s">
        <v>13511</v>
      </c>
      <c r="BF700" t="str">
        <f>HYPERLINK("http://dx.doi.org/10.1016/j.quascirev.2017.05.007","http://dx.doi.org/10.1016/j.quascirev.2017.05.007")</f>
        <v>http://dx.doi.org/10.1016/j.quascirev.2017.05.007</v>
      </c>
      <c r="BG700" t="s">
        <v>74</v>
      </c>
      <c r="BH700" t="s">
        <v>74</v>
      </c>
      <c r="BI700">
        <v>7</v>
      </c>
      <c r="BJ700" t="s">
        <v>319</v>
      </c>
      <c r="BK700" t="s">
        <v>101</v>
      </c>
      <c r="BL700" t="s">
        <v>320</v>
      </c>
      <c r="BM700" t="s">
        <v>13246</v>
      </c>
      <c r="BN700" t="s">
        <v>74</v>
      </c>
      <c r="BO700" t="s">
        <v>1240</v>
      </c>
      <c r="BP700" t="s">
        <v>74</v>
      </c>
      <c r="BQ700" t="s">
        <v>74</v>
      </c>
      <c r="BR700" t="s">
        <v>105</v>
      </c>
      <c r="BS700" t="s">
        <v>13512</v>
      </c>
      <c r="BT700" t="str">
        <f>HYPERLINK("https%3A%2F%2Fwww.webofscience.com%2Fwos%2Fwoscc%2Ffull-record%2FWOS:000405154100024","View Full Record in Web of Science")</f>
        <v>View Full Record in Web of Science</v>
      </c>
    </row>
    <row r="701" spans="1:72" x14ac:dyDescent="0.15">
      <c r="A701" t="s">
        <v>72</v>
      </c>
      <c r="B701" t="s">
        <v>13513</v>
      </c>
      <c r="C701" t="s">
        <v>74</v>
      </c>
      <c r="D701" t="s">
        <v>74</v>
      </c>
      <c r="E701" t="s">
        <v>74</v>
      </c>
      <c r="F701" t="s">
        <v>13514</v>
      </c>
      <c r="G701" t="s">
        <v>74</v>
      </c>
      <c r="H701" t="s">
        <v>74</v>
      </c>
      <c r="I701" t="s">
        <v>13515</v>
      </c>
      <c r="J701" t="s">
        <v>2697</v>
      </c>
      <c r="K701" t="s">
        <v>74</v>
      </c>
      <c r="L701" t="s">
        <v>74</v>
      </c>
      <c r="M701" t="s">
        <v>78</v>
      </c>
      <c r="N701" t="s">
        <v>79</v>
      </c>
      <c r="O701" t="s">
        <v>74</v>
      </c>
      <c r="P701" t="s">
        <v>74</v>
      </c>
      <c r="Q701" t="s">
        <v>74</v>
      </c>
      <c r="R701" t="s">
        <v>74</v>
      </c>
      <c r="S701" t="s">
        <v>74</v>
      </c>
      <c r="T701" t="s">
        <v>13516</v>
      </c>
      <c r="U701" t="s">
        <v>13517</v>
      </c>
      <c r="V701" t="s">
        <v>13518</v>
      </c>
      <c r="W701" t="s">
        <v>13519</v>
      </c>
      <c r="X701" t="s">
        <v>13520</v>
      </c>
      <c r="Y701" t="s">
        <v>13521</v>
      </c>
      <c r="Z701" t="s">
        <v>13522</v>
      </c>
      <c r="AA701" t="s">
        <v>74</v>
      </c>
      <c r="AB701" t="s">
        <v>13523</v>
      </c>
      <c r="AC701" t="s">
        <v>74</v>
      </c>
      <c r="AD701" t="s">
        <v>74</v>
      </c>
      <c r="AE701" t="s">
        <v>74</v>
      </c>
      <c r="AF701" t="s">
        <v>74</v>
      </c>
      <c r="AG701">
        <v>45</v>
      </c>
      <c r="AH701">
        <v>12</v>
      </c>
      <c r="AI701">
        <v>13</v>
      </c>
      <c r="AJ701">
        <v>2</v>
      </c>
      <c r="AK701">
        <v>16</v>
      </c>
      <c r="AL701" t="s">
        <v>1981</v>
      </c>
      <c r="AM701" t="s">
        <v>729</v>
      </c>
      <c r="AN701" t="s">
        <v>1982</v>
      </c>
      <c r="AO701" t="s">
        <v>2704</v>
      </c>
      <c r="AP701" t="s">
        <v>2705</v>
      </c>
      <c r="AQ701" t="s">
        <v>74</v>
      </c>
      <c r="AR701" t="s">
        <v>2706</v>
      </c>
      <c r="AS701" t="s">
        <v>2707</v>
      </c>
      <c r="AT701" t="s">
        <v>10370</v>
      </c>
      <c r="AU701">
        <v>2017</v>
      </c>
      <c r="AV701">
        <v>137</v>
      </c>
      <c r="AW701" t="s">
        <v>74</v>
      </c>
      <c r="AX701" t="s">
        <v>74</v>
      </c>
      <c r="AY701" t="s">
        <v>74</v>
      </c>
      <c r="AZ701" t="s">
        <v>74</v>
      </c>
      <c r="BA701" t="s">
        <v>74</v>
      </c>
      <c r="BB701">
        <v>138</v>
      </c>
      <c r="BC701">
        <v>144</v>
      </c>
      <c r="BD701" t="s">
        <v>74</v>
      </c>
      <c r="BE701" t="s">
        <v>13524</v>
      </c>
      <c r="BF701" t="str">
        <f>HYPERLINK("http://dx.doi.org/10.1016/j.actaastro.2017.04.008","http://dx.doi.org/10.1016/j.actaastro.2017.04.008")</f>
        <v>http://dx.doi.org/10.1016/j.actaastro.2017.04.008</v>
      </c>
      <c r="BG701" t="s">
        <v>74</v>
      </c>
      <c r="BH701" t="s">
        <v>74</v>
      </c>
      <c r="BI701">
        <v>7</v>
      </c>
      <c r="BJ701" t="s">
        <v>1555</v>
      </c>
      <c r="BK701" t="s">
        <v>765</v>
      </c>
      <c r="BL701" t="s">
        <v>1556</v>
      </c>
      <c r="BM701" t="s">
        <v>13525</v>
      </c>
      <c r="BN701" t="s">
        <v>74</v>
      </c>
      <c r="BO701" t="s">
        <v>74</v>
      </c>
      <c r="BP701" t="s">
        <v>74</v>
      </c>
      <c r="BQ701" t="s">
        <v>74</v>
      </c>
      <c r="BR701" t="s">
        <v>105</v>
      </c>
      <c r="BS701" t="s">
        <v>13526</v>
      </c>
      <c r="BT701" t="str">
        <f>HYPERLINK("https%3A%2F%2Fwww.webofscience.com%2Fwos%2Fwoscc%2Ffull-record%2FWOS:000405042000017","View Full Record in Web of Science")</f>
        <v>View Full Record in Web of Science</v>
      </c>
    </row>
    <row r="702" spans="1:72" x14ac:dyDescent="0.15">
      <c r="A702" t="s">
        <v>72</v>
      </c>
      <c r="B702" t="s">
        <v>13527</v>
      </c>
      <c r="C702" t="s">
        <v>74</v>
      </c>
      <c r="D702" t="s">
        <v>74</v>
      </c>
      <c r="E702" t="s">
        <v>74</v>
      </c>
      <c r="F702" t="s">
        <v>13528</v>
      </c>
      <c r="G702" t="s">
        <v>74</v>
      </c>
      <c r="H702" t="s">
        <v>74</v>
      </c>
      <c r="I702" t="s">
        <v>13529</v>
      </c>
      <c r="J702" t="s">
        <v>13530</v>
      </c>
      <c r="K702" t="s">
        <v>74</v>
      </c>
      <c r="L702" t="s">
        <v>74</v>
      </c>
      <c r="M702" t="s">
        <v>78</v>
      </c>
      <c r="N702" t="s">
        <v>79</v>
      </c>
      <c r="O702" t="s">
        <v>74</v>
      </c>
      <c r="P702" t="s">
        <v>74</v>
      </c>
      <c r="Q702" t="s">
        <v>74</v>
      </c>
      <c r="R702" t="s">
        <v>74</v>
      </c>
      <c r="S702" t="s">
        <v>74</v>
      </c>
      <c r="T702" t="s">
        <v>13531</v>
      </c>
      <c r="U702" t="s">
        <v>13532</v>
      </c>
      <c r="V702" t="s">
        <v>13533</v>
      </c>
      <c r="W702" t="s">
        <v>13534</v>
      </c>
      <c r="X702" t="s">
        <v>13535</v>
      </c>
      <c r="Y702" t="s">
        <v>13536</v>
      </c>
      <c r="Z702" t="s">
        <v>13537</v>
      </c>
      <c r="AA702" t="s">
        <v>13538</v>
      </c>
      <c r="AB702" t="s">
        <v>13539</v>
      </c>
      <c r="AC702" t="s">
        <v>13540</v>
      </c>
      <c r="AD702" t="s">
        <v>13541</v>
      </c>
      <c r="AE702" t="s">
        <v>13542</v>
      </c>
      <c r="AF702" t="s">
        <v>74</v>
      </c>
      <c r="AG702">
        <v>77</v>
      </c>
      <c r="AH702">
        <v>14</v>
      </c>
      <c r="AI702">
        <v>14</v>
      </c>
      <c r="AJ702">
        <v>1</v>
      </c>
      <c r="AK702">
        <v>12</v>
      </c>
      <c r="AL702" t="s">
        <v>4811</v>
      </c>
      <c r="AM702" t="s">
        <v>209</v>
      </c>
      <c r="AN702" t="s">
        <v>13543</v>
      </c>
      <c r="AO702" t="s">
        <v>13544</v>
      </c>
      <c r="AP702" t="s">
        <v>13545</v>
      </c>
      <c r="AQ702" t="s">
        <v>74</v>
      </c>
      <c r="AR702" t="s">
        <v>13546</v>
      </c>
      <c r="AS702" t="s">
        <v>13547</v>
      </c>
      <c r="AT702" t="s">
        <v>10370</v>
      </c>
      <c r="AU702">
        <v>2017</v>
      </c>
      <c r="AV702">
        <v>173</v>
      </c>
      <c r="AW702" t="s">
        <v>74</v>
      </c>
      <c r="AX702" t="s">
        <v>74</v>
      </c>
      <c r="AY702" t="s">
        <v>74</v>
      </c>
      <c r="AZ702" t="s">
        <v>74</v>
      </c>
      <c r="BA702" t="s">
        <v>74</v>
      </c>
      <c r="BB702">
        <v>66</v>
      </c>
      <c r="BC702">
        <v>78</v>
      </c>
      <c r="BD702" t="s">
        <v>74</v>
      </c>
      <c r="BE702" t="s">
        <v>13548</v>
      </c>
      <c r="BF702" t="str">
        <f>HYPERLINK("http://dx.doi.org/10.1016/j.jinorgbio.2017.04.025","http://dx.doi.org/10.1016/j.jinorgbio.2017.04.025")</f>
        <v>http://dx.doi.org/10.1016/j.jinorgbio.2017.04.025</v>
      </c>
      <c r="BG702" t="s">
        <v>74</v>
      </c>
      <c r="BH702" t="s">
        <v>74</v>
      </c>
      <c r="BI702">
        <v>13</v>
      </c>
      <c r="BJ702" t="s">
        <v>13549</v>
      </c>
      <c r="BK702" t="s">
        <v>101</v>
      </c>
      <c r="BL702" t="s">
        <v>3311</v>
      </c>
      <c r="BM702" t="s">
        <v>13550</v>
      </c>
      <c r="BN702">
        <v>28501743</v>
      </c>
      <c r="BO702" t="s">
        <v>5215</v>
      </c>
      <c r="BP702" t="s">
        <v>74</v>
      </c>
      <c r="BQ702" t="s">
        <v>74</v>
      </c>
      <c r="BR702" t="s">
        <v>105</v>
      </c>
      <c r="BS702" t="s">
        <v>13551</v>
      </c>
      <c r="BT702" t="str">
        <f>HYPERLINK("https%3A%2F%2Fwww.webofscience.com%2Fwos%2Fwoscc%2Ffull-record%2FWOS:000405159600007","View Full Record in Web of Science")</f>
        <v>View Full Record in Web of Science</v>
      </c>
    </row>
    <row r="703" spans="1:72" x14ac:dyDescent="0.15">
      <c r="A703" t="s">
        <v>72</v>
      </c>
      <c r="B703" t="s">
        <v>13552</v>
      </c>
      <c r="C703" t="s">
        <v>74</v>
      </c>
      <c r="D703" t="s">
        <v>74</v>
      </c>
      <c r="E703" t="s">
        <v>74</v>
      </c>
      <c r="F703" t="s">
        <v>13553</v>
      </c>
      <c r="G703" t="s">
        <v>74</v>
      </c>
      <c r="H703" t="s">
        <v>74</v>
      </c>
      <c r="I703" t="s">
        <v>13554</v>
      </c>
      <c r="J703" t="s">
        <v>3540</v>
      </c>
      <c r="K703" t="s">
        <v>74</v>
      </c>
      <c r="L703" t="s">
        <v>74</v>
      </c>
      <c r="M703" t="s">
        <v>78</v>
      </c>
      <c r="N703" t="s">
        <v>79</v>
      </c>
      <c r="O703" t="s">
        <v>74</v>
      </c>
      <c r="P703" t="s">
        <v>74</v>
      </c>
      <c r="Q703" t="s">
        <v>74</v>
      </c>
      <c r="R703" t="s">
        <v>74</v>
      </c>
      <c r="S703" t="s">
        <v>74</v>
      </c>
      <c r="T703" t="s">
        <v>13555</v>
      </c>
      <c r="U703" t="s">
        <v>13556</v>
      </c>
      <c r="V703" t="s">
        <v>13557</v>
      </c>
      <c r="W703" t="s">
        <v>13558</v>
      </c>
      <c r="X703" t="s">
        <v>13559</v>
      </c>
      <c r="Y703" t="s">
        <v>13560</v>
      </c>
      <c r="Z703" t="s">
        <v>13561</v>
      </c>
      <c r="AA703" t="s">
        <v>13562</v>
      </c>
      <c r="AB703" t="s">
        <v>13563</v>
      </c>
      <c r="AC703" t="s">
        <v>13564</v>
      </c>
      <c r="AD703" t="s">
        <v>13565</v>
      </c>
      <c r="AE703" t="s">
        <v>13566</v>
      </c>
      <c r="AF703" t="s">
        <v>74</v>
      </c>
      <c r="AG703">
        <v>56</v>
      </c>
      <c r="AH703">
        <v>16</v>
      </c>
      <c r="AI703">
        <v>16</v>
      </c>
      <c r="AJ703">
        <v>1</v>
      </c>
      <c r="AK703">
        <v>34</v>
      </c>
      <c r="AL703" t="s">
        <v>208</v>
      </c>
      <c r="AM703" t="s">
        <v>209</v>
      </c>
      <c r="AN703" t="s">
        <v>210</v>
      </c>
      <c r="AO703" t="s">
        <v>3553</v>
      </c>
      <c r="AP703" t="s">
        <v>3554</v>
      </c>
      <c r="AQ703" t="s">
        <v>74</v>
      </c>
      <c r="AR703" t="s">
        <v>3555</v>
      </c>
      <c r="AS703" t="s">
        <v>3556</v>
      </c>
      <c r="AT703" t="s">
        <v>10370</v>
      </c>
      <c r="AU703">
        <v>2017</v>
      </c>
      <c r="AV703">
        <v>74</v>
      </c>
      <c r="AW703">
        <v>2</v>
      </c>
      <c r="AX703" t="s">
        <v>74</v>
      </c>
      <c r="AY703" t="s">
        <v>74</v>
      </c>
      <c r="AZ703" t="s">
        <v>74</v>
      </c>
      <c r="BA703" t="s">
        <v>74</v>
      </c>
      <c r="BB703">
        <v>402</v>
      </c>
      <c r="BC703">
        <v>415</v>
      </c>
      <c r="BD703" t="s">
        <v>74</v>
      </c>
      <c r="BE703" t="s">
        <v>13567</v>
      </c>
      <c r="BF703" t="str">
        <f>HYPERLINK("http://dx.doi.org/10.1007/s00248-017-0955-5","http://dx.doi.org/10.1007/s00248-017-0955-5")</f>
        <v>http://dx.doi.org/10.1007/s00248-017-0955-5</v>
      </c>
      <c r="BG703" t="s">
        <v>74</v>
      </c>
      <c r="BH703" t="s">
        <v>74</v>
      </c>
      <c r="BI703">
        <v>14</v>
      </c>
      <c r="BJ703" t="s">
        <v>3558</v>
      </c>
      <c r="BK703" t="s">
        <v>101</v>
      </c>
      <c r="BL703" t="s">
        <v>3559</v>
      </c>
      <c r="BM703" t="s">
        <v>13568</v>
      </c>
      <c r="BN703">
        <v>28289836</v>
      </c>
      <c r="BO703" t="s">
        <v>74</v>
      </c>
      <c r="BP703" t="s">
        <v>74</v>
      </c>
      <c r="BQ703" t="s">
        <v>74</v>
      </c>
      <c r="BR703" t="s">
        <v>105</v>
      </c>
      <c r="BS703" t="s">
        <v>13569</v>
      </c>
      <c r="BT703" t="str">
        <f>HYPERLINK("https%3A%2F%2Fwww.webofscience.com%2Fwos%2Fwoscc%2Ffull-record%2FWOS:000404927500013","View Full Record in Web of Science")</f>
        <v>View Full Record in Web of Science</v>
      </c>
    </row>
    <row r="704" spans="1:72" x14ac:dyDescent="0.15">
      <c r="A704" t="s">
        <v>72</v>
      </c>
      <c r="B704" t="s">
        <v>13570</v>
      </c>
      <c r="C704" t="s">
        <v>74</v>
      </c>
      <c r="D704" t="s">
        <v>74</v>
      </c>
      <c r="E704" t="s">
        <v>74</v>
      </c>
      <c r="F704" t="s">
        <v>13571</v>
      </c>
      <c r="G704" t="s">
        <v>74</v>
      </c>
      <c r="H704" t="s">
        <v>74</v>
      </c>
      <c r="I704" t="s">
        <v>13572</v>
      </c>
      <c r="J704" t="s">
        <v>13573</v>
      </c>
      <c r="K704" t="s">
        <v>74</v>
      </c>
      <c r="L704" t="s">
        <v>74</v>
      </c>
      <c r="M704" t="s">
        <v>78</v>
      </c>
      <c r="N704" t="s">
        <v>79</v>
      </c>
      <c r="O704" t="s">
        <v>74</v>
      </c>
      <c r="P704" t="s">
        <v>74</v>
      </c>
      <c r="Q704" t="s">
        <v>74</v>
      </c>
      <c r="R704" t="s">
        <v>74</v>
      </c>
      <c r="S704" t="s">
        <v>74</v>
      </c>
      <c r="T704" t="s">
        <v>13574</v>
      </c>
      <c r="U704" t="s">
        <v>13575</v>
      </c>
      <c r="V704" t="s">
        <v>13576</v>
      </c>
      <c r="W704" t="s">
        <v>13577</v>
      </c>
      <c r="X704" t="s">
        <v>13578</v>
      </c>
      <c r="Y704" t="s">
        <v>13579</v>
      </c>
      <c r="Z704" t="s">
        <v>13580</v>
      </c>
      <c r="AA704" t="s">
        <v>13581</v>
      </c>
      <c r="AB704" t="s">
        <v>13582</v>
      </c>
      <c r="AC704" t="s">
        <v>13583</v>
      </c>
      <c r="AD704" t="s">
        <v>13584</v>
      </c>
      <c r="AE704" t="s">
        <v>13585</v>
      </c>
      <c r="AF704" t="s">
        <v>74</v>
      </c>
      <c r="AG704">
        <v>58</v>
      </c>
      <c r="AH704">
        <v>14</v>
      </c>
      <c r="AI704">
        <v>15</v>
      </c>
      <c r="AJ704">
        <v>2</v>
      </c>
      <c r="AK704">
        <v>21</v>
      </c>
      <c r="AL704" t="s">
        <v>728</v>
      </c>
      <c r="AM704" t="s">
        <v>729</v>
      </c>
      <c r="AN704" t="s">
        <v>730</v>
      </c>
      <c r="AO704" t="s">
        <v>13586</v>
      </c>
      <c r="AP704" t="s">
        <v>13587</v>
      </c>
      <c r="AQ704" t="s">
        <v>74</v>
      </c>
      <c r="AR704" t="s">
        <v>13588</v>
      </c>
      <c r="AS704" t="s">
        <v>13589</v>
      </c>
      <c r="AT704" t="s">
        <v>10370</v>
      </c>
      <c r="AU704">
        <v>2017</v>
      </c>
      <c r="AV704">
        <v>28</v>
      </c>
      <c r="AW704" t="s">
        <v>74</v>
      </c>
      <c r="AX704" t="s">
        <v>74</v>
      </c>
      <c r="AY704" t="s">
        <v>74</v>
      </c>
      <c r="AZ704" t="s">
        <v>74</v>
      </c>
      <c r="BA704" t="s">
        <v>74</v>
      </c>
      <c r="BB704">
        <v>33</v>
      </c>
      <c r="BC704">
        <v>43</v>
      </c>
      <c r="BD704" t="s">
        <v>74</v>
      </c>
      <c r="BE704" t="s">
        <v>13590</v>
      </c>
      <c r="BF704" t="str">
        <f>HYPERLINK("http://dx.doi.org/10.1016/j.funeco.2017.04.003","http://dx.doi.org/10.1016/j.funeco.2017.04.003")</f>
        <v>http://dx.doi.org/10.1016/j.funeco.2017.04.003</v>
      </c>
      <c r="BG704" t="s">
        <v>74</v>
      </c>
      <c r="BH704" t="s">
        <v>74</v>
      </c>
      <c r="BI704">
        <v>11</v>
      </c>
      <c r="BJ704" t="s">
        <v>13591</v>
      </c>
      <c r="BK704" t="s">
        <v>101</v>
      </c>
      <c r="BL704" t="s">
        <v>13592</v>
      </c>
      <c r="BM704" t="s">
        <v>13593</v>
      </c>
      <c r="BN704" t="s">
        <v>74</v>
      </c>
      <c r="BO704" t="s">
        <v>74</v>
      </c>
      <c r="BP704" t="s">
        <v>74</v>
      </c>
      <c r="BQ704" t="s">
        <v>74</v>
      </c>
      <c r="BR704" t="s">
        <v>105</v>
      </c>
      <c r="BS704" t="s">
        <v>13594</v>
      </c>
      <c r="BT704" t="str">
        <f>HYPERLINK("https%3A%2F%2Fwww.webofscience.com%2Fwos%2Fwoscc%2Ffull-record%2FWOS:000403990800004","View Full Record in Web of Science")</f>
        <v>View Full Record in Web of Science</v>
      </c>
    </row>
    <row r="705" spans="1:72" x14ac:dyDescent="0.15">
      <c r="A705" t="s">
        <v>72</v>
      </c>
      <c r="B705" t="s">
        <v>13595</v>
      </c>
      <c r="C705" t="s">
        <v>74</v>
      </c>
      <c r="D705" t="s">
        <v>74</v>
      </c>
      <c r="E705" t="s">
        <v>74</v>
      </c>
      <c r="F705" t="s">
        <v>13596</v>
      </c>
      <c r="G705" t="s">
        <v>74</v>
      </c>
      <c r="H705" t="s">
        <v>74</v>
      </c>
      <c r="I705" t="s">
        <v>13597</v>
      </c>
      <c r="J705" t="s">
        <v>4079</v>
      </c>
      <c r="K705" t="s">
        <v>74</v>
      </c>
      <c r="L705" t="s">
        <v>74</v>
      </c>
      <c r="M705" t="s">
        <v>78</v>
      </c>
      <c r="N705" t="s">
        <v>79</v>
      </c>
      <c r="O705" t="s">
        <v>74</v>
      </c>
      <c r="P705" t="s">
        <v>74</v>
      </c>
      <c r="Q705" t="s">
        <v>74</v>
      </c>
      <c r="R705" t="s">
        <v>74</v>
      </c>
      <c r="S705" t="s">
        <v>74</v>
      </c>
      <c r="T705" t="s">
        <v>13598</v>
      </c>
      <c r="U705" t="s">
        <v>13599</v>
      </c>
      <c r="V705" t="s">
        <v>13600</v>
      </c>
      <c r="W705" t="s">
        <v>13601</v>
      </c>
      <c r="X705" t="s">
        <v>13602</v>
      </c>
      <c r="Y705" t="s">
        <v>13603</v>
      </c>
      <c r="Z705" t="s">
        <v>13604</v>
      </c>
      <c r="AA705" t="s">
        <v>13605</v>
      </c>
      <c r="AB705" t="s">
        <v>13606</v>
      </c>
      <c r="AC705" t="s">
        <v>13607</v>
      </c>
      <c r="AD705" t="s">
        <v>13608</v>
      </c>
      <c r="AE705" t="s">
        <v>13609</v>
      </c>
      <c r="AF705" t="s">
        <v>74</v>
      </c>
      <c r="AG705">
        <v>78</v>
      </c>
      <c r="AH705">
        <v>9</v>
      </c>
      <c r="AI705">
        <v>10</v>
      </c>
      <c r="AJ705">
        <v>0</v>
      </c>
      <c r="AK705">
        <v>36</v>
      </c>
      <c r="AL705" t="s">
        <v>502</v>
      </c>
      <c r="AM705" t="s">
        <v>372</v>
      </c>
      <c r="AN705" t="s">
        <v>503</v>
      </c>
      <c r="AO705" t="s">
        <v>4092</v>
      </c>
      <c r="AP705" t="s">
        <v>4093</v>
      </c>
      <c r="AQ705" t="s">
        <v>74</v>
      </c>
      <c r="AR705" t="s">
        <v>4094</v>
      </c>
      <c r="AS705" t="s">
        <v>4095</v>
      </c>
      <c r="AT705" t="s">
        <v>10370</v>
      </c>
      <c r="AU705">
        <v>2017</v>
      </c>
      <c r="AV705">
        <v>172</v>
      </c>
      <c r="AW705" t="s">
        <v>74</v>
      </c>
      <c r="AX705" t="s">
        <v>74</v>
      </c>
      <c r="AY705" t="s">
        <v>74</v>
      </c>
      <c r="AZ705" t="s">
        <v>74</v>
      </c>
      <c r="BA705" t="s">
        <v>74</v>
      </c>
      <c r="BB705">
        <v>128</v>
      </c>
      <c r="BC705">
        <v>136</v>
      </c>
      <c r="BD705" t="s">
        <v>74</v>
      </c>
      <c r="BE705" t="s">
        <v>13610</v>
      </c>
      <c r="BF705" t="str">
        <f>HYPERLINK("http://dx.doi.org/10.1016/j.jmarsys.2017.03.006","http://dx.doi.org/10.1016/j.jmarsys.2017.03.006")</f>
        <v>http://dx.doi.org/10.1016/j.jmarsys.2017.03.006</v>
      </c>
      <c r="BG705" t="s">
        <v>74</v>
      </c>
      <c r="BH705" t="s">
        <v>74</v>
      </c>
      <c r="BI705">
        <v>9</v>
      </c>
      <c r="BJ705" t="s">
        <v>4097</v>
      </c>
      <c r="BK705" t="s">
        <v>101</v>
      </c>
      <c r="BL705" t="s">
        <v>4098</v>
      </c>
      <c r="BM705" t="s">
        <v>13611</v>
      </c>
      <c r="BN705" t="s">
        <v>74</v>
      </c>
      <c r="BO705" t="s">
        <v>511</v>
      </c>
      <c r="BP705" t="s">
        <v>74</v>
      </c>
      <c r="BQ705" t="s">
        <v>74</v>
      </c>
      <c r="BR705" t="s">
        <v>105</v>
      </c>
      <c r="BS705" t="s">
        <v>13612</v>
      </c>
      <c r="BT705" t="str">
        <f>HYPERLINK("https%3A%2F%2Fwww.webofscience.com%2Fwos%2Fwoscc%2Ffull-record%2FWOS:000403991200012","View Full Record in Web of Science")</f>
        <v>View Full Record in Web of Science</v>
      </c>
    </row>
    <row r="706" spans="1:72" x14ac:dyDescent="0.15">
      <c r="A706" t="s">
        <v>72</v>
      </c>
      <c r="B706" t="s">
        <v>13613</v>
      </c>
      <c r="C706" t="s">
        <v>74</v>
      </c>
      <c r="D706" t="s">
        <v>74</v>
      </c>
      <c r="E706" t="s">
        <v>74</v>
      </c>
      <c r="F706" t="s">
        <v>13614</v>
      </c>
      <c r="G706" t="s">
        <v>74</v>
      </c>
      <c r="H706" t="s">
        <v>74</v>
      </c>
      <c r="I706" t="s">
        <v>13615</v>
      </c>
      <c r="J706" t="s">
        <v>10104</v>
      </c>
      <c r="K706" t="s">
        <v>74</v>
      </c>
      <c r="L706" t="s">
        <v>74</v>
      </c>
      <c r="M706" t="s">
        <v>78</v>
      </c>
      <c r="N706" t="s">
        <v>79</v>
      </c>
      <c r="O706" t="s">
        <v>74</v>
      </c>
      <c r="P706" t="s">
        <v>74</v>
      </c>
      <c r="Q706" t="s">
        <v>74</v>
      </c>
      <c r="R706" t="s">
        <v>74</v>
      </c>
      <c r="S706" t="s">
        <v>74</v>
      </c>
      <c r="T706" t="s">
        <v>13616</v>
      </c>
      <c r="U706" t="s">
        <v>13617</v>
      </c>
      <c r="V706" t="s">
        <v>13618</v>
      </c>
      <c r="W706" t="s">
        <v>13619</v>
      </c>
      <c r="X706" t="s">
        <v>13620</v>
      </c>
      <c r="Y706" t="s">
        <v>13621</v>
      </c>
      <c r="Z706" t="s">
        <v>13622</v>
      </c>
      <c r="AA706" t="s">
        <v>74</v>
      </c>
      <c r="AB706" t="s">
        <v>74</v>
      </c>
      <c r="AC706" t="s">
        <v>13623</v>
      </c>
      <c r="AD706" t="s">
        <v>13624</v>
      </c>
      <c r="AE706" t="s">
        <v>13625</v>
      </c>
      <c r="AF706" t="s">
        <v>74</v>
      </c>
      <c r="AG706">
        <v>67</v>
      </c>
      <c r="AH706">
        <v>14</v>
      </c>
      <c r="AI706">
        <v>14</v>
      </c>
      <c r="AJ706">
        <v>1</v>
      </c>
      <c r="AK706">
        <v>46</v>
      </c>
      <c r="AL706" t="s">
        <v>371</v>
      </c>
      <c r="AM706" t="s">
        <v>372</v>
      </c>
      <c r="AN706" t="s">
        <v>373</v>
      </c>
      <c r="AO706" t="s">
        <v>10116</v>
      </c>
      <c r="AP706" t="s">
        <v>10117</v>
      </c>
      <c r="AQ706" t="s">
        <v>74</v>
      </c>
      <c r="AR706" t="s">
        <v>10104</v>
      </c>
      <c r="AS706" t="s">
        <v>10118</v>
      </c>
      <c r="AT706" t="s">
        <v>10661</v>
      </c>
      <c r="AU706">
        <v>2017</v>
      </c>
      <c r="AV706">
        <v>299</v>
      </c>
      <c r="AW706" t="s">
        <v>74</v>
      </c>
      <c r="AX706" t="s">
        <v>74</v>
      </c>
      <c r="AY706" t="s">
        <v>74</v>
      </c>
      <c r="AZ706" t="s">
        <v>74</v>
      </c>
      <c r="BA706" t="s">
        <v>74</v>
      </c>
      <c r="BB706">
        <v>25</v>
      </c>
      <c r="BC706">
        <v>31</v>
      </c>
      <c r="BD706" t="s">
        <v>74</v>
      </c>
      <c r="BE706" t="s">
        <v>13626</v>
      </c>
      <c r="BF706" t="str">
        <f>HYPERLINK("http://dx.doi.org/10.1016/j.geoderma.2017.03.024","http://dx.doi.org/10.1016/j.geoderma.2017.03.024")</f>
        <v>http://dx.doi.org/10.1016/j.geoderma.2017.03.024</v>
      </c>
      <c r="BG706" t="s">
        <v>74</v>
      </c>
      <c r="BH706" t="s">
        <v>74</v>
      </c>
      <c r="BI706">
        <v>7</v>
      </c>
      <c r="BJ706" t="s">
        <v>6681</v>
      </c>
      <c r="BK706" t="s">
        <v>101</v>
      </c>
      <c r="BL706" t="s">
        <v>6682</v>
      </c>
      <c r="BM706" t="s">
        <v>13627</v>
      </c>
      <c r="BN706" t="s">
        <v>74</v>
      </c>
      <c r="BO706" t="s">
        <v>511</v>
      </c>
      <c r="BP706" t="s">
        <v>74</v>
      </c>
      <c r="BQ706" t="s">
        <v>74</v>
      </c>
      <c r="BR706" t="s">
        <v>105</v>
      </c>
      <c r="BS706" t="s">
        <v>13628</v>
      </c>
      <c r="BT706" t="str">
        <f>HYPERLINK("https%3A%2F%2Fwww.webofscience.com%2Fwos%2Fwoscc%2Ffull-record%2FWOS:000402217800003","View Full Record in Web of Science")</f>
        <v>View Full Record in Web of Science</v>
      </c>
    </row>
    <row r="707" spans="1:72" x14ac:dyDescent="0.15">
      <c r="A707" t="s">
        <v>72</v>
      </c>
      <c r="B707" t="s">
        <v>13629</v>
      </c>
      <c r="C707" t="s">
        <v>74</v>
      </c>
      <c r="D707" t="s">
        <v>74</v>
      </c>
      <c r="E707" t="s">
        <v>74</v>
      </c>
      <c r="F707" t="s">
        <v>13630</v>
      </c>
      <c r="G707" t="s">
        <v>74</v>
      </c>
      <c r="H707" t="s">
        <v>74</v>
      </c>
      <c r="I707" t="s">
        <v>13631</v>
      </c>
      <c r="J707" t="s">
        <v>13632</v>
      </c>
      <c r="K707" t="s">
        <v>74</v>
      </c>
      <c r="L707" t="s">
        <v>74</v>
      </c>
      <c r="M707" t="s">
        <v>78</v>
      </c>
      <c r="N707" t="s">
        <v>79</v>
      </c>
      <c r="O707" t="s">
        <v>74</v>
      </c>
      <c r="P707" t="s">
        <v>74</v>
      </c>
      <c r="Q707" t="s">
        <v>74</v>
      </c>
      <c r="R707" t="s">
        <v>74</v>
      </c>
      <c r="S707" t="s">
        <v>74</v>
      </c>
      <c r="T707" t="s">
        <v>13633</v>
      </c>
      <c r="U707" t="s">
        <v>13634</v>
      </c>
      <c r="V707" t="s">
        <v>13635</v>
      </c>
      <c r="W707" t="s">
        <v>13636</v>
      </c>
      <c r="X707" t="s">
        <v>13637</v>
      </c>
      <c r="Y707" t="s">
        <v>13638</v>
      </c>
      <c r="Z707" t="s">
        <v>13639</v>
      </c>
      <c r="AA707" t="s">
        <v>13640</v>
      </c>
      <c r="AB707" t="s">
        <v>13641</v>
      </c>
      <c r="AC707" t="s">
        <v>13642</v>
      </c>
      <c r="AD707" t="s">
        <v>13643</v>
      </c>
      <c r="AE707" t="s">
        <v>13644</v>
      </c>
      <c r="AF707" t="s">
        <v>74</v>
      </c>
      <c r="AG707">
        <v>55</v>
      </c>
      <c r="AH707">
        <v>23</v>
      </c>
      <c r="AI707">
        <v>24</v>
      </c>
      <c r="AJ707">
        <v>1</v>
      </c>
      <c r="AK707">
        <v>15</v>
      </c>
      <c r="AL707" t="s">
        <v>728</v>
      </c>
      <c r="AM707" t="s">
        <v>729</v>
      </c>
      <c r="AN707" t="s">
        <v>730</v>
      </c>
      <c r="AO707" t="s">
        <v>13645</v>
      </c>
      <c r="AP707" t="s">
        <v>13646</v>
      </c>
      <c r="AQ707" t="s">
        <v>74</v>
      </c>
      <c r="AR707" t="s">
        <v>13647</v>
      </c>
      <c r="AS707" t="s">
        <v>13648</v>
      </c>
      <c r="AT707" t="s">
        <v>10370</v>
      </c>
      <c r="AU707">
        <v>2017</v>
      </c>
      <c r="AV707">
        <v>73</v>
      </c>
      <c r="AW707" t="s">
        <v>74</v>
      </c>
      <c r="AX707" t="s">
        <v>74</v>
      </c>
      <c r="AY707" t="s">
        <v>74</v>
      </c>
      <c r="AZ707" t="s">
        <v>74</v>
      </c>
      <c r="BA707" t="s">
        <v>74</v>
      </c>
      <c r="BB707">
        <v>88</v>
      </c>
      <c r="BC707">
        <v>96</v>
      </c>
      <c r="BD707" t="s">
        <v>74</v>
      </c>
      <c r="BE707" t="s">
        <v>13649</v>
      </c>
      <c r="BF707" t="str">
        <f>HYPERLINK("http://dx.doi.org/10.1016/j.dci.2017.03.015","http://dx.doi.org/10.1016/j.dci.2017.03.015")</f>
        <v>http://dx.doi.org/10.1016/j.dci.2017.03.015</v>
      </c>
      <c r="BG707" t="s">
        <v>74</v>
      </c>
      <c r="BH707" t="s">
        <v>74</v>
      </c>
      <c r="BI707">
        <v>9</v>
      </c>
      <c r="BJ707" t="s">
        <v>13650</v>
      </c>
      <c r="BK707" t="s">
        <v>101</v>
      </c>
      <c r="BL707" t="s">
        <v>13650</v>
      </c>
      <c r="BM707" t="s">
        <v>13651</v>
      </c>
      <c r="BN707">
        <v>28336188</v>
      </c>
      <c r="BO707" t="s">
        <v>74</v>
      </c>
      <c r="BP707" t="s">
        <v>74</v>
      </c>
      <c r="BQ707" t="s">
        <v>74</v>
      </c>
      <c r="BR707" t="s">
        <v>105</v>
      </c>
      <c r="BS707" t="s">
        <v>13652</v>
      </c>
      <c r="BT707" t="str">
        <f>HYPERLINK("https%3A%2F%2Fwww.webofscience.com%2Fwos%2Fwoscc%2Ffull-record%2FWOS:000401380400011","View Full Record in Web of Science")</f>
        <v>View Full Record in Web of Science</v>
      </c>
    </row>
    <row r="708" spans="1:72" x14ac:dyDescent="0.15">
      <c r="A708" t="s">
        <v>72</v>
      </c>
      <c r="B708" t="s">
        <v>13653</v>
      </c>
      <c r="C708" t="s">
        <v>74</v>
      </c>
      <c r="D708" t="s">
        <v>74</v>
      </c>
      <c r="E708" t="s">
        <v>74</v>
      </c>
      <c r="F708" t="s">
        <v>13654</v>
      </c>
      <c r="G708" t="s">
        <v>74</v>
      </c>
      <c r="H708" t="s">
        <v>74</v>
      </c>
      <c r="I708" t="s">
        <v>13655</v>
      </c>
      <c r="J708" t="s">
        <v>638</v>
      </c>
      <c r="K708" t="s">
        <v>74</v>
      </c>
      <c r="L708" t="s">
        <v>74</v>
      </c>
      <c r="M708" t="s">
        <v>78</v>
      </c>
      <c r="N708" t="s">
        <v>79</v>
      </c>
      <c r="O708" t="s">
        <v>74</v>
      </c>
      <c r="P708" t="s">
        <v>74</v>
      </c>
      <c r="Q708" t="s">
        <v>74</v>
      </c>
      <c r="R708" t="s">
        <v>74</v>
      </c>
      <c r="S708" t="s">
        <v>74</v>
      </c>
      <c r="T708" t="s">
        <v>74</v>
      </c>
      <c r="U708" t="s">
        <v>13656</v>
      </c>
      <c r="V708" t="s">
        <v>13657</v>
      </c>
      <c r="W708" t="s">
        <v>13658</v>
      </c>
      <c r="X708" t="s">
        <v>3617</v>
      </c>
      <c r="Y708" t="s">
        <v>13659</v>
      </c>
      <c r="Z708" t="s">
        <v>13660</v>
      </c>
      <c r="AA708" t="s">
        <v>13661</v>
      </c>
      <c r="AB708" t="s">
        <v>13662</v>
      </c>
      <c r="AC708" t="s">
        <v>13663</v>
      </c>
      <c r="AD708" t="s">
        <v>13664</v>
      </c>
      <c r="AE708" t="s">
        <v>13665</v>
      </c>
      <c r="AF708" t="s">
        <v>74</v>
      </c>
      <c r="AG708">
        <v>72</v>
      </c>
      <c r="AH708">
        <v>31</v>
      </c>
      <c r="AI708">
        <v>32</v>
      </c>
      <c r="AJ708">
        <v>4</v>
      </c>
      <c r="AK708">
        <v>26</v>
      </c>
      <c r="AL708" t="s">
        <v>650</v>
      </c>
      <c r="AM708" t="s">
        <v>651</v>
      </c>
      <c r="AN708" t="s">
        <v>652</v>
      </c>
      <c r="AO708" t="s">
        <v>653</v>
      </c>
      <c r="AP708" t="s">
        <v>74</v>
      </c>
      <c r="AQ708" t="s">
        <v>74</v>
      </c>
      <c r="AR708" t="s">
        <v>654</v>
      </c>
      <c r="AS708" t="s">
        <v>655</v>
      </c>
      <c r="AT708" t="s">
        <v>13666</v>
      </c>
      <c r="AU708">
        <v>2017</v>
      </c>
      <c r="AV708">
        <v>7</v>
      </c>
      <c r="AW708" t="s">
        <v>74</v>
      </c>
      <c r="AX708" t="s">
        <v>74</v>
      </c>
      <c r="AY708" t="s">
        <v>74</v>
      </c>
      <c r="AZ708" t="s">
        <v>74</v>
      </c>
      <c r="BA708" t="s">
        <v>74</v>
      </c>
      <c r="BB708" t="s">
        <v>74</v>
      </c>
      <c r="BC708" t="s">
        <v>74</v>
      </c>
      <c r="BD708">
        <v>6963</v>
      </c>
      <c r="BE708" t="s">
        <v>13667</v>
      </c>
      <c r="BF708" t="str">
        <f>HYPERLINK("http://dx.doi.org/10.1038/s41598-017-07205-9","http://dx.doi.org/10.1038/s41598-017-07205-9")</f>
        <v>http://dx.doi.org/10.1038/s41598-017-07205-9</v>
      </c>
      <c r="BG708" t="s">
        <v>74</v>
      </c>
      <c r="BH708" t="s">
        <v>74</v>
      </c>
      <c r="BI708">
        <v>14</v>
      </c>
      <c r="BJ708" t="s">
        <v>190</v>
      </c>
      <c r="BK708" t="s">
        <v>101</v>
      </c>
      <c r="BL708" t="s">
        <v>191</v>
      </c>
      <c r="BM708" t="s">
        <v>13668</v>
      </c>
      <c r="BN708">
        <v>28761090</v>
      </c>
      <c r="BO708" t="s">
        <v>3771</v>
      </c>
      <c r="BP708" t="s">
        <v>74</v>
      </c>
      <c r="BQ708" t="s">
        <v>74</v>
      </c>
      <c r="BR708" t="s">
        <v>105</v>
      </c>
      <c r="BS708" t="s">
        <v>13669</v>
      </c>
      <c r="BT708" t="str">
        <f>HYPERLINK("https%3A%2F%2Fwww.webofscience.com%2Fwos%2Fwoscc%2Ffull-record%2FWOS:000425976600001","View Full Record in Web of Science")</f>
        <v>View Full Record in Web of Science</v>
      </c>
    </row>
    <row r="709" spans="1:72" x14ac:dyDescent="0.15">
      <c r="A709" t="s">
        <v>72</v>
      </c>
      <c r="B709" t="s">
        <v>13670</v>
      </c>
      <c r="C709" t="s">
        <v>74</v>
      </c>
      <c r="D709" t="s">
        <v>74</v>
      </c>
      <c r="E709" t="s">
        <v>74</v>
      </c>
      <c r="F709" t="s">
        <v>13671</v>
      </c>
      <c r="G709" t="s">
        <v>74</v>
      </c>
      <c r="H709" t="s">
        <v>74</v>
      </c>
      <c r="I709" t="s">
        <v>13672</v>
      </c>
      <c r="J709" t="s">
        <v>77</v>
      </c>
      <c r="K709" t="s">
        <v>74</v>
      </c>
      <c r="L709" t="s">
        <v>74</v>
      </c>
      <c r="M709" t="s">
        <v>78</v>
      </c>
      <c r="N709" t="s">
        <v>79</v>
      </c>
      <c r="O709" t="s">
        <v>74</v>
      </c>
      <c r="P709" t="s">
        <v>74</v>
      </c>
      <c r="Q709" t="s">
        <v>74</v>
      </c>
      <c r="R709" t="s">
        <v>74</v>
      </c>
      <c r="S709" t="s">
        <v>74</v>
      </c>
      <c r="T709" t="s">
        <v>74</v>
      </c>
      <c r="U709" t="s">
        <v>13673</v>
      </c>
      <c r="V709" t="s">
        <v>13674</v>
      </c>
      <c r="W709" t="s">
        <v>13675</v>
      </c>
      <c r="X709" t="s">
        <v>13676</v>
      </c>
      <c r="Y709" t="s">
        <v>9829</v>
      </c>
      <c r="Z709" t="s">
        <v>13677</v>
      </c>
      <c r="AA709" t="s">
        <v>13678</v>
      </c>
      <c r="AB709" t="s">
        <v>13679</v>
      </c>
      <c r="AC709" t="s">
        <v>13680</v>
      </c>
      <c r="AD709" t="s">
        <v>13681</v>
      </c>
      <c r="AE709" t="s">
        <v>13682</v>
      </c>
      <c r="AF709" t="s">
        <v>74</v>
      </c>
      <c r="AG709">
        <v>41</v>
      </c>
      <c r="AH709">
        <v>29</v>
      </c>
      <c r="AI709">
        <v>31</v>
      </c>
      <c r="AJ709">
        <v>0</v>
      </c>
      <c r="AK709">
        <v>15</v>
      </c>
      <c r="AL709" t="s">
        <v>91</v>
      </c>
      <c r="AM709" t="s">
        <v>92</v>
      </c>
      <c r="AN709" t="s">
        <v>93</v>
      </c>
      <c r="AO709" t="s">
        <v>94</v>
      </c>
      <c r="AP709" t="s">
        <v>95</v>
      </c>
      <c r="AQ709" t="s">
        <v>74</v>
      </c>
      <c r="AR709" t="s">
        <v>96</v>
      </c>
      <c r="AS709" t="s">
        <v>97</v>
      </c>
      <c r="AT709" t="s">
        <v>13683</v>
      </c>
      <c r="AU709">
        <v>2017</v>
      </c>
      <c r="AV709">
        <v>44</v>
      </c>
      <c r="AW709">
        <v>14</v>
      </c>
      <c r="AX709" t="s">
        <v>74</v>
      </c>
      <c r="AY709" t="s">
        <v>74</v>
      </c>
      <c r="AZ709" t="s">
        <v>74</v>
      </c>
      <c r="BA709" t="s">
        <v>74</v>
      </c>
      <c r="BB709">
        <v>7338</v>
      </c>
      <c r="BC709">
        <v>7346</v>
      </c>
      <c r="BD709" t="s">
        <v>74</v>
      </c>
      <c r="BE709" t="s">
        <v>13684</v>
      </c>
      <c r="BF709" t="str">
        <f>HYPERLINK("http://dx.doi.org/10.1002/2016GL071941","http://dx.doi.org/10.1002/2016GL071941")</f>
        <v>http://dx.doi.org/10.1002/2016GL071941</v>
      </c>
      <c r="BG709" t="s">
        <v>74</v>
      </c>
      <c r="BH709" t="s">
        <v>74</v>
      </c>
      <c r="BI709">
        <v>9</v>
      </c>
      <c r="BJ709" t="s">
        <v>100</v>
      </c>
      <c r="BK709" t="s">
        <v>101</v>
      </c>
      <c r="BL709" t="s">
        <v>102</v>
      </c>
      <c r="BM709" t="s">
        <v>13685</v>
      </c>
      <c r="BN709" t="s">
        <v>74</v>
      </c>
      <c r="BO709" t="s">
        <v>511</v>
      </c>
      <c r="BP709" t="s">
        <v>74</v>
      </c>
      <c r="BQ709" t="s">
        <v>74</v>
      </c>
      <c r="BR709" t="s">
        <v>105</v>
      </c>
      <c r="BS709" t="s">
        <v>13686</v>
      </c>
      <c r="BT709" t="str">
        <f>HYPERLINK("https%3A%2F%2Fwww.webofscience.com%2Fwos%2Fwoscc%2Ffull-record%2FWOS:000407790500028","View Full Record in Web of Science")</f>
        <v>View Full Record in Web of Science</v>
      </c>
    </row>
    <row r="710" spans="1:72" x14ac:dyDescent="0.15">
      <c r="A710" t="s">
        <v>72</v>
      </c>
      <c r="B710" t="s">
        <v>13687</v>
      </c>
      <c r="C710" t="s">
        <v>74</v>
      </c>
      <c r="D710" t="s">
        <v>74</v>
      </c>
      <c r="E710" t="s">
        <v>74</v>
      </c>
      <c r="F710" t="s">
        <v>13688</v>
      </c>
      <c r="G710" t="s">
        <v>74</v>
      </c>
      <c r="H710" t="s">
        <v>74</v>
      </c>
      <c r="I710" t="s">
        <v>13689</v>
      </c>
      <c r="J710" t="s">
        <v>77</v>
      </c>
      <c r="K710" t="s">
        <v>74</v>
      </c>
      <c r="L710" t="s">
        <v>74</v>
      </c>
      <c r="M710" t="s">
        <v>78</v>
      </c>
      <c r="N710" t="s">
        <v>79</v>
      </c>
      <c r="O710" t="s">
        <v>74</v>
      </c>
      <c r="P710" t="s">
        <v>74</v>
      </c>
      <c r="Q710" t="s">
        <v>74</v>
      </c>
      <c r="R710" t="s">
        <v>74</v>
      </c>
      <c r="S710" t="s">
        <v>74</v>
      </c>
      <c r="T710" t="s">
        <v>74</v>
      </c>
      <c r="U710" t="s">
        <v>13690</v>
      </c>
      <c r="V710" t="s">
        <v>13691</v>
      </c>
      <c r="W710" t="s">
        <v>13692</v>
      </c>
      <c r="X710" t="s">
        <v>13693</v>
      </c>
      <c r="Y710" t="s">
        <v>13694</v>
      </c>
      <c r="Z710" t="s">
        <v>13695</v>
      </c>
      <c r="AA710" t="s">
        <v>13696</v>
      </c>
      <c r="AB710" t="s">
        <v>13697</v>
      </c>
      <c r="AC710" t="s">
        <v>13698</v>
      </c>
      <c r="AD710" t="s">
        <v>13699</v>
      </c>
      <c r="AE710" t="s">
        <v>13700</v>
      </c>
      <c r="AF710" t="s">
        <v>74</v>
      </c>
      <c r="AG710">
        <v>35</v>
      </c>
      <c r="AH710">
        <v>11</v>
      </c>
      <c r="AI710">
        <v>12</v>
      </c>
      <c r="AJ710">
        <v>0</v>
      </c>
      <c r="AK710">
        <v>24</v>
      </c>
      <c r="AL710" t="s">
        <v>91</v>
      </c>
      <c r="AM710" t="s">
        <v>92</v>
      </c>
      <c r="AN710" t="s">
        <v>93</v>
      </c>
      <c r="AO710" t="s">
        <v>94</v>
      </c>
      <c r="AP710" t="s">
        <v>95</v>
      </c>
      <c r="AQ710" t="s">
        <v>74</v>
      </c>
      <c r="AR710" t="s">
        <v>96</v>
      </c>
      <c r="AS710" t="s">
        <v>97</v>
      </c>
      <c r="AT710" t="s">
        <v>13683</v>
      </c>
      <c r="AU710">
        <v>2017</v>
      </c>
      <c r="AV710">
        <v>44</v>
      </c>
      <c r="AW710">
        <v>14</v>
      </c>
      <c r="AX710" t="s">
        <v>74</v>
      </c>
      <c r="AY710" t="s">
        <v>74</v>
      </c>
      <c r="AZ710" t="s">
        <v>74</v>
      </c>
      <c r="BA710" t="s">
        <v>74</v>
      </c>
      <c r="BB710">
        <v>7347</v>
      </c>
      <c r="BC710">
        <v>7355</v>
      </c>
      <c r="BD710" t="s">
        <v>74</v>
      </c>
      <c r="BE710" t="s">
        <v>13701</v>
      </c>
      <c r="BF710" t="str">
        <f>HYPERLINK("http://dx.doi.org/10.1002/2017GL073486","http://dx.doi.org/10.1002/2017GL073486")</f>
        <v>http://dx.doi.org/10.1002/2017GL073486</v>
      </c>
      <c r="BG710" t="s">
        <v>74</v>
      </c>
      <c r="BH710" t="s">
        <v>74</v>
      </c>
      <c r="BI710">
        <v>9</v>
      </c>
      <c r="BJ710" t="s">
        <v>100</v>
      </c>
      <c r="BK710" t="s">
        <v>101</v>
      </c>
      <c r="BL710" t="s">
        <v>102</v>
      </c>
      <c r="BM710" t="s">
        <v>13685</v>
      </c>
      <c r="BN710" t="s">
        <v>74</v>
      </c>
      <c r="BO710" t="s">
        <v>7860</v>
      </c>
      <c r="BP710" t="s">
        <v>74</v>
      </c>
      <c r="BQ710" t="s">
        <v>74</v>
      </c>
      <c r="BR710" t="s">
        <v>105</v>
      </c>
      <c r="BS710" t="s">
        <v>13702</v>
      </c>
      <c r="BT710" t="str">
        <f>HYPERLINK("https%3A%2F%2Fwww.webofscience.com%2Fwos%2Fwoscc%2Ffull-record%2FWOS:000407790500029","View Full Record in Web of Science")</f>
        <v>View Full Record in Web of Science</v>
      </c>
    </row>
    <row r="711" spans="1:72" x14ac:dyDescent="0.15">
      <c r="A711" t="s">
        <v>72</v>
      </c>
      <c r="B711" t="s">
        <v>13703</v>
      </c>
      <c r="C711" t="s">
        <v>74</v>
      </c>
      <c r="D711" t="s">
        <v>74</v>
      </c>
      <c r="E711" t="s">
        <v>74</v>
      </c>
      <c r="F711" t="s">
        <v>13704</v>
      </c>
      <c r="G711" t="s">
        <v>74</v>
      </c>
      <c r="H711" t="s">
        <v>74</v>
      </c>
      <c r="I711" t="s">
        <v>13705</v>
      </c>
      <c r="J711" t="s">
        <v>77</v>
      </c>
      <c r="K711" t="s">
        <v>74</v>
      </c>
      <c r="L711" t="s">
        <v>74</v>
      </c>
      <c r="M711" t="s">
        <v>78</v>
      </c>
      <c r="N711" t="s">
        <v>79</v>
      </c>
      <c r="O711" t="s">
        <v>74</v>
      </c>
      <c r="P711" t="s">
        <v>74</v>
      </c>
      <c r="Q711" t="s">
        <v>74</v>
      </c>
      <c r="R711" t="s">
        <v>74</v>
      </c>
      <c r="S711" t="s">
        <v>74</v>
      </c>
      <c r="T711" t="s">
        <v>74</v>
      </c>
      <c r="U711" t="s">
        <v>13706</v>
      </c>
      <c r="V711" t="s">
        <v>13707</v>
      </c>
      <c r="W711" t="s">
        <v>13708</v>
      </c>
      <c r="X711" t="s">
        <v>13709</v>
      </c>
      <c r="Y711" t="s">
        <v>13710</v>
      </c>
      <c r="Z711" t="s">
        <v>13711</v>
      </c>
      <c r="AA711" t="s">
        <v>13712</v>
      </c>
      <c r="AB711" t="s">
        <v>13713</v>
      </c>
      <c r="AC711" t="s">
        <v>13714</v>
      </c>
      <c r="AD711" t="s">
        <v>13715</v>
      </c>
      <c r="AE711" t="s">
        <v>13716</v>
      </c>
      <c r="AF711" t="s">
        <v>74</v>
      </c>
      <c r="AG711">
        <v>52</v>
      </c>
      <c r="AH711">
        <v>25</v>
      </c>
      <c r="AI711">
        <v>28</v>
      </c>
      <c r="AJ711">
        <v>0</v>
      </c>
      <c r="AK711">
        <v>6</v>
      </c>
      <c r="AL711" t="s">
        <v>91</v>
      </c>
      <c r="AM711" t="s">
        <v>92</v>
      </c>
      <c r="AN711" t="s">
        <v>93</v>
      </c>
      <c r="AO711" t="s">
        <v>94</v>
      </c>
      <c r="AP711" t="s">
        <v>95</v>
      </c>
      <c r="AQ711" t="s">
        <v>74</v>
      </c>
      <c r="AR711" t="s">
        <v>96</v>
      </c>
      <c r="AS711" t="s">
        <v>97</v>
      </c>
      <c r="AT711" t="s">
        <v>13683</v>
      </c>
      <c r="AU711">
        <v>2017</v>
      </c>
      <c r="AV711">
        <v>44</v>
      </c>
      <c r="AW711">
        <v>14</v>
      </c>
      <c r="AX711" t="s">
        <v>74</v>
      </c>
      <c r="AY711" t="s">
        <v>74</v>
      </c>
      <c r="AZ711" t="s">
        <v>74</v>
      </c>
      <c r="BA711" t="s">
        <v>74</v>
      </c>
      <c r="BB711">
        <v>7382</v>
      </c>
      <c r="BC711">
        <v>7390</v>
      </c>
      <c r="BD711" t="s">
        <v>74</v>
      </c>
      <c r="BE711" t="s">
        <v>13717</v>
      </c>
      <c r="BF711" t="str">
        <f>HYPERLINK("http://dx.doi.org/10.1002/2017GL074346","http://dx.doi.org/10.1002/2017GL074346")</f>
        <v>http://dx.doi.org/10.1002/2017GL074346</v>
      </c>
      <c r="BG711" t="s">
        <v>74</v>
      </c>
      <c r="BH711" t="s">
        <v>74</v>
      </c>
      <c r="BI711">
        <v>9</v>
      </c>
      <c r="BJ711" t="s">
        <v>100</v>
      </c>
      <c r="BK711" t="s">
        <v>101</v>
      </c>
      <c r="BL711" t="s">
        <v>102</v>
      </c>
      <c r="BM711" t="s">
        <v>13685</v>
      </c>
      <c r="BN711" t="s">
        <v>74</v>
      </c>
      <c r="BO711" t="s">
        <v>13718</v>
      </c>
      <c r="BP711" t="s">
        <v>74</v>
      </c>
      <c r="BQ711" t="s">
        <v>74</v>
      </c>
      <c r="BR711" t="s">
        <v>105</v>
      </c>
      <c r="BS711" t="s">
        <v>13719</v>
      </c>
      <c r="BT711" t="str">
        <f>HYPERLINK("https%3A%2F%2Fwww.webofscience.com%2Fwos%2Fwoscc%2Ffull-record%2FWOS:000407790500033","View Full Record in Web of Science")</f>
        <v>View Full Record in Web of Science</v>
      </c>
    </row>
    <row r="712" spans="1:72" x14ac:dyDescent="0.15">
      <c r="A712" t="s">
        <v>72</v>
      </c>
      <c r="B712" t="s">
        <v>13720</v>
      </c>
      <c r="C712" t="s">
        <v>74</v>
      </c>
      <c r="D712" t="s">
        <v>74</v>
      </c>
      <c r="E712" t="s">
        <v>74</v>
      </c>
      <c r="F712" t="s">
        <v>13721</v>
      </c>
      <c r="G712" t="s">
        <v>74</v>
      </c>
      <c r="H712" t="s">
        <v>74</v>
      </c>
      <c r="I712" t="s">
        <v>13722</v>
      </c>
      <c r="J712" t="s">
        <v>638</v>
      </c>
      <c r="K712" t="s">
        <v>74</v>
      </c>
      <c r="L712" t="s">
        <v>74</v>
      </c>
      <c r="M712" t="s">
        <v>78</v>
      </c>
      <c r="N712" t="s">
        <v>79</v>
      </c>
      <c r="O712" t="s">
        <v>74</v>
      </c>
      <c r="P712" t="s">
        <v>74</v>
      </c>
      <c r="Q712" t="s">
        <v>74</v>
      </c>
      <c r="R712" t="s">
        <v>74</v>
      </c>
      <c r="S712" t="s">
        <v>74</v>
      </c>
      <c r="T712" t="s">
        <v>74</v>
      </c>
      <c r="U712" t="s">
        <v>13723</v>
      </c>
      <c r="V712" t="s">
        <v>13724</v>
      </c>
      <c r="W712" t="s">
        <v>13725</v>
      </c>
      <c r="X712" t="s">
        <v>13726</v>
      </c>
      <c r="Y712" t="s">
        <v>13727</v>
      </c>
      <c r="Z712" t="s">
        <v>13728</v>
      </c>
      <c r="AA712" t="s">
        <v>13729</v>
      </c>
      <c r="AB712" t="s">
        <v>13730</v>
      </c>
      <c r="AC712" t="s">
        <v>13731</v>
      </c>
      <c r="AD712" t="s">
        <v>13732</v>
      </c>
      <c r="AE712" t="s">
        <v>13733</v>
      </c>
      <c r="AF712" t="s">
        <v>74</v>
      </c>
      <c r="AG712">
        <v>62</v>
      </c>
      <c r="AH712">
        <v>12</v>
      </c>
      <c r="AI712">
        <v>13</v>
      </c>
      <c r="AJ712">
        <v>0</v>
      </c>
      <c r="AK712">
        <v>16</v>
      </c>
      <c r="AL712" t="s">
        <v>650</v>
      </c>
      <c r="AM712" t="s">
        <v>651</v>
      </c>
      <c r="AN712" t="s">
        <v>652</v>
      </c>
      <c r="AO712" t="s">
        <v>653</v>
      </c>
      <c r="AP712" t="s">
        <v>74</v>
      </c>
      <c r="AQ712" t="s">
        <v>74</v>
      </c>
      <c r="AR712" t="s">
        <v>654</v>
      </c>
      <c r="AS712" t="s">
        <v>655</v>
      </c>
      <c r="AT712" t="s">
        <v>13683</v>
      </c>
      <c r="AU712">
        <v>2017</v>
      </c>
      <c r="AV712">
        <v>7</v>
      </c>
      <c r="AW712" t="s">
        <v>74</v>
      </c>
      <c r="AX712" t="s">
        <v>74</v>
      </c>
      <c r="AY712" t="s">
        <v>74</v>
      </c>
      <c r="AZ712" t="s">
        <v>74</v>
      </c>
      <c r="BA712" t="s">
        <v>74</v>
      </c>
      <c r="BB712" t="s">
        <v>74</v>
      </c>
      <c r="BC712" t="s">
        <v>74</v>
      </c>
      <c r="BD712">
        <v>6781</v>
      </c>
      <c r="BE712" t="s">
        <v>13734</v>
      </c>
      <c r="BF712" t="str">
        <f>HYPERLINK("http://dx.doi.org/10.1038/s41598-017-06582-5","http://dx.doi.org/10.1038/s41598-017-06582-5")</f>
        <v>http://dx.doi.org/10.1038/s41598-017-06582-5</v>
      </c>
      <c r="BG712" t="s">
        <v>74</v>
      </c>
      <c r="BH712" t="s">
        <v>74</v>
      </c>
      <c r="BI712">
        <v>14</v>
      </c>
      <c r="BJ712" t="s">
        <v>190</v>
      </c>
      <c r="BK712" t="s">
        <v>101</v>
      </c>
      <c r="BL712" t="s">
        <v>191</v>
      </c>
      <c r="BM712" t="s">
        <v>13735</v>
      </c>
      <c r="BN712">
        <v>28754989</v>
      </c>
      <c r="BO712" t="s">
        <v>459</v>
      </c>
      <c r="BP712" t="s">
        <v>74</v>
      </c>
      <c r="BQ712" t="s">
        <v>74</v>
      </c>
      <c r="BR712" t="s">
        <v>105</v>
      </c>
      <c r="BS712" t="s">
        <v>13736</v>
      </c>
      <c r="BT712" t="str">
        <f>HYPERLINK("https%3A%2F%2Fwww.webofscience.com%2Fwos%2Fwoscc%2Ffull-record%2FWOS:000406610000032","View Full Record in Web of Science")</f>
        <v>View Full Record in Web of Science</v>
      </c>
    </row>
    <row r="713" spans="1:72" x14ac:dyDescent="0.15">
      <c r="A713" t="s">
        <v>72</v>
      </c>
      <c r="B713" t="s">
        <v>13737</v>
      </c>
      <c r="C713" t="s">
        <v>74</v>
      </c>
      <c r="D713" t="s">
        <v>74</v>
      </c>
      <c r="E713" t="s">
        <v>74</v>
      </c>
      <c r="F713" t="s">
        <v>13738</v>
      </c>
      <c r="G713" t="s">
        <v>74</v>
      </c>
      <c r="H713" t="s">
        <v>74</v>
      </c>
      <c r="I713" t="s">
        <v>13739</v>
      </c>
      <c r="J713" t="s">
        <v>13740</v>
      </c>
      <c r="K713" t="s">
        <v>74</v>
      </c>
      <c r="L713" t="s">
        <v>74</v>
      </c>
      <c r="M713" t="s">
        <v>78</v>
      </c>
      <c r="N713" t="s">
        <v>273</v>
      </c>
      <c r="O713" t="s">
        <v>74</v>
      </c>
      <c r="P713" t="s">
        <v>74</v>
      </c>
      <c r="Q713" t="s">
        <v>74</v>
      </c>
      <c r="R713" t="s">
        <v>74</v>
      </c>
      <c r="S713" t="s">
        <v>74</v>
      </c>
      <c r="T713" t="s">
        <v>74</v>
      </c>
      <c r="U713" t="s">
        <v>13741</v>
      </c>
      <c r="V713" t="s">
        <v>13742</v>
      </c>
      <c r="W713" t="s">
        <v>13743</v>
      </c>
      <c r="X713" t="s">
        <v>13744</v>
      </c>
      <c r="Y713" t="s">
        <v>13745</v>
      </c>
      <c r="Z713" t="s">
        <v>13746</v>
      </c>
      <c r="AA713" t="s">
        <v>13747</v>
      </c>
      <c r="AB713" t="s">
        <v>13748</v>
      </c>
      <c r="AC713" t="s">
        <v>13749</v>
      </c>
      <c r="AD713" t="s">
        <v>13750</v>
      </c>
      <c r="AE713" t="s">
        <v>13751</v>
      </c>
      <c r="AF713" t="s">
        <v>74</v>
      </c>
      <c r="AG713">
        <v>205</v>
      </c>
      <c r="AH713">
        <v>150</v>
      </c>
      <c r="AI713">
        <v>165</v>
      </c>
      <c r="AJ713">
        <v>11</v>
      </c>
      <c r="AK713">
        <v>201</v>
      </c>
      <c r="AL713" t="s">
        <v>285</v>
      </c>
      <c r="AM713" t="s">
        <v>286</v>
      </c>
      <c r="AN713" t="s">
        <v>287</v>
      </c>
      <c r="AO713" t="s">
        <v>13752</v>
      </c>
      <c r="AP713" t="s">
        <v>13753</v>
      </c>
      <c r="AQ713" t="s">
        <v>74</v>
      </c>
      <c r="AR713" t="s">
        <v>13740</v>
      </c>
      <c r="AS713" t="s">
        <v>13754</v>
      </c>
      <c r="AT713" t="s">
        <v>13683</v>
      </c>
      <c r="AU713">
        <v>2017</v>
      </c>
      <c r="AV713">
        <v>13</v>
      </c>
      <c r="AW713">
        <v>28</v>
      </c>
      <c r="AX713" t="s">
        <v>74</v>
      </c>
      <c r="AY713" t="s">
        <v>74</v>
      </c>
      <c r="AZ713" t="s">
        <v>74</v>
      </c>
      <c r="BA713" t="s">
        <v>74</v>
      </c>
      <c r="BB713">
        <v>4808</v>
      </c>
      <c r="BC713">
        <v>4823</v>
      </c>
      <c r="BD713" t="s">
        <v>74</v>
      </c>
      <c r="BE713" t="s">
        <v>13755</v>
      </c>
      <c r="BF713" t="str">
        <f>HYPERLINK("http://dx.doi.org/10.1039/c6sm02867e","http://dx.doi.org/10.1039/c6sm02867e")</f>
        <v>http://dx.doi.org/10.1039/c6sm02867e</v>
      </c>
      <c r="BG713" t="s">
        <v>74</v>
      </c>
      <c r="BH713" t="s">
        <v>74</v>
      </c>
      <c r="BI713">
        <v>16</v>
      </c>
      <c r="BJ713" t="s">
        <v>13756</v>
      </c>
      <c r="BK713" t="s">
        <v>101</v>
      </c>
      <c r="BL713" t="s">
        <v>13757</v>
      </c>
      <c r="BM713" t="s">
        <v>13758</v>
      </c>
      <c r="BN713">
        <v>28657626</v>
      </c>
      <c r="BO713" t="s">
        <v>3962</v>
      </c>
      <c r="BP713" t="s">
        <v>74</v>
      </c>
      <c r="BQ713" t="s">
        <v>74</v>
      </c>
      <c r="BR713" t="s">
        <v>105</v>
      </c>
      <c r="BS713" t="s">
        <v>13759</v>
      </c>
      <c r="BT713" t="str">
        <f>HYPERLINK("https%3A%2F%2Fwww.webofscience.com%2Fwos%2Fwoscc%2Ffull-record%2FWOS:000406101800001","View Full Record in Web of Science")</f>
        <v>View Full Record in Web of Science</v>
      </c>
    </row>
    <row r="714" spans="1:72" x14ac:dyDescent="0.15">
      <c r="A714" t="s">
        <v>72</v>
      </c>
      <c r="B714" t="s">
        <v>13760</v>
      </c>
      <c r="C714" t="s">
        <v>74</v>
      </c>
      <c r="D714" t="s">
        <v>74</v>
      </c>
      <c r="E714" t="s">
        <v>74</v>
      </c>
      <c r="F714" t="s">
        <v>13761</v>
      </c>
      <c r="G714" t="s">
        <v>74</v>
      </c>
      <c r="H714" t="s">
        <v>74</v>
      </c>
      <c r="I714" t="s">
        <v>13762</v>
      </c>
      <c r="J714" t="s">
        <v>144</v>
      </c>
      <c r="K714" t="s">
        <v>74</v>
      </c>
      <c r="L714" t="s">
        <v>74</v>
      </c>
      <c r="M714" t="s">
        <v>78</v>
      </c>
      <c r="N714" t="s">
        <v>79</v>
      </c>
      <c r="O714" t="s">
        <v>74</v>
      </c>
      <c r="P714" t="s">
        <v>74</v>
      </c>
      <c r="Q714" t="s">
        <v>74</v>
      </c>
      <c r="R714" t="s">
        <v>74</v>
      </c>
      <c r="S714" t="s">
        <v>74</v>
      </c>
      <c r="T714" t="s">
        <v>74</v>
      </c>
      <c r="U714" t="s">
        <v>13763</v>
      </c>
      <c r="V714" t="s">
        <v>13764</v>
      </c>
      <c r="W714" t="s">
        <v>13765</v>
      </c>
      <c r="X714" t="s">
        <v>13766</v>
      </c>
      <c r="Y714" t="s">
        <v>13767</v>
      </c>
      <c r="Z714" t="s">
        <v>13768</v>
      </c>
      <c r="AA714" t="s">
        <v>74</v>
      </c>
      <c r="AB714" t="s">
        <v>13769</v>
      </c>
      <c r="AC714" t="s">
        <v>13770</v>
      </c>
      <c r="AD714" t="s">
        <v>13771</v>
      </c>
      <c r="AE714" t="s">
        <v>13772</v>
      </c>
      <c r="AF714" t="s">
        <v>74</v>
      </c>
      <c r="AG714">
        <v>48</v>
      </c>
      <c r="AH714">
        <v>21</v>
      </c>
      <c r="AI714">
        <v>21</v>
      </c>
      <c r="AJ714">
        <v>0</v>
      </c>
      <c r="AK714">
        <v>8</v>
      </c>
      <c r="AL714" t="s">
        <v>91</v>
      </c>
      <c r="AM714" t="s">
        <v>92</v>
      </c>
      <c r="AN714" t="s">
        <v>93</v>
      </c>
      <c r="AO714" t="s">
        <v>156</v>
      </c>
      <c r="AP714" t="s">
        <v>157</v>
      </c>
      <c r="AQ714" t="s">
        <v>74</v>
      </c>
      <c r="AR714" t="s">
        <v>158</v>
      </c>
      <c r="AS714" t="s">
        <v>159</v>
      </c>
      <c r="AT714" t="s">
        <v>13773</v>
      </c>
      <c r="AU714">
        <v>2017</v>
      </c>
      <c r="AV714">
        <v>122</v>
      </c>
      <c r="AW714">
        <v>14</v>
      </c>
      <c r="AX714" t="s">
        <v>74</v>
      </c>
      <c r="AY714" t="s">
        <v>74</v>
      </c>
      <c r="AZ714" t="s">
        <v>74</v>
      </c>
      <c r="BA714" t="s">
        <v>74</v>
      </c>
      <c r="BB714">
        <v>7355</v>
      </c>
      <c r="BC714">
        <v>7370</v>
      </c>
      <c r="BD714" t="s">
        <v>74</v>
      </c>
      <c r="BE714" t="s">
        <v>13774</v>
      </c>
      <c r="BF714" t="str">
        <f>HYPERLINK("http://dx.doi.org/10.1002/2017JD026615","http://dx.doi.org/10.1002/2017JD026615")</f>
        <v>http://dx.doi.org/10.1002/2017JD026615</v>
      </c>
      <c r="BG714" t="s">
        <v>74</v>
      </c>
      <c r="BH714" t="s">
        <v>74</v>
      </c>
      <c r="BI714">
        <v>16</v>
      </c>
      <c r="BJ714" t="s">
        <v>162</v>
      </c>
      <c r="BK714" t="s">
        <v>101</v>
      </c>
      <c r="BL714" t="s">
        <v>162</v>
      </c>
      <c r="BM714" t="s">
        <v>13775</v>
      </c>
      <c r="BN714" t="s">
        <v>74</v>
      </c>
      <c r="BO714" t="s">
        <v>633</v>
      </c>
      <c r="BP714" t="s">
        <v>74</v>
      </c>
      <c r="BQ714" t="s">
        <v>74</v>
      </c>
      <c r="BR714" t="s">
        <v>105</v>
      </c>
      <c r="BS714" t="s">
        <v>13776</v>
      </c>
      <c r="BT714" t="str">
        <f>HYPERLINK("https%3A%2F%2Fwww.webofscience.com%2Fwos%2Fwoscc%2Ffull-record%2FWOS:000408346000009","View Full Record in Web of Science")</f>
        <v>View Full Record in Web of Science</v>
      </c>
    </row>
    <row r="715" spans="1:72" x14ac:dyDescent="0.15">
      <c r="A715" t="s">
        <v>72</v>
      </c>
      <c r="B715" t="s">
        <v>13777</v>
      </c>
      <c r="C715" t="s">
        <v>74</v>
      </c>
      <c r="D715" t="s">
        <v>74</v>
      </c>
      <c r="E715" t="s">
        <v>74</v>
      </c>
      <c r="F715" t="s">
        <v>13778</v>
      </c>
      <c r="G715" t="s">
        <v>74</v>
      </c>
      <c r="H715" t="s">
        <v>74</v>
      </c>
      <c r="I715" t="s">
        <v>13779</v>
      </c>
      <c r="J715" t="s">
        <v>144</v>
      </c>
      <c r="K715" t="s">
        <v>74</v>
      </c>
      <c r="L715" t="s">
        <v>74</v>
      </c>
      <c r="M715" t="s">
        <v>78</v>
      </c>
      <c r="N715" t="s">
        <v>79</v>
      </c>
      <c r="O715" t="s">
        <v>74</v>
      </c>
      <c r="P715" t="s">
        <v>74</v>
      </c>
      <c r="Q715" t="s">
        <v>74</v>
      </c>
      <c r="R715" t="s">
        <v>74</v>
      </c>
      <c r="S715" t="s">
        <v>74</v>
      </c>
      <c r="T715" t="s">
        <v>74</v>
      </c>
      <c r="U715" t="s">
        <v>13780</v>
      </c>
      <c r="V715" t="s">
        <v>13781</v>
      </c>
      <c r="W715" t="s">
        <v>13782</v>
      </c>
      <c r="X715" t="s">
        <v>13783</v>
      </c>
      <c r="Y715" t="s">
        <v>13784</v>
      </c>
      <c r="Z715" t="s">
        <v>13785</v>
      </c>
      <c r="AA715" t="s">
        <v>13786</v>
      </c>
      <c r="AB715" t="s">
        <v>13787</v>
      </c>
      <c r="AC715" t="s">
        <v>13788</v>
      </c>
      <c r="AD715" t="s">
        <v>13789</v>
      </c>
      <c r="AE715" t="s">
        <v>13790</v>
      </c>
      <c r="AF715" t="s">
        <v>74</v>
      </c>
      <c r="AG715">
        <v>45</v>
      </c>
      <c r="AH715">
        <v>17</v>
      </c>
      <c r="AI715">
        <v>17</v>
      </c>
      <c r="AJ715">
        <v>0</v>
      </c>
      <c r="AK715">
        <v>17</v>
      </c>
      <c r="AL715" t="s">
        <v>91</v>
      </c>
      <c r="AM715" t="s">
        <v>92</v>
      </c>
      <c r="AN715" t="s">
        <v>93</v>
      </c>
      <c r="AO715" t="s">
        <v>156</v>
      </c>
      <c r="AP715" t="s">
        <v>157</v>
      </c>
      <c r="AQ715" t="s">
        <v>74</v>
      </c>
      <c r="AR715" t="s">
        <v>158</v>
      </c>
      <c r="AS715" t="s">
        <v>159</v>
      </c>
      <c r="AT715" t="s">
        <v>13773</v>
      </c>
      <c r="AU715">
        <v>2017</v>
      </c>
      <c r="AV715">
        <v>122</v>
      </c>
      <c r="AW715">
        <v>14</v>
      </c>
      <c r="AX715" t="s">
        <v>74</v>
      </c>
      <c r="AY715" t="s">
        <v>74</v>
      </c>
      <c r="AZ715" t="s">
        <v>74</v>
      </c>
      <c r="BA715" t="s">
        <v>74</v>
      </c>
      <c r="BB715">
        <v>7630</v>
      </c>
      <c r="BC715">
        <v>7645</v>
      </c>
      <c r="BD715" t="s">
        <v>74</v>
      </c>
      <c r="BE715" t="s">
        <v>13791</v>
      </c>
      <c r="BF715" t="str">
        <f>HYPERLINK("http://dx.doi.org/10.1002/2017JD026626","http://dx.doi.org/10.1002/2017JD026626")</f>
        <v>http://dx.doi.org/10.1002/2017JD026626</v>
      </c>
      <c r="BG715" t="s">
        <v>74</v>
      </c>
      <c r="BH715" t="s">
        <v>74</v>
      </c>
      <c r="BI715">
        <v>16</v>
      </c>
      <c r="BJ715" t="s">
        <v>162</v>
      </c>
      <c r="BK715" t="s">
        <v>101</v>
      </c>
      <c r="BL715" t="s">
        <v>162</v>
      </c>
      <c r="BM715" t="s">
        <v>13775</v>
      </c>
      <c r="BN715" t="s">
        <v>74</v>
      </c>
      <c r="BO715" t="s">
        <v>633</v>
      </c>
      <c r="BP715" t="s">
        <v>74</v>
      </c>
      <c r="BQ715" t="s">
        <v>74</v>
      </c>
      <c r="BR715" t="s">
        <v>105</v>
      </c>
      <c r="BS715" t="s">
        <v>13792</v>
      </c>
      <c r="BT715" t="str">
        <f>HYPERLINK("https%3A%2F%2Fwww.webofscience.com%2Fwos%2Fwoscc%2Ffull-record%2FWOS:000408346000025","View Full Record in Web of Science")</f>
        <v>View Full Record in Web of Science</v>
      </c>
    </row>
    <row r="716" spans="1:72" x14ac:dyDescent="0.15">
      <c r="A716" t="s">
        <v>72</v>
      </c>
      <c r="B716" t="s">
        <v>13793</v>
      </c>
      <c r="C716" t="s">
        <v>74</v>
      </c>
      <c r="D716" t="s">
        <v>74</v>
      </c>
      <c r="E716" t="s">
        <v>74</v>
      </c>
      <c r="F716" t="s">
        <v>13794</v>
      </c>
      <c r="G716" t="s">
        <v>74</v>
      </c>
      <c r="H716" t="s">
        <v>74</v>
      </c>
      <c r="I716" t="s">
        <v>13795</v>
      </c>
      <c r="J716" t="s">
        <v>903</v>
      </c>
      <c r="K716" t="s">
        <v>74</v>
      </c>
      <c r="L716" t="s">
        <v>74</v>
      </c>
      <c r="M716" t="s">
        <v>78</v>
      </c>
      <c r="N716" t="s">
        <v>79</v>
      </c>
      <c r="O716" t="s">
        <v>74</v>
      </c>
      <c r="P716" t="s">
        <v>74</v>
      </c>
      <c r="Q716" t="s">
        <v>74</v>
      </c>
      <c r="R716" t="s">
        <v>74</v>
      </c>
      <c r="S716" t="s">
        <v>74</v>
      </c>
      <c r="T716" t="s">
        <v>74</v>
      </c>
      <c r="U716" t="s">
        <v>13796</v>
      </c>
      <c r="V716" t="s">
        <v>13797</v>
      </c>
      <c r="W716" t="s">
        <v>13798</v>
      </c>
      <c r="X716" t="s">
        <v>13799</v>
      </c>
      <c r="Y716" t="s">
        <v>13800</v>
      </c>
      <c r="Z716" t="s">
        <v>13801</v>
      </c>
      <c r="AA716" t="s">
        <v>13802</v>
      </c>
      <c r="AB716" t="s">
        <v>13803</v>
      </c>
      <c r="AC716" t="s">
        <v>13804</v>
      </c>
      <c r="AD716" t="s">
        <v>13805</v>
      </c>
      <c r="AE716" t="s">
        <v>13806</v>
      </c>
      <c r="AF716" t="s">
        <v>74</v>
      </c>
      <c r="AG716">
        <v>83</v>
      </c>
      <c r="AH716">
        <v>35</v>
      </c>
      <c r="AI716">
        <v>39</v>
      </c>
      <c r="AJ716">
        <v>0</v>
      </c>
      <c r="AK716">
        <v>37</v>
      </c>
      <c r="AL716" t="s">
        <v>311</v>
      </c>
      <c r="AM716" t="s">
        <v>312</v>
      </c>
      <c r="AN716" t="s">
        <v>313</v>
      </c>
      <c r="AO716" t="s">
        <v>915</v>
      </c>
      <c r="AP716" t="s">
        <v>916</v>
      </c>
      <c r="AQ716" t="s">
        <v>74</v>
      </c>
      <c r="AR716" t="s">
        <v>917</v>
      </c>
      <c r="AS716" t="s">
        <v>918</v>
      </c>
      <c r="AT716" t="s">
        <v>13773</v>
      </c>
      <c r="AU716">
        <v>2017</v>
      </c>
      <c r="AV716">
        <v>13</v>
      </c>
      <c r="AW716">
        <v>7</v>
      </c>
      <c r="AX716" t="s">
        <v>74</v>
      </c>
      <c r="AY716" t="s">
        <v>74</v>
      </c>
      <c r="AZ716" t="s">
        <v>74</v>
      </c>
      <c r="BA716" t="s">
        <v>74</v>
      </c>
      <c r="BB716">
        <v>959</v>
      </c>
      <c r="BC716">
        <v>975</v>
      </c>
      <c r="BD716" t="s">
        <v>74</v>
      </c>
      <c r="BE716" t="s">
        <v>13807</v>
      </c>
      <c r="BF716" t="str">
        <f>HYPERLINK("http://dx.doi.org/10.5194/cp-13-959-2017","http://dx.doi.org/10.5194/cp-13-959-2017")</f>
        <v>http://dx.doi.org/10.5194/cp-13-959-2017</v>
      </c>
      <c r="BG716" t="s">
        <v>74</v>
      </c>
      <c r="BH716" t="s">
        <v>74</v>
      </c>
      <c r="BI716">
        <v>17</v>
      </c>
      <c r="BJ716" t="s">
        <v>920</v>
      </c>
      <c r="BK716" t="s">
        <v>101</v>
      </c>
      <c r="BL716" t="s">
        <v>921</v>
      </c>
      <c r="BM716" t="s">
        <v>13808</v>
      </c>
      <c r="BN716" t="s">
        <v>74</v>
      </c>
      <c r="BO716" t="s">
        <v>10261</v>
      </c>
      <c r="BP716" t="s">
        <v>74</v>
      </c>
      <c r="BQ716" t="s">
        <v>74</v>
      </c>
      <c r="BR716" t="s">
        <v>105</v>
      </c>
      <c r="BS716" t="s">
        <v>13809</v>
      </c>
      <c r="BT716" t="str">
        <f>HYPERLINK("https%3A%2F%2Fwww.webofscience.com%2Fwos%2Fwoscc%2Ffull-record%2FWOS:000406408600001","View Full Record in Web of Science")</f>
        <v>View Full Record in Web of Science</v>
      </c>
    </row>
    <row r="717" spans="1:72" x14ac:dyDescent="0.15">
      <c r="A717" t="s">
        <v>72</v>
      </c>
      <c r="B717" t="s">
        <v>13810</v>
      </c>
      <c r="C717" t="s">
        <v>74</v>
      </c>
      <c r="D717" t="s">
        <v>74</v>
      </c>
      <c r="E717" t="s">
        <v>74</v>
      </c>
      <c r="F717" t="s">
        <v>13811</v>
      </c>
      <c r="G717" t="s">
        <v>74</v>
      </c>
      <c r="H717" t="s">
        <v>74</v>
      </c>
      <c r="I717" t="s">
        <v>13812</v>
      </c>
      <c r="J717" t="s">
        <v>144</v>
      </c>
      <c r="K717" t="s">
        <v>74</v>
      </c>
      <c r="L717" t="s">
        <v>74</v>
      </c>
      <c r="M717" t="s">
        <v>78</v>
      </c>
      <c r="N717" t="s">
        <v>79</v>
      </c>
      <c r="O717" t="s">
        <v>74</v>
      </c>
      <c r="P717" t="s">
        <v>74</v>
      </c>
      <c r="Q717" t="s">
        <v>74</v>
      </c>
      <c r="R717" t="s">
        <v>74</v>
      </c>
      <c r="S717" t="s">
        <v>74</v>
      </c>
      <c r="T717" t="s">
        <v>74</v>
      </c>
      <c r="U717" t="s">
        <v>13813</v>
      </c>
      <c r="V717" t="s">
        <v>13814</v>
      </c>
      <c r="W717" t="s">
        <v>13815</v>
      </c>
      <c r="X717" t="s">
        <v>13816</v>
      </c>
      <c r="Y717" t="s">
        <v>13817</v>
      </c>
      <c r="Z717" t="s">
        <v>13818</v>
      </c>
      <c r="AA717" t="s">
        <v>13819</v>
      </c>
      <c r="AB717" t="s">
        <v>13820</v>
      </c>
      <c r="AC717" t="s">
        <v>13821</v>
      </c>
      <c r="AD717" t="s">
        <v>13822</v>
      </c>
      <c r="AE717" t="s">
        <v>13823</v>
      </c>
      <c r="AF717" t="s">
        <v>74</v>
      </c>
      <c r="AG717">
        <v>111</v>
      </c>
      <c r="AH717">
        <v>8</v>
      </c>
      <c r="AI717">
        <v>8</v>
      </c>
      <c r="AJ717">
        <v>1</v>
      </c>
      <c r="AK717">
        <v>17</v>
      </c>
      <c r="AL717" t="s">
        <v>91</v>
      </c>
      <c r="AM717" t="s">
        <v>92</v>
      </c>
      <c r="AN717" t="s">
        <v>93</v>
      </c>
      <c r="AO717" t="s">
        <v>156</v>
      </c>
      <c r="AP717" t="s">
        <v>157</v>
      </c>
      <c r="AQ717" t="s">
        <v>74</v>
      </c>
      <c r="AR717" t="s">
        <v>158</v>
      </c>
      <c r="AS717" t="s">
        <v>159</v>
      </c>
      <c r="AT717" t="s">
        <v>13773</v>
      </c>
      <c r="AU717">
        <v>2017</v>
      </c>
      <c r="AV717">
        <v>122</v>
      </c>
      <c r="AW717">
        <v>14</v>
      </c>
      <c r="AX717" t="s">
        <v>74</v>
      </c>
      <c r="AY717" t="s">
        <v>74</v>
      </c>
      <c r="AZ717" t="s">
        <v>74</v>
      </c>
      <c r="BA717" t="s">
        <v>74</v>
      </c>
      <c r="BB717">
        <v>7678</v>
      </c>
      <c r="BC717">
        <v>7701</v>
      </c>
      <c r="BD717" t="s">
        <v>74</v>
      </c>
      <c r="BE717" t="s">
        <v>13824</v>
      </c>
      <c r="BF717" t="str">
        <f>HYPERLINK("http://dx.doi.org/10.1002/2017JD027218","http://dx.doi.org/10.1002/2017JD027218")</f>
        <v>http://dx.doi.org/10.1002/2017JD027218</v>
      </c>
      <c r="BG717" t="s">
        <v>74</v>
      </c>
      <c r="BH717" t="s">
        <v>74</v>
      </c>
      <c r="BI717">
        <v>24</v>
      </c>
      <c r="BJ717" t="s">
        <v>162</v>
      </c>
      <c r="BK717" t="s">
        <v>101</v>
      </c>
      <c r="BL717" t="s">
        <v>162</v>
      </c>
      <c r="BM717" t="s">
        <v>13775</v>
      </c>
      <c r="BN717" t="s">
        <v>74</v>
      </c>
      <c r="BO717" t="s">
        <v>1240</v>
      </c>
      <c r="BP717" t="s">
        <v>74</v>
      </c>
      <c r="BQ717" t="s">
        <v>74</v>
      </c>
      <c r="BR717" t="s">
        <v>105</v>
      </c>
      <c r="BS717" t="s">
        <v>13825</v>
      </c>
      <c r="BT717" t="str">
        <f>HYPERLINK("https%3A%2F%2Fwww.webofscience.com%2Fwos%2Fwoscc%2Ffull-record%2FWOS:000408346000028","View Full Record in Web of Science")</f>
        <v>View Full Record in Web of Science</v>
      </c>
    </row>
    <row r="718" spans="1:72" x14ac:dyDescent="0.15">
      <c r="A718" t="s">
        <v>72</v>
      </c>
      <c r="B718" t="s">
        <v>13826</v>
      </c>
      <c r="C718" t="s">
        <v>74</v>
      </c>
      <c r="D718" t="s">
        <v>74</v>
      </c>
      <c r="E718" t="s">
        <v>74</v>
      </c>
      <c r="F718" t="s">
        <v>13827</v>
      </c>
      <c r="G718" t="s">
        <v>74</v>
      </c>
      <c r="H718" t="s">
        <v>74</v>
      </c>
      <c r="I718" t="s">
        <v>13828</v>
      </c>
      <c r="J718" t="s">
        <v>4399</v>
      </c>
      <c r="K718" t="s">
        <v>74</v>
      </c>
      <c r="L718" t="s">
        <v>74</v>
      </c>
      <c r="M718" t="s">
        <v>78</v>
      </c>
      <c r="N718" t="s">
        <v>79</v>
      </c>
      <c r="O718" t="s">
        <v>74</v>
      </c>
      <c r="P718" t="s">
        <v>74</v>
      </c>
      <c r="Q718" t="s">
        <v>74</v>
      </c>
      <c r="R718" t="s">
        <v>74</v>
      </c>
      <c r="S718" t="s">
        <v>74</v>
      </c>
      <c r="T718" t="s">
        <v>74</v>
      </c>
      <c r="U718" t="s">
        <v>13829</v>
      </c>
      <c r="V718" t="s">
        <v>13830</v>
      </c>
      <c r="W718" t="s">
        <v>13831</v>
      </c>
      <c r="X718" t="s">
        <v>13832</v>
      </c>
      <c r="Y718" t="s">
        <v>13833</v>
      </c>
      <c r="Z718" t="s">
        <v>13834</v>
      </c>
      <c r="AA718" t="s">
        <v>74</v>
      </c>
      <c r="AB718" t="s">
        <v>13835</v>
      </c>
      <c r="AC718" t="s">
        <v>13836</v>
      </c>
      <c r="AD718" t="s">
        <v>13837</v>
      </c>
      <c r="AE718" t="s">
        <v>13838</v>
      </c>
      <c r="AF718" t="s">
        <v>74</v>
      </c>
      <c r="AG718">
        <v>48</v>
      </c>
      <c r="AH718">
        <v>31</v>
      </c>
      <c r="AI718">
        <v>32</v>
      </c>
      <c r="AJ718">
        <v>1</v>
      </c>
      <c r="AK718">
        <v>16</v>
      </c>
      <c r="AL718" t="s">
        <v>4411</v>
      </c>
      <c r="AM718" t="s">
        <v>4412</v>
      </c>
      <c r="AN718" t="s">
        <v>4413</v>
      </c>
      <c r="AO718" t="s">
        <v>4414</v>
      </c>
      <c r="AP718" t="s">
        <v>74</v>
      </c>
      <c r="AQ718" t="s">
        <v>74</v>
      </c>
      <c r="AR718" t="s">
        <v>4415</v>
      </c>
      <c r="AS718" t="s">
        <v>4416</v>
      </c>
      <c r="AT718" t="s">
        <v>13839</v>
      </c>
      <c r="AU718">
        <v>2017</v>
      </c>
      <c r="AV718">
        <v>5</v>
      </c>
      <c r="AW718" t="s">
        <v>74</v>
      </c>
      <c r="AX718" t="s">
        <v>74</v>
      </c>
      <c r="AY718" t="s">
        <v>74</v>
      </c>
      <c r="AZ718" t="s">
        <v>74</v>
      </c>
      <c r="BA718" t="s">
        <v>74</v>
      </c>
      <c r="BB718" t="s">
        <v>74</v>
      </c>
      <c r="BC718" t="s">
        <v>74</v>
      </c>
      <c r="BD718">
        <v>40</v>
      </c>
      <c r="BE718" t="s">
        <v>13840</v>
      </c>
      <c r="BF718" t="str">
        <f>HYPERLINK("http://dx.doi.org/10.1525/elementa.232","http://dx.doi.org/10.1525/elementa.232")</f>
        <v>http://dx.doi.org/10.1525/elementa.232</v>
      </c>
      <c r="BG718" t="s">
        <v>74</v>
      </c>
      <c r="BH718" t="s">
        <v>74</v>
      </c>
      <c r="BI718">
        <v>25</v>
      </c>
      <c r="BJ718" t="s">
        <v>834</v>
      </c>
      <c r="BK718" t="s">
        <v>101</v>
      </c>
      <c r="BL718" t="s">
        <v>835</v>
      </c>
      <c r="BM718" t="s">
        <v>13841</v>
      </c>
      <c r="BN718" t="s">
        <v>74</v>
      </c>
      <c r="BO718" t="s">
        <v>3771</v>
      </c>
      <c r="BP718" t="s">
        <v>74</v>
      </c>
      <c r="BQ718" t="s">
        <v>74</v>
      </c>
      <c r="BR718" t="s">
        <v>105</v>
      </c>
      <c r="BS718" t="s">
        <v>13842</v>
      </c>
      <c r="BT718" t="str">
        <f>HYPERLINK("https%3A%2F%2Fwww.webofscience.com%2Fwos%2Fwoscc%2Ffull-record%2FWOS:000406265900001","View Full Record in Web of Science")</f>
        <v>View Full Record in Web of Science</v>
      </c>
    </row>
    <row r="719" spans="1:72" x14ac:dyDescent="0.15">
      <c r="A719" t="s">
        <v>72</v>
      </c>
      <c r="B719" t="s">
        <v>13843</v>
      </c>
      <c r="C719" t="s">
        <v>74</v>
      </c>
      <c r="D719" t="s">
        <v>74</v>
      </c>
      <c r="E719" t="s">
        <v>74</v>
      </c>
      <c r="F719" t="s">
        <v>13844</v>
      </c>
      <c r="G719" t="s">
        <v>74</v>
      </c>
      <c r="H719" t="s">
        <v>74</v>
      </c>
      <c r="I719" t="s">
        <v>13845</v>
      </c>
      <c r="J719" t="s">
        <v>13846</v>
      </c>
      <c r="K719" t="s">
        <v>74</v>
      </c>
      <c r="L719" t="s">
        <v>74</v>
      </c>
      <c r="M719" t="s">
        <v>78</v>
      </c>
      <c r="N719" t="s">
        <v>79</v>
      </c>
      <c r="O719" t="s">
        <v>74</v>
      </c>
      <c r="P719" t="s">
        <v>74</v>
      </c>
      <c r="Q719" t="s">
        <v>74</v>
      </c>
      <c r="R719" t="s">
        <v>74</v>
      </c>
      <c r="S719" t="s">
        <v>74</v>
      </c>
      <c r="T719" t="s">
        <v>74</v>
      </c>
      <c r="U719" t="s">
        <v>13847</v>
      </c>
      <c r="V719" t="s">
        <v>13848</v>
      </c>
      <c r="W719" t="s">
        <v>13849</v>
      </c>
      <c r="X719" t="s">
        <v>13850</v>
      </c>
      <c r="Y719" t="s">
        <v>13851</v>
      </c>
      <c r="Z719" t="s">
        <v>13852</v>
      </c>
      <c r="AA719" t="s">
        <v>13853</v>
      </c>
      <c r="AB719" t="s">
        <v>13854</v>
      </c>
      <c r="AC719" t="s">
        <v>13855</v>
      </c>
      <c r="AD719" t="s">
        <v>13856</v>
      </c>
      <c r="AE719" t="s">
        <v>13857</v>
      </c>
      <c r="AF719" t="s">
        <v>74</v>
      </c>
      <c r="AG719">
        <v>92</v>
      </c>
      <c r="AH719">
        <v>71</v>
      </c>
      <c r="AI719">
        <v>73</v>
      </c>
      <c r="AJ719">
        <v>1</v>
      </c>
      <c r="AK719">
        <v>15</v>
      </c>
      <c r="AL719" t="s">
        <v>311</v>
      </c>
      <c r="AM719" t="s">
        <v>312</v>
      </c>
      <c r="AN719" t="s">
        <v>313</v>
      </c>
      <c r="AO719" t="s">
        <v>13858</v>
      </c>
      <c r="AP719" t="s">
        <v>13859</v>
      </c>
      <c r="AQ719" t="s">
        <v>74</v>
      </c>
      <c r="AR719" t="s">
        <v>13860</v>
      </c>
      <c r="AS719" t="s">
        <v>13861</v>
      </c>
      <c r="AT719" t="s">
        <v>13839</v>
      </c>
      <c r="AU719">
        <v>2017</v>
      </c>
      <c r="AV719">
        <v>10</v>
      </c>
      <c r="AW719">
        <v>7</v>
      </c>
      <c r="AX719" t="s">
        <v>74</v>
      </c>
      <c r="AY719" t="s">
        <v>74</v>
      </c>
      <c r="AZ719" t="s">
        <v>74</v>
      </c>
      <c r="BA719" t="s">
        <v>74</v>
      </c>
      <c r="BB719" t="s">
        <v>74</v>
      </c>
      <c r="BC719" t="s">
        <v>74</v>
      </c>
      <c r="BD719" t="s">
        <v>74</v>
      </c>
      <c r="BE719" t="s">
        <v>13862</v>
      </c>
      <c r="BF719" t="str">
        <f>HYPERLINK("http://dx.doi.org/10.5194/gmd-10-2849-2017","http://dx.doi.org/10.5194/gmd-10-2849-2017")</f>
        <v>http://dx.doi.org/10.5194/gmd-10-2849-2017</v>
      </c>
      <c r="BG719" t="s">
        <v>74</v>
      </c>
      <c r="BH719" t="s">
        <v>74</v>
      </c>
      <c r="BI719">
        <v>26</v>
      </c>
      <c r="BJ719" t="s">
        <v>100</v>
      </c>
      <c r="BK719" t="s">
        <v>101</v>
      </c>
      <c r="BL719" t="s">
        <v>102</v>
      </c>
      <c r="BM719" t="s">
        <v>13863</v>
      </c>
      <c r="BN719" t="s">
        <v>74</v>
      </c>
      <c r="BO719" t="s">
        <v>837</v>
      </c>
      <c r="BP719" t="s">
        <v>74</v>
      </c>
      <c r="BQ719" t="s">
        <v>74</v>
      </c>
      <c r="BR719" t="s">
        <v>105</v>
      </c>
      <c r="BS719" t="s">
        <v>13864</v>
      </c>
      <c r="BT719" t="str">
        <f>HYPERLINK("https%3A%2F%2Fwww.webofscience.com%2Fwos%2Fwoscc%2Ffull-record%2FWOS:000406350000001","View Full Record in Web of Science")</f>
        <v>View Full Record in Web of Science</v>
      </c>
    </row>
    <row r="720" spans="1:72" x14ac:dyDescent="0.15">
      <c r="A720" t="s">
        <v>72</v>
      </c>
      <c r="B720" t="s">
        <v>13865</v>
      </c>
      <c r="C720" t="s">
        <v>74</v>
      </c>
      <c r="D720" t="s">
        <v>74</v>
      </c>
      <c r="E720" t="s">
        <v>74</v>
      </c>
      <c r="F720" t="s">
        <v>13866</v>
      </c>
      <c r="G720" t="s">
        <v>74</v>
      </c>
      <c r="H720" t="s">
        <v>74</v>
      </c>
      <c r="I720" t="s">
        <v>13867</v>
      </c>
      <c r="J720" t="s">
        <v>4585</v>
      </c>
      <c r="K720" t="s">
        <v>74</v>
      </c>
      <c r="L720" t="s">
        <v>74</v>
      </c>
      <c r="M720" t="s">
        <v>78</v>
      </c>
      <c r="N720" t="s">
        <v>79</v>
      </c>
      <c r="O720" t="s">
        <v>74</v>
      </c>
      <c r="P720" t="s">
        <v>74</v>
      </c>
      <c r="Q720" t="s">
        <v>74</v>
      </c>
      <c r="R720" t="s">
        <v>74</v>
      </c>
      <c r="S720" t="s">
        <v>74</v>
      </c>
      <c r="T720" t="s">
        <v>13868</v>
      </c>
      <c r="U720" t="s">
        <v>13869</v>
      </c>
      <c r="V720" t="s">
        <v>13870</v>
      </c>
      <c r="W720" t="s">
        <v>13871</v>
      </c>
      <c r="X720" t="s">
        <v>13872</v>
      </c>
      <c r="Y720" t="s">
        <v>13873</v>
      </c>
      <c r="Z720" t="s">
        <v>13874</v>
      </c>
      <c r="AA720" t="s">
        <v>13875</v>
      </c>
      <c r="AB720" t="s">
        <v>13876</v>
      </c>
      <c r="AC720" t="s">
        <v>13877</v>
      </c>
      <c r="AD720" t="s">
        <v>13878</v>
      </c>
      <c r="AE720" t="s">
        <v>13879</v>
      </c>
      <c r="AF720" t="s">
        <v>74</v>
      </c>
      <c r="AG720">
        <v>64</v>
      </c>
      <c r="AH720">
        <v>13</v>
      </c>
      <c r="AI720">
        <v>14</v>
      </c>
      <c r="AJ720">
        <v>1</v>
      </c>
      <c r="AK720">
        <v>36</v>
      </c>
      <c r="AL720" t="s">
        <v>4597</v>
      </c>
      <c r="AM720" t="s">
        <v>182</v>
      </c>
      <c r="AN720" t="s">
        <v>4598</v>
      </c>
      <c r="AO720" t="s">
        <v>4599</v>
      </c>
      <c r="AP720" t="s">
        <v>74</v>
      </c>
      <c r="AQ720" t="s">
        <v>74</v>
      </c>
      <c r="AR720" t="s">
        <v>4585</v>
      </c>
      <c r="AS720" t="s">
        <v>4600</v>
      </c>
      <c r="AT720" t="s">
        <v>13880</v>
      </c>
      <c r="AU720">
        <v>2017</v>
      </c>
      <c r="AV720">
        <v>5</v>
      </c>
      <c r="AW720" t="s">
        <v>74</v>
      </c>
      <c r="AX720" t="s">
        <v>74</v>
      </c>
      <c r="AY720" t="s">
        <v>74</v>
      </c>
      <c r="AZ720" t="s">
        <v>74</v>
      </c>
      <c r="BA720" t="s">
        <v>74</v>
      </c>
      <c r="BB720" t="s">
        <v>74</v>
      </c>
      <c r="BC720" t="s">
        <v>74</v>
      </c>
      <c r="BD720" t="s">
        <v>13881</v>
      </c>
      <c r="BE720" t="s">
        <v>13882</v>
      </c>
      <c r="BF720" t="str">
        <f>HYPERLINK("http://dx.doi.org/10.7717/peerj.3377","http://dx.doi.org/10.7717/peerj.3377")</f>
        <v>http://dx.doi.org/10.7717/peerj.3377</v>
      </c>
      <c r="BG720" t="s">
        <v>74</v>
      </c>
      <c r="BH720" t="s">
        <v>74</v>
      </c>
      <c r="BI720">
        <v>18</v>
      </c>
      <c r="BJ720" t="s">
        <v>190</v>
      </c>
      <c r="BK720" t="s">
        <v>101</v>
      </c>
      <c r="BL720" t="s">
        <v>191</v>
      </c>
      <c r="BM720" t="s">
        <v>13883</v>
      </c>
      <c r="BN720">
        <v>28761776</v>
      </c>
      <c r="BO720" t="s">
        <v>1094</v>
      </c>
      <c r="BP720" t="s">
        <v>74</v>
      </c>
      <c r="BQ720" t="s">
        <v>74</v>
      </c>
      <c r="BR720" t="s">
        <v>105</v>
      </c>
      <c r="BS720" t="s">
        <v>13884</v>
      </c>
      <c r="BT720" t="str">
        <f>HYPERLINK("https%3A%2F%2Fwww.webofscience.com%2Fwos%2Fwoscc%2Ffull-record%2FWOS:000406376700011","View Full Record in Web of Science")</f>
        <v>View Full Record in Web of Science</v>
      </c>
    </row>
    <row r="721" spans="1:72" x14ac:dyDescent="0.15">
      <c r="A721" t="s">
        <v>72</v>
      </c>
      <c r="B721" t="s">
        <v>13885</v>
      </c>
      <c r="C721" t="s">
        <v>74</v>
      </c>
      <c r="D721" t="s">
        <v>74</v>
      </c>
      <c r="E721" t="s">
        <v>74</v>
      </c>
      <c r="F721" t="s">
        <v>13886</v>
      </c>
      <c r="G721" t="s">
        <v>74</v>
      </c>
      <c r="H721" t="s">
        <v>74</v>
      </c>
      <c r="I721" t="s">
        <v>13887</v>
      </c>
      <c r="J721" t="s">
        <v>860</v>
      </c>
      <c r="K721" t="s">
        <v>74</v>
      </c>
      <c r="L721" t="s">
        <v>74</v>
      </c>
      <c r="M721" t="s">
        <v>78</v>
      </c>
      <c r="N721" t="s">
        <v>79</v>
      </c>
      <c r="O721" t="s">
        <v>74</v>
      </c>
      <c r="P721" t="s">
        <v>74</v>
      </c>
      <c r="Q721" t="s">
        <v>74</v>
      </c>
      <c r="R721" t="s">
        <v>74</v>
      </c>
      <c r="S721" t="s">
        <v>74</v>
      </c>
      <c r="T721" t="s">
        <v>74</v>
      </c>
      <c r="U721" t="s">
        <v>13888</v>
      </c>
      <c r="V721" t="s">
        <v>13889</v>
      </c>
      <c r="W721" t="s">
        <v>13890</v>
      </c>
      <c r="X721" t="s">
        <v>13891</v>
      </c>
      <c r="Y721" t="s">
        <v>13892</v>
      </c>
      <c r="Z721" t="s">
        <v>13893</v>
      </c>
      <c r="AA721" t="s">
        <v>1506</v>
      </c>
      <c r="AB721" t="s">
        <v>13894</v>
      </c>
      <c r="AC721" t="s">
        <v>13895</v>
      </c>
      <c r="AD721" t="s">
        <v>13896</v>
      </c>
      <c r="AE721" t="s">
        <v>13897</v>
      </c>
      <c r="AF721" t="s">
        <v>74</v>
      </c>
      <c r="AG721">
        <v>58</v>
      </c>
      <c r="AH721">
        <v>12</v>
      </c>
      <c r="AI721">
        <v>12</v>
      </c>
      <c r="AJ721">
        <v>2</v>
      </c>
      <c r="AK721">
        <v>18</v>
      </c>
      <c r="AL721" t="s">
        <v>872</v>
      </c>
      <c r="AM721" t="s">
        <v>873</v>
      </c>
      <c r="AN721" t="s">
        <v>874</v>
      </c>
      <c r="AO721" t="s">
        <v>875</v>
      </c>
      <c r="AP721" t="s">
        <v>74</v>
      </c>
      <c r="AQ721" t="s">
        <v>74</v>
      </c>
      <c r="AR721" t="s">
        <v>860</v>
      </c>
      <c r="AS721" t="s">
        <v>876</v>
      </c>
      <c r="AT721" t="s">
        <v>13880</v>
      </c>
      <c r="AU721">
        <v>2017</v>
      </c>
      <c r="AV721">
        <v>12</v>
      </c>
      <c r="AW721">
        <v>7</v>
      </c>
      <c r="AX721" t="s">
        <v>74</v>
      </c>
      <c r="AY721" t="s">
        <v>74</v>
      </c>
      <c r="AZ721" t="s">
        <v>74</v>
      </c>
      <c r="BA721" t="s">
        <v>74</v>
      </c>
      <c r="BB721" t="s">
        <v>74</v>
      </c>
      <c r="BC721" t="s">
        <v>74</v>
      </c>
      <c r="BD721" t="s">
        <v>13898</v>
      </c>
      <c r="BE721" t="s">
        <v>13899</v>
      </c>
      <c r="BF721" t="str">
        <f>HYPERLINK("http://dx.doi.org/10.1371/journal.pone.0181593","http://dx.doi.org/10.1371/journal.pone.0181593")</f>
        <v>http://dx.doi.org/10.1371/journal.pone.0181593</v>
      </c>
      <c r="BG721" t="s">
        <v>74</v>
      </c>
      <c r="BH721" t="s">
        <v>74</v>
      </c>
      <c r="BI721">
        <v>16</v>
      </c>
      <c r="BJ721" t="s">
        <v>190</v>
      </c>
      <c r="BK721" t="s">
        <v>101</v>
      </c>
      <c r="BL721" t="s">
        <v>191</v>
      </c>
      <c r="BM721" t="s">
        <v>13900</v>
      </c>
      <c r="BN721">
        <v>28742864</v>
      </c>
      <c r="BO721" t="s">
        <v>13901</v>
      </c>
      <c r="BP721" t="s">
        <v>74</v>
      </c>
      <c r="BQ721" t="s">
        <v>74</v>
      </c>
      <c r="BR721" t="s">
        <v>105</v>
      </c>
      <c r="BS721" t="s">
        <v>13902</v>
      </c>
      <c r="BT721" t="str">
        <f>HYPERLINK("https%3A%2F%2Fwww.webofscience.com%2Fwos%2Fwoscc%2Ffull-record%2FWOS:000406370000041","View Full Record in Web of Science")</f>
        <v>View Full Record in Web of Science</v>
      </c>
    </row>
    <row r="722" spans="1:72" x14ac:dyDescent="0.15">
      <c r="A722" t="s">
        <v>72</v>
      </c>
      <c r="B722" t="s">
        <v>13903</v>
      </c>
      <c r="C722" t="s">
        <v>74</v>
      </c>
      <c r="D722" t="s">
        <v>74</v>
      </c>
      <c r="E722" t="s">
        <v>74</v>
      </c>
      <c r="F722" t="s">
        <v>13904</v>
      </c>
      <c r="G722" t="s">
        <v>74</v>
      </c>
      <c r="H722" t="s">
        <v>74</v>
      </c>
      <c r="I722" t="s">
        <v>13905</v>
      </c>
      <c r="J722" t="s">
        <v>638</v>
      </c>
      <c r="K722" t="s">
        <v>74</v>
      </c>
      <c r="L722" t="s">
        <v>74</v>
      </c>
      <c r="M722" t="s">
        <v>78</v>
      </c>
      <c r="N722" t="s">
        <v>79</v>
      </c>
      <c r="O722" t="s">
        <v>74</v>
      </c>
      <c r="P722" t="s">
        <v>74</v>
      </c>
      <c r="Q722" t="s">
        <v>74</v>
      </c>
      <c r="R722" t="s">
        <v>74</v>
      </c>
      <c r="S722" t="s">
        <v>74</v>
      </c>
      <c r="T722" t="s">
        <v>74</v>
      </c>
      <c r="U722" t="s">
        <v>13906</v>
      </c>
      <c r="V722" t="s">
        <v>13907</v>
      </c>
      <c r="W722" t="s">
        <v>13908</v>
      </c>
      <c r="X722" t="s">
        <v>13909</v>
      </c>
      <c r="Y722" t="s">
        <v>13910</v>
      </c>
      <c r="Z722" t="s">
        <v>13911</v>
      </c>
      <c r="AA722" t="s">
        <v>13912</v>
      </c>
      <c r="AB722" t="s">
        <v>13913</v>
      </c>
      <c r="AC722" t="s">
        <v>13914</v>
      </c>
      <c r="AD722" t="s">
        <v>13915</v>
      </c>
      <c r="AE722" t="s">
        <v>13916</v>
      </c>
      <c r="AF722" t="s">
        <v>74</v>
      </c>
      <c r="AG722">
        <v>57</v>
      </c>
      <c r="AH722">
        <v>8</v>
      </c>
      <c r="AI722">
        <v>8</v>
      </c>
      <c r="AJ722">
        <v>1</v>
      </c>
      <c r="AK722">
        <v>11</v>
      </c>
      <c r="AL722" t="s">
        <v>650</v>
      </c>
      <c r="AM722" t="s">
        <v>651</v>
      </c>
      <c r="AN722" t="s">
        <v>652</v>
      </c>
      <c r="AO722" t="s">
        <v>653</v>
      </c>
      <c r="AP722" t="s">
        <v>74</v>
      </c>
      <c r="AQ722" t="s">
        <v>74</v>
      </c>
      <c r="AR722" t="s">
        <v>654</v>
      </c>
      <c r="AS722" t="s">
        <v>655</v>
      </c>
      <c r="AT722" t="s">
        <v>13880</v>
      </c>
      <c r="AU722">
        <v>2017</v>
      </c>
      <c r="AV722">
        <v>7</v>
      </c>
      <c r="AW722" t="s">
        <v>74</v>
      </c>
      <c r="AX722" t="s">
        <v>74</v>
      </c>
      <c r="AY722" t="s">
        <v>74</v>
      </c>
      <c r="AZ722" t="s">
        <v>74</v>
      </c>
      <c r="BA722" t="s">
        <v>74</v>
      </c>
      <c r="BB722" t="s">
        <v>74</v>
      </c>
      <c r="BC722" t="s">
        <v>74</v>
      </c>
      <c r="BD722">
        <v>6368</v>
      </c>
      <c r="BE722" t="s">
        <v>13917</v>
      </c>
      <c r="BF722" t="str">
        <f>HYPERLINK("http://dx.doi.org/10.1038/s41598-017-06617-x","http://dx.doi.org/10.1038/s41598-017-06617-x")</f>
        <v>http://dx.doi.org/10.1038/s41598-017-06617-x</v>
      </c>
      <c r="BG722" t="s">
        <v>74</v>
      </c>
      <c r="BH722" t="s">
        <v>74</v>
      </c>
      <c r="BI722">
        <v>11</v>
      </c>
      <c r="BJ722" t="s">
        <v>190</v>
      </c>
      <c r="BK722" t="s">
        <v>101</v>
      </c>
      <c r="BL722" t="s">
        <v>191</v>
      </c>
      <c r="BM722" t="s">
        <v>13918</v>
      </c>
      <c r="BN722">
        <v>28743873</v>
      </c>
      <c r="BO722" t="s">
        <v>658</v>
      </c>
      <c r="BP722" t="s">
        <v>74</v>
      </c>
      <c r="BQ722" t="s">
        <v>74</v>
      </c>
      <c r="BR722" t="s">
        <v>105</v>
      </c>
      <c r="BS722" t="s">
        <v>13919</v>
      </c>
      <c r="BT722" t="str">
        <f>HYPERLINK("https%3A%2F%2Fwww.webofscience.com%2Fwos%2Fwoscc%2Ffull-record%2FWOS:000406277700010","View Full Record in Web of Science")</f>
        <v>View Full Record in Web of Science</v>
      </c>
    </row>
    <row r="723" spans="1:72" x14ac:dyDescent="0.15">
      <c r="A723" t="s">
        <v>72</v>
      </c>
      <c r="B723" t="s">
        <v>13920</v>
      </c>
      <c r="C723" t="s">
        <v>74</v>
      </c>
      <c r="D723" t="s">
        <v>74</v>
      </c>
      <c r="E723" t="s">
        <v>74</v>
      </c>
      <c r="F723" t="s">
        <v>13921</v>
      </c>
      <c r="G723" t="s">
        <v>74</v>
      </c>
      <c r="H723" t="s">
        <v>74</v>
      </c>
      <c r="I723" t="s">
        <v>13922</v>
      </c>
      <c r="J723" t="s">
        <v>13923</v>
      </c>
      <c r="K723" t="s">
        <v>74</v>
      </c>
      <c r="L723" t="s">
        <v>74</v>
      </c>
      <c r="M723" t="s">
        <v>78</v>
      </c>
      <c r="N723" t="s">
        <v>79</v>
      </c>
      <c r="O723" t="s">
        <v>74</v>
      </c>
      <c r="P723" t="s">
        <v>74</v>
      </c>
      <c r="Q723" t="s">
        <v>74</v>
      </c>
      <c r="R723" t="s">
        <v>74</v>
      </c>
      <c r="S723" t="s">
        <v>74</v>
      </c>
      <c r="T723" t="s">
        <v>13924</v>
      </c>
      <c r="U723" t="s">
        <v>13925</v>
      </c>
      <c r="V723" t="s">
        <v>13926</v>
      </c>
      <c r="W723" t="s">
        <v>13927</v>
      </c>
      <c r="X723" t="s">
        <v>13928</v>
      </c>
      <c r="Y723" t="s">
        <v>13929</v>
      </c>
      <c r="Z723" t="s">
        <v>13930</v>
      </c>
      <c r="AA723" t="s">
        <v>13931</v>
      </c>
      <c r="AB723" t="s">
        <v>13932</v>
      </c>
      <c r="AC723" t="s">
        <v>13933</v>
      </c>
      <c r="AD723" t="s">
        <v>13933</v>
      </c>
      <c r="AE723" t="s">
        <v>13934</v>
      </c>
      <c r="AF723" t="s">
        <v>74</v>
      </c>
      <c r="AG723">
        <v>46</v>
      </c>
      <c r="AH723">
        <v>7</v>
      </c>
      <c r="AI723">
        <v>8</v>
      </c>
      <c r="AJ723">
        <v>0</v>
      </c>
      <c r="AK723">
        <v>7</v>
      </c>
      <c r="AL723" t="s">
        <v>450</v>
      </c>
      <c r="AM723" t="s">
        <v>451</v>
      </c>
      <c r="AN723" t="s">
        <v>452</v>
      </c>
      <c r="AO723" t="s">
        <v>13935</v>
      </c>
      <c r="AP723" t="s">
        <v>74</v>
      </c>
      <c r="AQ723" t="s">
        <v>74</v>
      </c>
      <c r="AR723" t="s">
        <v>13936</v>
      </c>
      <c r="AS723" t="s">
        <v>13937</v>
      </c>
      <c r="AT723" t="s">
        <v>13880</v>
      </c>
      <c r="AU723">
        <v>2017</v>
      </c>
      <c r="AV723">
        <v>8</v>
      </c>
      <c r="AW723" t="s">
        <v>74</v>
      </c>
      <c r="AX723" t="s">
        <v>74</v>
      </c>
      <c r="AY723" t="s">
        <v>74</v>
      </c>
      <c r="AZ723" t="s">
        <v>74</v>
      </c>
      <c r="BA723" t="s">
        <v>74</v>
      </c>
      <c r="BB723" t="s">
        <v>74</v>
      </c>
      <c r="BC723" t="s">
        <v>74</v>
      </c>
      <c r="BD723">
        <v>532</v>
      </c>
      <c r="BE723" t="s">
        <v>13938</v>
      </c>
      <c r="BF723" t="str">
        <f>HYPERLINK("http://dx.doi.org/10.3389/fphys.2017.00532","http://dx.doi.org/10.3389/fphys.2017.00532")</f>
        <v>http://dx.doi.org/10.3389/fphys.2017.00532</v>
      </c>
      <c r="BG723" t="s">
        <v>74</v>
      </c>
      <c r="BH723" t="s">
        <v>74</v>
      </c>
      <c r="BI723">
        <v>10</v>
      </c>
      <c r="BJ723" t="s">
        <v>13939</v>
      </c>
      <c r="BK723" t="s">
        <v>101</v>
      </c>
      <c r="BL723" t="s">
        <v>13939</v>
      </c>
      <c r="BM723" t="s">
        <v>13940</v>
      </c>
      <c r="BN723">
        <v>28790930</v>
      </c>
      <c r="BO723" t="s">
        <v>459</v>
      </c>
      <c r="BP723" t="s">
        <v>74</v>
      </c>
      <c r="BQ723" t="s">
        <v>74</v>
      </c>
      <c r="BR723" t="s">
        <v>105</v>
      </c>
      <c r="BS723" t="s">
        <v>13941</v>
      </c>
      <c r="BT723" t="str">
        <f>HYPERLINK("https%3A%2F%2Fwww.webofscience.com%2Fwos%2Fwoscc%2Ffull-record%2FWOS:000406271000001","View Full Record in Web of Science")</f>
        <v>View Full Record in Web of Science</v>
      </c>
    </row>
    <row r="724" spans="1:72" x14ac:dyDescent="0.15">
      <c r="A724" t="s">
        <v>72</v>
      </c>
      <c r="B724" t="s">
        <v>13942</v>
      </c>
      <c r="C724" t="s">
        <v>74</v>
      </c>
      <c r="D724" t="s">
        <v>74</v>
      </c>
      <c r="E724" t="s">
        <v>74</v>
      </c>
      <c r="F724" t="s">
        <v>13943</v>
      </c>
      <c r="G724" t="s">
        <v>74</v>
      </c>
      <c r="H724" t="s">
        <v>74</v>
      </c>
      <c r="I724" t="s">
        <v>13944</v>
      </c>
      <c r="J724" t="s">
        <v>387</v>
      </c>
      <c r="K724" t="s">
        <v>74</v>
      </c>
      <c r="L724" t="s">
        <v>74</v>
      </c>
      <c r="M724" t="s">
        <v>78</v>
      </c>
      <c r="N724" t="s">
        <v>79</v>
      </c>
      <c r="O724" t="s">
        <v>74</v>
      </c>
      <c r="P724" t="s">
        <v>74</v>
      </c>
      <c r="Q724" t="s">
        <v>74</v>
      </c>
      <c r="R724" t="s">
        <v>74</v>
      </c>
      <c r="S724" t="s">
        <v>74</v>
      </c>
      <c r="T724" t="s">
        <v>74</v>
      </c>
      <c r="U724" t="s">
        <v>13945</v>
      </c>
      <c r="V724" t="s">
        <v>13946</v>
      </c>
      <c r="W724" t="s">
        <v>13947</v>
      </c>
      <c r="X724" t="s">
        <v>13948</v>
      </c>
      <c r="Y724" t="s">
        <v>13949</v>
      </c>
      <c r="Z724" t="s">
        <v>13950</v>
      </c>
      <c r="AA724" t="s">
        <v>13951</v>
      </c>
      <c r="AB724" t="s">
        <v>13952</v>
      </c>
      <c r="AC724" t="s">
        <v>13953</v>
      </c>
      <c r="AD724" t="s">
        <v>13954</v>
      </c>
      <c r="AE724" t="s">
        <v>13955</v>
      </c>
      <c r="AF724" t="s">
        <v>74</v>
      </c>
      <c r="AG724">
        <v>46</v>
      </c>
      <c r="AH724">
        <v>19</v>
      </c>
      <c r="AI724">
        <v>20</v>
      </c>
      <c r="AJ724">
        <v>0</v>
      </c>
      <c r="AK724">
        <v>9</v>
      </c>
      <c r="AL724" t="s">
        <v>311</v>
      </c>
      <c r="AM724" t="s">
        <v>312</v>
      </c>
      <c r="AN724" t="s">
        <v>313</v>
      </c>
      <c r="AO724" t="s">
        <v>399</v>
      </c>
      <c r="AP724" t="s">
        <v>74</v>
      </c>
      <c r="AQ724" t="s">
        <v>74</v>
      </c>
      <c r="AR724" t="s">
        <v>400</v>
      </c>
      <c r="AS724" t="s">
        <v>401</v>
      </c>
      <c r="AT724" t="s">
        <v>13880</v>
      </c>
      <c r="AU724">
        <v>2017</v>
      </c>
      <c r="AV724">
        <v>24</v>
      </c>
      <c r="AW724">
        <v>3</v>
      </c>
      <c r="AX724" t="s">
        <v>74</v>
      </c>
      <c r="AY724" t="s">
        <v>74</v>
      </c>
      <c r="AZ724" t="s">
        <v>74</v>
      </c>
      <c r="BA724" t="s">
        <v>74</v>
      </c>
      <c r="BB724">
        <v>379</v>
      </c>
      <c r="BC724">
        <v>392</v>
      </c>
      <c r="BD724" t="s">
        <v>74</v>
      </c>
      <c r="BE724" t="s">
        <v>13956</v>
      </c>
      <c r="BF724" t="str">
        <f>HYPERLINK("http://dx.doi.org/10.5194/npg-24-379-2017","http://dx.doi.org/10.5194/npg-24-379-2017")</f>
        <v>http://dx.doi.org/10.5194/npg-24-379-2017</v>
      </c>
      <c r="BG724" t="s">
        <v>74</v>
      </c>
      <c r="BH724" t="s">
        <v>74</v>
      </c>
      <c r="BI724">
        <v>14</v>
      </c>
      <c r="BJ724" t="s">
        <v>403</v>
      </c>
      <c r="BK724" t="s">
        <v>101</v>
      </c>
      <c r="BL724" t="s">
        <v>404</v>
      </c>
      <c r="BM724" t="s">
        <v>13957</v>
      </c>
      <c r="BN724" t="s">
        <v>74</v>
      </c>
      <c r="BO724" t="s">
        <v>322</v>
      </c>
      <c r="BP724" t="s">
        <v>74</v>
      </c>
      <c r="BQ724" t="s">
        <v>74</v>
      </c>
      <c r="BR724" t="s">
        <v>105</v>
      </c>
      <c r="BS724" t="s">
        <v>13958</v>
      </c>
      <c r="BT724" t="str">
        <f>HYPERLINK("https%3A%2F%2Fwww.webofscience.com%2Fwos%2Fwoscc%2Ffull-record%2FWOS:000406262700001","View Full Record in Web of Science")</f>
        <v>View Full Record in Web of Science</v>
      </c>
    </row>
    <row r="725" spans="1:72" x14ac:dyDescent="0.15">
      <c r="A725" t="s">
        <v>72</v>
      </c>
      <c r="B725" t="s">
        <v>13959</v>
      </c>
      <c r="C725" t="s">
        <v>74</v>
      </c>
      <c r="D725" t="s">
        <v>74</v>
      </c>
      <c r="E725" t="s">
        <v>74</v>
      </c>
      <c r="F725" t="s">
        <v>13960</v>
      </c>
      <c r="G725" t="s">
        <v>74</v>
      </c>
      <c r="H725" t="s">
        <v>74</v>
      </c>
      <c r="I725" t="s">
        <v>13961</v>
      </c>
      <c r="J725" t="s">
        <v>9526</v>
      </c>
      <c r="K725" t="s">
        <v>74</v>
      </c>
      <c r="L725" t="s">
        <v>74</v>
      </c>
      <c r="M725" t="s">
        <v>78</v>
      </c>
      <c r="N725" t="s">
        <v>79</v>
      </c>
      <c r="O725" t="s">
        <v>74</v>
      </c>
      <c r="P725" t="s">
        <v>74</v>
      </c>
      <c r="Q725" t="s">
        <v>74</v>
      </c>
      <c r="R725" t="s">
        <v>74</v>
      </c>
      <c r="S725" t="s">
        <v>74</v>
      </c>
      <c r="T725" t="s">
        <v>74</v>
      </c>
      <c r="U725" t="s">
        <v>13962</v>
      </c>
      <c r="V725" t="s">
        <v>13963</v>
      </c>
      <c r="W725" t="s">
        <v>13964</v>
      </c>
      <c r="X725" t="s">
        <v>13965</v>
      </c>
      <c r="Y725" t="s">
        <v>13966</v>
      </c>
      <c r="Z725" t="s">
        <v>13967</v>
      </c>
      <c r="AA725" t="s">
        <v>13968</v>
      </c>
      <c r="AB725" t="s">
        <v>13969</v>
      </c>
      <c r="AC725" t="s">
        <v>13970</v>
      </c>
      <c r="AD725" t="s">
        <v>13971</v>
      </c>
      <c r="AE725" t="s">
        <v>13972</v>
      </c>
      <c r="AF725" t="s">
        <v>74</v>
      </c>
      <c r="AG725">
        <v>37</v>
      </c>
      <c r="AH725">
        <v>10</v>
      </c>
      <c r="AI725">
        <v>11</v>
      </c>
      <c r="AJ725">
        <v>1</v>
      </c>
      <c r="AK725">
        <v>6</v>
      </c>
      <c r="AL725" t="s">
        <v>5918</v>
      </c>
      <c r="AM725" t="s">
        <v>729</v>
      </c>
      <c r="AN725" t="s">
        <v>5919</v>
      </c>
      <c r="AO725" t="s">
        <v>9527</v>
      </c>
      <c r="AP725" t="s">
        <v>74</v>
      </c>
      <c r="AQ725" t="s">
        <v>74</v>
      </c>
      <c r="AR725" t="s">
        <v>9526</v>
      </c>
      <c r="AS725" t="s">
        <v>9528</v>
      </c>
      <c r="AT725" t="s">
        <v>13973</v>
      </c>
      <c r="AU725">
        <v>2017</v>
      </c>
      <c r="AV725">
        <v>6</v>
      </c>
      <c r="AW725">
        <v>8</v>
      </c>
      <c r="AX725" t="s">
        <v>74</v>
      </c>
      <c r="AY725" t="s">
        <v>74</v>
      </c>
      <c r="AZ725" t="s">
        <v>74</v>
      </c>
      <c r="BA725" t="s">
        <v>74</v>
      </c>
      <c r="BB725" t="s">
        <v>74</v>
      </c>
      <c r="BC725" t="s">
        <v>74</v>
      </c>
      <c r="BD725" t="s">
        <v>74</v>
      </c>
      <c r="BE725" t="s">
        <v>74</v>
      </c>
      <c r="BF725" t="s">
        <v>74</v>
      </c>
      <c r="BG725" t="s">
        <v>74</v>
      </c>
      <c r="BH725" t="s">
        <v>74</v>
      </c>
      <c r="BI725">
        <v>18</v>
      </c>
      <c r="BJ725" t="s">
        <v>9531</v>
      </c>
      <c r="BK725" t="s">
        <v>101</v>
      </c>
      <c r="BL725" t="s">
        <v>9532</v>
      </c>
      <c r="BM725" t="s">
        <v>13974</v>
      </c>
      <c r="BN725">
        <v>28873966</v>
      </c>
      <c r="BO725" t="s">
        <v>923</v>
      </c>
      <c r="BP725" t="s">
        <v>74</v>
      </c>
      <c r="BQ725" t="s">
        <v>74</v>
      </c>
      <c r="BR725" t="s">
        <v>105</v>
      </c>
      <c r="BS725" t="s">
        <v>13975</v>
      </c>
      <c r="BT725" t="str">
        <f>HYPERLINK("https%3A%2F%2Fwww.webofscience.com%2Fwos%2Fwoscc%2Ffull-record%2FWOS:000407469600001","View Full Record in Web of Science")</f>
        <v>View Full Record in Web of Science</v>
      </c>
    </row>
    <row r="726" spans="1:72" x14ac:dyDescent="0.15">
      <c r="A726" t="s">
        <v>72</v>
      </c>
      <c r="B726" t="s">
        <v>13976</v>
      </c>
      <c r="C726" t="s">
        <v>74</v>
      </c>
      <c r="D726" t="s">
        <v>74</v>
      </c>
      <c r="E726" t="s">
        <v>74</v>
      </c>
      <c r="F726" t="s">
        <v>13977</v>
      </c>
      <c r="G726" t="s">
        <v>74</v>
      </c>
      <c r="H726" t="s">
        <v>74</v>
      </c>
      <c r="I726" t="s">
        <v>13978</v>
      </c>
      <c r="J726" t="s">
        <v>299</v>
      </c>
      <c r="K726" t="s">
        <v>74</v>
      </c>
      <c r="L726" t="s">
        <v>74</v>
      </c>
      <c r="M726" t="s">
        <v>78</v>
      </c>
      <c r="N726" t="s">
        <v>79</v>
      </c>
      <c r="O726" t="s">
        <v>74</v>
      </c>
      <c r="P726" t="s">
        <v>74</v>
      </c>
      <c r="Q726" t="s">
        <v>74</v>
      </c>
      <c r="R726" t="s">
        <v>74</v>
      </c>
      <c r="S726" t="s">
        <v>74</v>
      </c>
      <c r="T726" t="s">
        <v>74</v>
      </c>
      <c r="U726" t="s">
        <v>13979</v>
      </c>
      <c r="V726" t="s">
        <v>13980</v>
      </c>
      <c r="W726" t="s">
        <v>13981</v>
      </c>
      <c r="X726" t="s">
        <v>74</v>
      </c>
      <c r="Y726" t="s">
        <v>13982</v>
      </c>
      <c r="Z726" t="s">
        <v>13983</v>
      </c>
      <c r="AA726" t="s">
        <v>74</v>
      </c>
      <c r="AB726" t="s">
        <v>74</v>
      </c>
      <c r="AC726" t="s">
        <v>74</v>
      </c>
      <c r="AD726" t="s">
        <v>74</v>
      </c>
      <c r="AE726" t="s">
        <v>74</v>
      </c>
      <c r="AF726" t="s">
        <v>74</v>
      </c>
      <c r="AG726">
        <v>16</v>
      </c>
      <c r="AH726">
        <v>0</v>
      </c>
      <c r="AI726">
        <v>0</v>
      </c>
      <c r="AJ726">
        <v>0</v>
      </c>
      <c r="AK726">
        <v>3</v>
      </c>
      <c r="AL726" t="s">
        <v>311</v>
      </c>
      <c r="AM726" t="s">
        <v>312</v>
      </c>
      <c r="AN726" t="s">
        <v>313</v>
      </c>
      <c r="AO726" t="s">
        <v>314</v>
      </c>
      <c r="AP726" t="s">
        <v>315</v>
      </c>
      <c r="AQ726" t="s">
        <v>74</v>
      </c>
      <c r="AR726" t="s">
        <v>299</v>
      </c>
      <c r="AS726" t="s">
        <v>316</v>
      </c>
      <c r="AT726" t="s">
        <v>13984</v>
      </c>
      <c r="AU726">
        <v>2017</v>
      </c>
      <c r="AV726">
        <v>11</v>
      </c>
      <c r="AW726">
        <v>4</v>
      </c>
      <c r="AX726" t="s">
        <v>74</v>
      </c>
      <c r="AY726" t="s">
        <v>74</v>
      </c>
      <c r="AZ726" t="s">
        <v>74</v>
      </c>
      <c r="BA726" t="s">
        <v>74</v>
      </c>
      <c r="BB726">
        <v>1685</v>
      </c>
      <c r="BC726">
        <v>1689</v>
      </c>
      <c r="BD726" t="s">
        <v>74</v>
      </c>
      <c r="BE726" t="s">
        <v>13985</v>
      </c>
      <c r="BF726" t="str">
        <f>HYPERLINK("http://dx.doi.org/10.5194/tc-11-1685-2017","http://dx.doi.org/10.5194/tc-11-1685-2017")</f>
        <v>http://dx.doi.org/10.5194/tc-11-1685-2017</v>
      </c>
      <c r="BG726" t="s">
        <v>74</v>
      </c>
      <c r="BH726" t="s">
        <v>74</v>
      </c>
      <c r="BI726">
        <v>5</v>
      </c>
      <c r="BJ726" t="s">
        <v>319</v>
      </c>
      <c r="BK726" t="s">
        <v>101</v>
      </c>
      <c r="BL726" t="s">
        <v>320</v>
      </c>
      <c r="BM726" t="s">
        <v>13986</v>
      </c>
      <c r="BN726" t="s">
        <v>74</v>
      </c>
      <c r="BO726" t="s">
        <v>322</v>
      </c>
      <c r="BP726" t="s">
        <v>74</v>
      </c>
      <c r="BQ726" t="s">
        <v>74</v>
      </c>
      <c r="BR726" t="s">
        <v>105</v>
      </c>
      <c r="BS726" t="s">
        <v>13987</v>
      </c>
      <c r="BT726" t="str">
        <f>HYPERLINK("https%3A%2F%2Fwww.webofscience.com%2Fwos%2Fwoscc%2Ffull-record%2FWOS:000406147200001","View Full Record in Web of Science")</f>
        <v>View Full Record in Web of Science</v>
      </c>
    </row>
    <row r="727" spans="1:72" x14ac:dyDescent="0.15">
      <c r="A727" t="s">
        <v>72</v>
      </c>
      <c r="B727" t="s">
        <v>13988</v>
      </c>
      <c r="C727" t="s">
        <v>74</v>
      </c>
      <c r="D727" t="s">
        <v>74</v>
      </c>
      <c r="E727" t="s">
        <v>74</v>
      </c>
      <c r="F727" t="s">
        <v>13989</v>
      </c>
      <c r="G727" t="s">
        <v>74</v>
      </c>
      <c r="H727" t="s">
        <v>74</v>
      </c>
      <c r="I727" t="s">
        <v>13990</v>
      </c>
      <c r="J727" t="s">
        <v>13991</v>
      </c>
      <c r="K727" t="s">
        <v>74</v>
      </c>
      <c r="L727" t="s">
        <v>74</v>
      </c>
      <c r="M727" t="s">
        <v>78</v>
      </c>
      <c r="N727" t="s">
        <v>79</v>
      </c>
      <c r="O727" t="s">
        <v>74</v>
      </c>
      <c r="P727" t="s">
        <v>74</v>
      </c>
      <c r="Q727" t="s">
        <v>74</v>
      </c>
      <c r="R727" t="s">
        <v>74</v>
      </c>
      <c r="S727" t="s">
        <v>74</v>
      </c>
      <c r="T727" t="s">
        <v>74</v>
      </c>
      <c r="U727" t="s">
        <v>13992</v>
      </c>
      <c r="V727" t="s">
        <v>13993</v>
      </c>
      <c r="W727" t="s">
        <v>13994</v>
      </c>
      <c r="X727" t="s">
        <v>13995</v>
      </c>
      <c r="Y727" t="s">
        <v>13996</v>
      </c>
      <c r="Z727" t="s">
        <v>13997</v>
      </c>
      <c r="AA727" t="s">
        <v>13998</v>
      </c>
      <c r="AB727" t="s">
        <v>13999</v>
      </c>
      <c r="AC727" t="s">
        <v>14000</v>
      </c>
      <c r="AD727" t="s">
        <v>1336</v>
      </c>
      <c r="AE727" t="s">
        <v>14001</v>
      </c>
      <c r="AF727" t="s">
        <v>74</v>
      </c>
      <c r="AG727">
        <v>20</v>
      </c>
      <c r="AH727">
        <v>10</v>
      </c>
      <c r="AI727">
        <v>11</v>
      </c>
      <c r="AJ727">
        <v>1</v>
      </c>
      <c r="AK727">
        <v>22</v>
      </c>
      <c r="AL727" t="s">
        <v>311</v>
      </c>
      <c r="AM727" t="s">
        <v>312</v>
      </c>
      <c r="AN727" t="s">
        <v>313</v>
      </c>
      <c r="AO727" t="s">
        <v>14002</v>
      </c>
      <c r="AP727" t="s">
        <v>14003</v>
      </c>
      <c r="AQ727" t="s">
        <v>74</v>
      </c>
      <c r="AR727" t="s">
        <v>14004</v>
      </c>
      <c r="AS727" t="s">
        <v>14005</v>
      </c>
      <c r="AT727" t="s">
        <v>13984</v>
      </c>
      <c r="AU727">
        <v>2017</v>
      </c>
      <c r="AV727">
        <v>9</v>
      </c>
      <c r="AW727">
        <v>2</v>
      </c>
      <c r="AX727" t="s">
        <v>74</v>
      </c>
      <c r="AY727" t="s">
        <v>74</v>
      </c>
      <c r="AZ727" t="s">
        <v>74</v>
      </c>
      <c r="BA727" t="s">
        <v>74</v>
      </c>
      <c r="BB727">
        <v>461</v>
      </c>
      <c r="BC727">
        <v>469</v>
      </c>
      <c r="BD727" t="s">
        <v>74</v>
      </c>
      <c r="BE727" t="s">
        <v>14006</v>
      </c>
      <c r="BF727" t="str">
        <f>HYPERLINK("http://dx.doi.org/10.5194/essd-9-461-2017","http://dx.doi.org/10.5194/essd-9-461-2017")</f>
        <v>http://dx.doi.org/10.5194/essd-9-461-2017</v>
      </c>
      <c r="BG727" t="s">
        <v>74</v>
      </c>
      <c r="BH727" t="s">
        <v>74</v>
      </c>
      <c r="BI727">
        <v>9</v>
      </c>
      <c r="BJ727" t="s">
        <v>920</v>
      </c>
      <c r="BK727" t="s">
        <v>101</v>
      </c>
      <c r="BL727" t="s">
        <v>921</v>
      </c>
      <c r="BM727" t="s">
        <v>14007</v>
      </c>
      <c r="BN727" t="s">
        <v>74</v>
      </c>
      <c r="BO727" t="s">
        <v>322</v>
      </c>
      <c r="BP727" t="s">
        <v>74</v>
      </c>
      <c r="BQ727" t="s">
        <v>74</v>
      </c>
      <c r="BR727" t="s">
        <v>105</v>
      </c>
      <c r="BS727" t="s">
        <v>14008</v>
      </c>
      <c r="BT727" t="str">
        <f>HYPERLINK("https%3A%2F%2Fwww.webofscience.com%2Fwos%2Fwoscc%2Ffull-record%2FWOS:000406056000001","View Full Record in Web of Science")</f>
        <v>View Full Record in Web of Science</v>
      </c>
    </row>
    <row r="728" spans="1:72" x14ac:dyDescent="0.15">
      <c r="A728" t="s">
        <v>72</v>
      </c>
      <c r="B728" t="s">
        <v>14009</v>
      </c>
      <c r="C728" t="s">
        <v>74</v>
      </c>
      <c r="D728" t="s">
        <v>74</v>
      </c>
      <c r="E728" t="s">
        <v>74</v>
      </c>
      <c r="F728" t="s">
        <v>14010</v>
      </c>
      <c r="G728" t="s">
        <v>74</v>
      </c>
      <c r="H728" t="s">
        <v>74</v>
      </c>
      <c r="I728" t="s">
        <v>14011</v>
      </c>
      <c r="J728" t="s">
        <v>638</v>
      </c>
      <c r="K728" t="s">
        <v>74</v>
      </c>
      <c r="L728" t="s">
        <v>74</v>
      </c>
      <c r="M728" t="s">
        <v>78</v>
      </c>
      <c r="N728" t="s">
        <v>79</v>
      </c>
      <c r="O728" t="s">
        <v>74</v>
      </c>
      <c r="P728" t="s">
        <v>74</v>
      </c>
      <c r="Q728" t="s">
        <v>74</v>
      </c>
      <c r="R728" t="s">
        <v>74</v>
      </c>
      <c r="S728" t="s">
        <v>74</v>
      </c>
      <c r="T728" t="s">
        <v>74</v>
      </c>
      <c r="U728" t="s">
        <v>14012</v>
      </c>
      <c r="V728" t="s">
        <v>14013</v>
      </c>
      <c r="W728" t="s">
        <v>14014</v>
      </c>
      <c r="X728" t="s">
        <v>14015</v>
      </c>
      <c r="Y728" t="s">
        <v>14016</v>
      </c>
      <c r="Z728" t="s">
        <v>14017</v>
      </c>
      <c r="AA728" t="s">
        <v>14018</v>
      </c>
      <c r="AB728" t="s">
        <v>14019</v>
      </c>
      <c r="AC728" t="s">
        <v>14020</v>
      </c>
      <c r="AD728" t="s">
        <v>14021</v>
      </c>
      <c r="AE728" t="s">
        <v>14022</v>
      </c>
      <c r="AF728" t="s">
        <v>74</v>
      </c>
      <c r="AG728">
        <v>63</v>
      </c>
      <c r="AH728">
        <v>38</v>
      </c>
      <c r="AI728">
        <v>40</v>
      </c>
      <c r="AJ728">
        <v>1</v>
      </c>
      <c r="AK728">
        <v>41</v>
      </c>
      <c r="AL728" t="s">
        <v>650</v>
      </c>
      <c r="AM728" t="s">
        <v>651</v>
      </c>
      <c r="AN728" t="s">
        <v>652</v>
      </c>
      <c r="AO728" t="s">
        <v>653</v>
      </c>
      <c r="AP728" t="s">
        <v>74</v>
      </c>
      <c r="AQ728" t="s">
        <v>74</v>
      </c>
      <c r="AR728" t="s">
        <v>654</v>
      </c>
      <c r="AS728" t="s">
        <v>655</v>
      </c>
      <c r="AT728" t="s">
        <v>13984</v>
      </c>
      <c r="AU728">
        <v>2017</v>
      </c>
      <c r="AV728">
        <v>7</v>
      </c>
      <c r="AW728" t="s">
        <v>74</v>
      </c>
      <c r="AX728" t="s">
        <v>74</v>
      </c>
      <c r="AY728" t="s">
        <v>74</v>
      </c>
      <c r="AZ728" t="s">
        <v>74</v>
      </c>
      <c r="BA728" t="s">
        <v>74</v>
      </c>
      <c r="BB728" t="s">
        <v>74</v>
      </c>
      <c r="BC728" t="s">
        <v>74</v>
      </c>
      <c r="BD728">
        <v>6094</v>
      </c>
      <c r="BE728" t="s">
        <v>14023</v>
      </c>
      <c r="BF728" t="str">
        <f>HYPERLINK("http://dx.doi.org/10.1038/s41598-017-06687-x","http://dx.doi.org/10.1038/s41598-017-06687-x")</f>
        <v>http://dx.doi.org/10.1038/s41598-017-06687-x</v>
      </c>
      <c r="BG728" t="s">
        <v>74</v>
      </c>
      <c r="BH728" t="s">
        <v>74</v>
      </c>
      <c r="BI728">
        <v>11</v>
      </c>
      <c r="BJ728" t="s">
        <v>190</v>
      </c>
      <c r="BK728" t="s">
        <v>101</v>
      </c>
      <c r="BL728" t="s">
        <v>191</v>
      </c>
      <c r="BM728" t="s">
        <v>14024</v>
      </c>
      <c r="BN728">
        <v>28733608</v>
      </c>
      <c r="BO728" t="s">
        <v>14025</v>
      </c>
      <c r="BP728" t="s">
        <v>74</v>
      </c>
      <c r="BQ728" t="s">
        <v>74</v>
      </c>
      <c r="BR728" t="s">
        <v>105</v>
      </c>
      <c r="BS728" t="s">
        <v>14026</v>
      </c>
      <c r="BT728" t="str">
        <f>HYPERLINK("https%3A%2F%2Fwww.webofscience.com%2Fwos%2Fwoscc%2Ffull-record%2FWOS:000406285700002","View Full Record in Web of Science")</f>
        <v>View Full Record in Web of Science</v>
      </c>
    </row>
    <row r="729" spans="1:72" x14ac:dyDescent="0.15">
      <c r="A729" t="s">
        <v>72</v>
      </c>
      <c r="B729" t="s">
        <v>14027</v>
      </c>
      <c r="C729" t="s">
        <v>74</v>
      </c>
      <c r="D729" t="s">
        <v>74</v>
      </c>
      <c r="E729" t="s">
        <v>74</v>
      </c>
      <c r="F729" t="s">
        <v>14028</v>
      </c>
      <c r="G729" t="s">
        <v>74</v>
      </c>
      <c r="H729" t="s">
        <v>74</v>
      </c>
      <c r="I729" t="s">
        <v>14029</v>
      </c>
      <c r="J729" t="s">
        <v>903</v>
      </c>
      <c r="K729" t="s">
        <v>74</v>
      </c>
      <c r="L729" t="s">
        <v>74</v>
      </c>
      <c r="M729" t="s">
        <v>78</v>
      </c>
      <c r="N729" t="s">
        <v>79</v>
      </c>
      <c r="O729" t="s">
        <v>74</v>
      </c>
      <c r="P729" t="s">
        <v>74</v>
      </c>
      <c r="Q729" t="s">
        <v>74</v>
      </c>
      <c r="R729" t="s">
        <v>74</v>
      </c>
      <c r="S729" t="s">
        <v>74</v>
      </c>
      <c r="T729" t="s">
        <v>74</v>
      </c>
      <c r="U729" t="s">
        <v>14030</v>
      </c>
      <c r="V729" t="s">
        <v>14031</v>
      </c>
      <c r="W729" t="s">
        <v>14032</v>
      </c>
      <c r="X729" t="s">
        <v>14033</v>
      </c>
      <c r="Y729" t="s">
        <v>14034</v>
      </c>
      <c r="Z729" t="s">
        <v>14035</v>
      </c>
      <c r="AA729" t="s">
        <v>14036</v>
      </c>
      <c r="AB729" t="s">
        <v>14037</v>
      </c>
      <c r="AC729" t="s">
        <v>14038</v>
      </c>
      <c r="AD729" t="s">
        <v>14039</v>
      </c>
      <c r="AE729" t="s">
        <v>14040</v>
      </c>
      <c r="AF729" t="s">
        <v>74</v>
      </c>
      <c r="AG729">
        <v>77</v>
      </c>
      <c r="AH729">
        <v>15</v>
      </c>
      <c r="AI729">
        <v>20</v>
      </c>
      <c r="AJ729">
        <v>2</v>
      </c>
      <c r="AK729">
        <v>16</v>
      </c>
      <c r="AL729" t="s">
        <v>311</v>
      </c>
      <c r="AM729" t="s">
        <v>312</v>
      </c>
      <c r="AN729" t="s">
        <v>313</v>
      </c>
      <c r="AO729" t="s">
        <v>915</v>
      </c>
      <c r="AP729" t="s">
        <v>916</v>
      </c>
      <c r="AQ729" t="s">
        <v>74</v>
      </c>
      <c r="AR729" t="s">
        <v>917</v>
      </c>
      <c r="AS729" t="s">
        <v>918</v>
      </c>
      <c r="AT729" t="s">
        <v>14041</v>
      </c>
      <c r="AU729">
        <v>2017</v>
      </c>
      <c r="AV729">
        <v>13</v>
      </c>
      <c r="AW729">
        <v>7</v>
      </c>
      <c r="AX729" t="s">
        <v>74</v>
      </c>
      <c r="AY729" t="s">
        <v>74</v>
      </c>
      <c r="AZ729" t="s">
        <v>74</v>
      </c>
      <c r="BA729" t="s">
        <v>74</v>
      </c>
      <c r="BB729">
        <v>943</v>
      </c>
      <c r="BC729">
        <v>958</v>
      </c>
      <c r="BD729" t="s">
        <v>74</v>
      </c>
      <c r="BE729" t="s">
        <v>14042</v>
      </c>
      <c r="BF729" t="str">
        <f>HYPERLINK("http://dx.doi.org/10.5194/cp-13-943-2017","http://dx.doi.org/10.5194/cp-13-943-2017")</f>
        <v>http://dx.doi.org/10.5194/cp-13-943-2017</v>
      </c>
      <c r="BG729" t="s">
        <v>74</v>
      </c>
      <c r="BH729" t="s">
        <v>74</v>
      </c>
      <c r="BI729">
        <v>16</v>
      </c>
      <c r="BJ729" t="s">
        <v>920</v>
      </c>
      <c r="BK729" t="s">
        <v>101</v>
      </c>
      <c r="BL729" t="s">
        <v>921</v>
      </c>
      <c r="BM729" t="s">
        <v>14043</v>
      </c>
      <c r="BN729" t="s">
        <v>74</v>
      </c>
      <c r="BO729" t="s">
        <v>322</v>
      </c>
      <c r="BP729" t="s">
        <v>74</v>
      </c>
      <c r="BQ729" t="s">
        <v>74</v>
      </c>
      <c r="BR729" t="s">
        <v>105</v>
      </c>
      <c r="BS729" t="s">
        <v>14044</v>
      </c>
      <c r="BT729" t="str">
        <f>HYPERLINK("https%3A%2F%2Fwww.webofscience.com%2Fwos%2Fwoscc%2Ffull-record%2FWOS:000405866000001","View Full Record in Web of Science")</f>
        <v>View Full Record in Web of Science</v>
      </c>
    </row>
    <row r="730" spans="1:72" x14ac:dyDescent="0.15">
      <c r="A730" t="s">
        <v>72</v>
      </c>
      <c r="B730" t="s">
        <v>14045</v>
      </c>
      <c r="C730" t="s">
        <v>74</v>
      </c>
      <c r="D730" t="s">
        <v>74</v>
      </c>
      <c r="E730" t="s">
        <v>74</v>
      </c>
      <c r="F730" t="s">
        <v>14045</v>
      </c>
      <c r="G730" t="s">
        <v>74</v>
      </c>
      <c r="H730" t="s">
        <v>74</v>
      </c>
      <c r="I730" t="s">
        <v>14046</v>
      </c>
      <c r="J730" t="s">
        <v>169</v>
      </c>
      <c r="K730" t="s">
        <v>74</v>
      </c>
      <c r="L730" t="s">
        <v>74</v>
      </c>
      <c r="M730" t="s">
        <v>78</v>
      </c>
      <c r="N730" t="s">
        <v>2737</v>
      </c>
      <c r="O730" t="s">
        <v>74</v>
      </c>
      <c r="P730" t="s">
        <v>74</v>
      </c>
      <c r="Q730" t="s">
        <v>74</v>
      </c>
      <c r="R730" t="s">
        <v>74</v>
      </c>
      <c r="S730" t="s">
        <v>74</v>
      </c>
      <c r="T730" t="s">
        <v>74</v>
      </c>
      <c r="U730" t="s">
        <v>74</v>
      </c>
      <c r="V730" t="s">
        <v>74</v>
      </c>
      <c r="W730" t="s">
        <v>74</v>
      </c>
      <c r="X730" t="s">
        <v>74</v>
      </c>
      <c r="Y730" t="s">
        <v>74</v>
      </c>
      <c r="Z730" t="s">
        <v>74</v>
      </c>
      <c r="AA730" t="s">
        <v>74</v>
      </c>
      <c r="AB730" t="s">
        <v>74</v>
      </c>
      <c r="AC730" t="s">
        <v>74</v>
      </c>
      <c r="AD730" t="s">
        <v>74</v>
      </c>
      <c r="AE730" t="s">
        <v>74</v>
      </c>
      <c r="AF730" t="s">
        <v>74</v>
      </c>
      <c r="AG730">
        <v>2</v>
      </c>
      <c r="AH730">
        <v>0</v>
      </c>
      <c r="AI730">
        <v>0</v>
      </c>
      <c r="AJ730">
        <v>0</v>
      </c>
      <c r="AK730">
        <v>0</v>
      </c>
      <c r="AL730" t="s">
        <v>181</v>
      </c>
      <c r="AM730" t="s">
        <v>182</v>
      </c>
      <c r="AN730" t="s">
        <v>183</v>
      </c>
      <c r="AO730" t="s">
        <v>184</v>
      </c>
      <c r="AP730" t="s">
        <v>185</v>
      </c>
      <c r="AQ730" t="s">
        <v>74</v>
      </c>
      <c r="AR730" t="s">
        <v>169</v>
      </c>
      <c r="AS730" t="s">
        <v>186</v>
      </c>
      <c r="AT730" t="s">
        <v>14041</v>
      </c>
      <c r="AU730">
        <v>2017</v>
      </c>
      <c r="AV730">
        <v>547</v>
      </c>
      <c r="AW730">
        <v>7663</v>
      </c>
      <c r="AX730" t="s">
        <v>74</v>
      </c>
      <c r="AY730" t="s">
        <v>74</v>
      </c>
      <c r="AZ730" t="s">
        <v>74</v>
      </c>
      <c r="BA730" t="s">
        <v>74</v>
      </c>
      <c r="BB730">
        <v>257</v>
      </c>
      <c r="BC730">
        <v>257</v>
      </c>
      <c r="BD730" t="s">
        <v>74</v>
      </c>
      <c r="BE730" t="s">
        <v>14047</v>
      </c>
      <c r="BF730" t="str">
        <f>HYPERLINK("http://dx.doi.org/10.1038/547257a","http://dx.doi.org/10.1038/547257a")</f>
        <v>http://dx.doi.org/10.1038/547257a</v>
      </c>
      <c r="BG730" t="s">
        <v>74</v>
      </c>
      <c r="BH730" t="s">
        <v>74</v>
      </c>
      <c r="BI730">
        <v>1</v>
      </c>
      <c r="BJ730" t="s">
        <v>190</v>
      </c>
      <c r="BK730" t="s">
        <v>765</v>
      </c>
      <c r="BL730" t="s">
        <v>191</v>
      </c>
      <c r="BM730" t="s">
        <v>14048</v>
      </c>
      <c r="BN730" t="s">
        <v>74</v>
      </c>
      <c r="BO730" t="s">
        <v>104</v>
      </c>
      <c r="BP730" t="s">
        <v>74</v>
      </c>
      <c r="BQ730" t="s">
        <v>74</v>
      </c>
      <c r="BR730" t="s">
        <v>105</v>
      </c>
      <c r="BS730" t="s">
        <v>14049</v>
      </c>
      <c r="BT730" t="str">
        <f>HYPERLINK("https%3A%2F%2Fwww.webofscience.com%2Fwos%2Fwoscc%2Ffull-record%2FWOS:000405844900001","View Full Record in Web of Science")</f>
        <v>View Full Record in Web of Science</v>
      </c>
    </row>
    <row r="731" spans="1:72" x14ac:dyDescent="0.15">
      <c r="A731" t="s">
        <v>72</v>
      </c>
      <c r="B731" t="s">
        <v>14050</v>
      </c>
      <c r="C731" t="s">
        <v>74</v>
      </c>
      <c r="D731" t="s">
        <v>74</v>
      </c>
      <c r="E731" t="s">
        <v>74</v>
      </c>
      <c r="F731" t="s">
        <v>14051</v>
      </c>
      <c r="G731" t="s">
        <v>74</v>
      </c>
      <c r="H731" t="s">
        <v>74</v>
      </c>
      <c r="I731" t="s">
        <v>14052</v>
      </c>
      <c r="J731" t="s">
        <v>169</v>
      </c>
      <c r="K731" t="s">
        <v>74</v>
      </c>
      <c r="L731" t="s">
        <v>74</v>
      </c>
      <c r="M731" t="s">
        <v>78</v>
      </c>
      <c r="N731" t="s">
        <v>2737</v>
      </c>
      <c r="O731" t="s">
        <v>74</v>
      </c>
      <c r="P731" t="s">
        <v>74</v>
      </c>
      <c r="Q731" t="s">
        <v>74</v>
      </c>
      <c r="R731" t="s">
        <v>74</v>
      </c>
      <c r="S731" t="s">
        <v>74</v>
      </c>
      <c r="T731" t="s">
        <v>74</v>
      </c>
      <c r="U731" t="s">
        <v>14053</v>
      </c>
      <c r="V731" t="s">
        <v>74</v>
      </c>
      <c r="W731" t="s">
        <v>14054</v>
      </c>
      <c r="X731" t="s">
        <v>14055</v>
      </c>
      <c r="Y731" t="s">
        <v>14056</v>
      </c>
      <c r="Z731" t="s">
        <v>14057</v>
      </c>
      <c r="AA731" t="s">
        <v>74</v>
      </c>
      <c r="AB731" t="s">
        <v>74</v>
      </c>
      <c r="AC731" t="s">
        <v>14058</v>
      </c>
      <c r="AD731" t="s">
        <v>14059</v>
      </c>
      <c r="AE731" t="s">
        <v>74</v>
      </c>
      <c r="AF731" t="s">
        <v>74</v>
      </c>
      <c r="AG731">
        <v>9</v>
      </c>
      <c r="AH731">
        <v>72</v>
      </c>
      <c r="AI731">
        <v>75</v>
      </c>
      <c r="AJ731">
        <v>3</v>
      </c>
      <c r="AK731">
        <v>45</v>
      </c>
      <c r="AL731" t="s">
        <v>650</v>
      </c>
      <c r="AM731" t="s">
        <v>651</v>
      </c>
      <c r="AN731" t="s">
        <v>652</v>
      </c>
      <c r="AO731" t="s">
        <v>184</v>
      </c>
      <c r="AP731" t="s">
        <v>185</v>
      </c>
      <c r="AQ731" t="s">
        <v>74</v>
      </c>
      <c r="AR731" t="s">
        <v>169</v>
      </c>
      <c r="AS731" t="s">
        <v>186</v>
      </c>
      <c r="AT731" t="s">
        <v>14041</v>
      </c>
      <c r="AU731">
        <v>2017</v>
      </c>
      <c r="AV731">
        <v>547</v>
      </c>
      <c r="AW731">
        <v>7663</v>
      </c>
      <c r="AX731" t="s">
        <v>74</v>
      </c>
      <c r="AY731" t="s">
        <v>74</v>
      </c>
      <c r="AZ731" t="s">
        <v>74</v>
      </c>
      <c r="BA731" t="s">
        <v>74</v>
      </c>
      <c r="BB731">
        <v>275</v>
      </c>
      <c r="BC731">
        <v>277</v>
      </c>
      <c r="BD731" t="s">
        <v>74</v>
      </c>
      <c r="BE731" t="s">
        <v>14060</v>
      </c>
      <c r="BF731" t="str">
        <f>HYPERLINK("http://dx.doi.org/10.1038/547275a","http://dx.doi.org/10.1038/547275a")</f>
        <v>http://dx.doi.org/10.1038/547275a</v>
      </c>
      <c r="BG731" t="s">
        <v>74</v>
      </c>
      <c r="BH731" t="s">
        <v>74</v>
      </c>
      <c r="BI731">
        <v>3</v>
      </c>
      <c r="BJ731" t="s">
        <v>190</v>
      </c>
      <c r="BK731" t="s">
        <v>765</v>
      </c>
      <c r="BL731" t="s">
        <v>191</v>
      </c>
      <c r="BM731" t="s">
        <v>14048</v>
      </c>
      <c r="BN731">
        <v>28726837</v>
      </c>
      <c r="BO731" t="s">
        <v>1240</v>
      </c>
      <c r="BP731" t="s">
        <v>74</v>
      </c>
      <c r="BQ731" t="s">
        <v>74</v>
      </c>
      <c r="BR731" t="s">
        <v>105</v>
      </c>
      <c r="BS731" t="s">
        <v>14061</v>
      </c>
      <c r="BT731" t="str">
        <f>HYPERLINK("https%3A%2F%2Fwww.webofscience.com%2Fwos%2Fwoscc%2Ffull-record%2FWOS:000405844900012","View Full Record in Web of Science")</f>
        <v>View Full Record in Web of Science</v>
      </c>
    </row>
    <row r="732" spans="1:72" x14ac:dyDescent="0.15">
      <c r="A732" t="s">
        <v>72</v>
      </c>
      <c r="B732" t="s">
        <v>14062</v>
      </c>
      <c r="C732" t="s">
        <v>74</v>
      </c>
      <c r="D732" t="s">
        <v>74</v>
      </c>
      <c r="E732" t="s">
        <v>74</v>
      </c>
      <c r="F732" t="s">
        <v>14063</v>
      </c>
      <c r="G732" t="s">
        <v>74</v>
      </c>
      <c r="H732" t="s">
        <v>74</v>
      </c>
      <c r="I732" t="s">
        <v>14064</v>
      </c>
      <c r="J732" t="s">
        <v>638</v>
      </c>
      <c r="K732" t="s">
        <v>74</v>
      </c>
      <c r="L732" t="s">
        <v>74</v>
      </c>
      <c r="M732" t="s">
        <v>78</v>
      </c>
      <c r="N732" t="s">
        <v>79</v>
      </c>
      <c r="O732" t="s">
        <v>74</v>
      </c>
      <c r="P732" t="s">
        <v>74</v>
      </c>
      <c r="Q732" t="s">
        <v>74</v>
      </c>
      <c r="R732" t="s">
        <v>74</v>
      </c>
      <c r="S732" t="s">
        <v>74</v>
      </c>
      <c r="T732" t="s">
        <v>74</v>
      </c>
      <c r="U732" t="s">
        <v>14065</v>
      </c>
      <c r="V732" t="s">
        <v>14066</v>
      </c>
      <c r="W732" t="s">
        <v>14067</v>
      </c>
      <c r="X732" t="s">
        <v>14068</v>
      </c>
      <c r="Y732" t="s">
        <v>14069</v>
      </c>
      <c r="Z732" t="s">
        <v>14070</v>
      </c>
      <c r="AA732" t="s">
        <v>14071</v>
      </c>
      <c r="AB732" t="s">
        <v>14072</v>
      </c>
      <c r="AC732" t="s">
        <v>14073</v>
      </c>
      <c r="AD732" t="s">
        <v>14074</v>
      </c>
      <c r="AE732" t="s">
        <v>14075</v>
      </c>
      <c r="AF732" t="s">
        <v>74</v>
      </c>
      <c r="AG732">
        <v>52</v>
      </c>
      <c r="AH732">
        <v>55</v>
      </c>
      <c r="AI732">
        <v>59</v>
      </c>
      <c r="AJ732">
        <v>7</v>
      </c>
      <c r="AK732">
        <v>87</v>
      </c>
      <c r="AL732" t="s">
        <v>650</v>
      </c>
      <c r="AM732" t="s">
        <v>651</v>
      </c>
      <c r="AN732" t="s">
        <v>652</v>
      </c>
      <c r="AO732" t="s">
        <v>653</v>
      </c>
      <c r="AP732" t="s">
        <v>74</v>
      </c>
      <c r="AQ732" t="s">
        <v>74</v>
      </c>
      <c r="AR732" t="s">
        <v>654</v>
      </c>
      <c r="AS732" t="s">
        <v>655</v>
      </c>
      <c r="AT732" t="s">
        <v>14041</v>
      </c>
      <c r="AU732">
        <v>2017</v>
      </c>
      <c r="AV732">
        <v>7</v>
      </c>
      <c r="AW732" t="s">
        <v>74</v>
      </c>
      <c r="AX732" t="s">
        <v>74</v>
      </c>
      <c r="AY732" t="s">
        <v>74</v>
      </c>
      <c r="AZ732" t="s">
        <v>74</v>
      </c>
      <c r="BA732" t="s">
        <v>74</v>
      </c>
      <c r="BB732" t="s">
        <v>74</v>
      </c>
      <c r="BC732" t="s">
        <v>74</v>
      </c>
      <c r="BD732">
        <v>6047</v>
      </c>
      <c r="BE732" t="s">
        <v>14076</v>
      </c>
      <c r="BF732" t="str">
        <f>HYPERLINK("http://dx.doi.org/10.1038/s41598-017-06188-x","http://dx.doi.org/10.1038/s41598-017-06188-x")</f>
        <v>http://dx.doi.org/10.1038/s41598-017-06188-x</v>
      </c>
      <c r="BG732" t="s">
        <v>74</v>
      </c>
      <c r="BH732" t="s">
        <v>74</v>
      </c>
      <c r="BI732">
        <v>10</v>
      </c>
      <c r="BJ732" t="s">
        <v>190</v>
      </c>
      <c r="BK732" t="s">
        <v>101</v>
      </c>
      <c r="BL732" t="s">
        <v>191</v>
      </c>
      <c r="BM732" t="s">
        <v>14077</v>
      </c>
      <c r="BN732">
        <v>28729547</v>
      </c>
      <c r="BO732" t="s">
        <v>3746</v>
      </c>
      <c r="BP732" t="s">
        <v>74</v>
      </c>
      <c r="BQ732" t="s">
        <v>74</v>
      </c>
      <c r="BR732" t="s">
        <v>105</v>
      </c>
      <c r="BS732" t="s">
        <v>14078</v>
      </c>
      <c r="BT732" t="str">
        <f>HYPERLINK("https%3A%2F%2Fwww.webofscience.com%2Fwos%2Fwoscc%2Ffull-record%2FWOS:000405907800101","View Full Record in Web of Science")</f>
        <v>View Full Record in Web of Science</v>
      </c>
    </row>
    <row r="733" spans="1:72" x14ac:dyDescent="0.15">
      <c r="A733" t="s">
        <v>72</v>
      </c>
      <c r="B733" t="s">
        <v>14079</v>
      </c>
      <c r="C733" t="s">
        <v>74</v>
      </c>
      <c r="D733" t="s">
        <v>74</v>
      </c>
      <c r="E733" t="s">
        <v>74</v>
      </c>
      <c r="F733" t="s">
        <v>14080</v>
      </c>
      <c r="G733" t="s">
        <v>74</v>
      </c>
      <c r="H733" t="s">
        <v>74</v>
      </c>
      <c r="I733" t="s">
        <v>14081</v>
      </c>
      <c r="J733" t="s">
        <v>358</v>
      </c>
      <c r="K733" t="s">
        <v>74</v>
      </c>
      <c r="L733" t="s">
        <v>74</v>
      </c>
      <c r="M733" t="s">
        <v>78</v>
      </c>
      <c r="N733" t="s">
        <v>79</v>
      </c>
      <c r="O733" t="s">
        <v>74</v>
      </c>
      <c r="P733" t="s">
        <v>74</v>
      </c>
      <c r="Q733" t="s">
        <v>74</v>
      </c>
      <c r="R733" t="s">
        <v>74</v>
      </c>
      <c r="S733" t="s">
        <v>74</v>
      </c>
      <c r="T733" t="s">
        <v>14082</v>
      </c>
      <c r="U733" t="s">
        <v>14083</v>
      </c>
      <c r="V733" t="s">
        <v>14084</v>
      </c>
      <c r="W733" t="s">
        <v>14085</v>
      </c>
      <c r="X733" t="s">
        <v>14086</v>
      </c>
      <c r="Y733" t="s">
        <v>14087</v>
      </c>
      <c r="Z733" t="s">
        <v>14088</v>
      </c>
      <c r="AA733" t="s">
        <v>14089</v>
      </c>
      <c r="AB733" t="s">
        <v>14090</v>
      </c>
      <c r="AC733" t="s">
        <v>14091</v>
      </c>
      <c r="AD733" t="s">
        <v>14092</v>
      </c>
      <c r="AE733" t="s">
        <v>14093</v>
      </c>
      <c r="AF733" t="s">
        <v>74</v>
      </c>
      <c r="AG733">
        <v>74</v>
      </c>
      <c r="AH733">
        <v>21</v>
      </c>
      <c r="AI733">
        <v>24</v>
      </c>
      <c r="AJ733">
        <v>5</v>
      </c>
      <c r="AK733">
        <v>86</v>
      </c>
      <c r="AL733" t="s">
        <v>371</v>
      </c>
      <c r="AM733" t="s">
        <v>372</v>
      </c>
      <c r="AN733" t="s">
        <v>373</v>
      </c>
      <c r="AO733" t="s">
        <v>374</v>
      </c>
      <c r="AP733" t="s">
        <v>375</v>
      </c>
      <c r="AQ733" t="s">
        <v>74</v>
      </c>
      <c r="AR733" t="s">
        <v>376</v>
      </c>
      <c r="AS733" t="s">
        <v>377</v>
      </c>
      <c r="AT733" t="s">
        <v>14041</v>
      </c>
      <c r="AU733">
        <v>2017</v>
      </c>
      <c r="AV733">
        <v>193</v>
      </c>
      <c r="AW733" t="s">
        <v>74</v>
      </c>
      <c r="AX733" t="s">
        <v>74</v>
      </c>
      <c r="AY733" t="s">
        <v>74</v>
      </c>
      <c r="AZ733" t="s">
        <v>74</v>
      </c>
      <c r="BA733" t="s">
        <v>74</v>
      </c>
      <c r="BB733">
        <v>20</v>
      </c>
      <c r="BC733">
        <v>33</v>
      </c>
      <c r="BD733" t="s">
        <v>74</v>
      </c>
      <c r="BE733" t="s">
        <v>14094</v>
      </c>
      <c r="BF733" t="str">
        <f>HYPERLINK("http://dx.doi.org/10.1016/j.marchem.2017.03.001","http://dx.doi.org/10.1016/j.marchem.2017.03.001")</f>
        <v>http://dx.doi.org/10.1016/j.marchem.2017.03.001</v>
      </c>
      <c r="BG733" t="s">
        <v>74</v>
      </c>
      <c r="BH733" t="s">
        <v>74</v>
      </c>
      <c r="BI733">
        <v>14</v>
      </c>
      <c r="BJ733" t="s">
        <v>379</v>
      </c>
      <c r="BK733" t="s">
        <v>101</v>
      </c>
      <c r="BL733" t="s">
        <v>380</v>
      </c>
      <c r="BM733" t="s">
        <v>14095</v>
      </c>
      <c r="BN733" t="s">
        <v>74</v>
      </c>
      <c r="BO733" t="s">
        <v>74</v>
      </c>
      <c r="BP733" t="s">
        <v>74</v>
      </c>
      <c r="BQ733" t="s">
        <v>74</v>
      </c>
      <c r="BR733" t="s">
        <v>105</v>
      </c>
      <c r="BS733" t="s">
        <v>14096</v>
      </c>
      <c r="BT733" t="str">
        <f>HYPERLINK("https%3A%2F%2Fwww.webofscience.com%2Fwos%2Fwoscc%2Ffull-record%2FWOS:000403859600004","View Full Record in Web of Science")</f>
        <v>View Full Record in Web of Science</v>
      </c>
    </row>
    <row r="734" spans="1:72" x14ac:dyDescent="0.15">
      <c r="A734" t="s">
        <v>72</v>
      </c>
      <c r="B734" t="s">
        <v>14097</v>
      </c>
      <c r="C734" t="s">
        <v>74</v>
      </c>
      <c r="D734" t="s">
        <v>74</v>
      </c>
      <c r="E734" t="s">
        <v>74</v>
      </c>
      <c r="F734" t="s">
        <v>14098</v>
      </c>
      <c r="G734" t="s">
        <v>74</v>
      </c>
      <c r="H734" t="s">
        <v>74</v>
      </c>
      <c r="I734" t="s">
        <v>14099</v>
      </c>
      <c r="J734" t="s">
        <v>358</v>
      </c>
      <c r="K734" t="s">
        <v>74</v>
      </c>
      <c r="L734" t="s">
        <v>74</v>
      </c>
      <c r="M734" t="s">
        <v>78</v>
      </c>
      <c r="N734" t="s">
        <v>79</v>
      </c>
      <c r="O734" t="s">
        <v>74</v>
      </c>
      <c r="P734" t="s">
        <v>74</v>
      </c>
      <c r="Q734" t="s">
        <v>74</v>
      </c>
      <c r="R734" t="s">
        <v>74</v>
      </c>
      <c r="S734" t="s">
        <v>74</v>
      </c>
      <c r="T734" t="s">
        <v>14100</v>
      </c>
      <c r="U734" t="s">
        <v>14101</v>
      </c>
      <c r="V734" t="s">
        <v>14102</v>
      </c>
      <c r="W734" t="s">
        <v>14103</v>
      </c>
      <c r="X734" t="s">
        <v>14104</v>
      </c>
      <c r="Y734" t="s">
        <v>14087</v>
      </c>
      <c r="Z734" t="s">
        <v>14088</v>
      </c>
      <c r="AA734" t="s">
        <v>14105</v>
      </c>
      <c r="AB734" t="s">
        <v>14106</v>
      </c>
      <c r="AC734" t="s">
        <v>14107</v>
      </c>
      <c r="AD734" t="s">
        <v>14108</v>
      </c>
      <c r="AE734" t="s">
        <v>14109</v>
      </c>
      <c r="AF734" t="s">
        <v>74</v>
      </c>
      <c r="AG734">
        <v>81</v>
      </c>
      <c r="AH734">
        <v>11</v>
      </c>
      <c r="AI734">
        <v>12</v>
      </c>
      <c r="AJ734">
        <v>6</v>
      </c>
      <c r="AK734">
        <v>54</v>
      </c>
      <c r="AL734" t="s">
        <v>371</v>
      </c>
      <c r="AM734" t="s">
        <v>372</v>
      </c>
      <c r="AN734" t="s">
        <v>373</v>
      </c>
      <c r="AO734" t="s">
        <v>374</v>
      </c>
      <c r="AP734" t="s">
        <v>375</v>
      </c>
      <c r="AQ734" t="s">
        <v>74</v>
      </c>
      <c r="AR734" t="s">
        <v>376</v>
      </c>
      <c r="AS734" t="s">
        <v>377</v>
      </c>
      <c r="AT734" t="s">
        <v>14041</v>
      </c>
      <c r="AU734">
        <v>2017</v>
      </c>
      <c r="AV734">
        <v>193</v>
      </c>
      <c r="AW734" t="s">
        <v>74</v>
      </c>
      <c r="AX734" t="s">
        <v>74</v>
      </c>
      <c r="AY734" t="s">
        <v>74</v>
      </c>
      <c r="AZ734" t="s">
        <v>74</v>
      </c>
      <c r="BA734" t="s">
        <v>74</v>
      </c>
      <c r="BB734">
        <v>44</v>
      </c>
      <c r="BC734">
        <v>54</v>
      </c>
      <c r="BD734" t="s">
        <v>74</v>
      </c>
      <c r="BE734" t="s">
        <v>14110</v>
      </c>
      <c r="BF734" t="str">
        <f>HYPERLINK("http://dx.doi.org/10.1016/j.marchem.2016.08.005","http://dx.doi.org/10.1016/j.marchem.2016.08.005")</f>
        <v>http://dx.doi.org/10.1016/j.marchem.2016.08.005</v>
      </c>
      <c r="BG734" t="s">
        <v>74</v>
      </c>
      <c r="BH734" t="s">
        <v>74</v>
      </c>
      <c r="BI734">
        <v>11</v>
      </c>
      <c r="BJ734" t="s">
        <v>379</v>
      </c>
      <c r="BK734" t="s">
        <v>101</v>
      </c>
      <c r="BL734" t="s">
        <v>380</v>
      </c>
      <c r="BM734" t="s">
        <v>14095</v>
      </c>
      <c r="BN734" t="s">
        <v>74</v>
      </c>
      <c r="BO734" t="s">
        <v>74</v>
      </c>
      <c r="BP734" t="s">
        <v>74</v>
      </c>
      <c r="BQ734" t="s">
        <v>74</v>
      </c>
      <c r="BR734" t="s">
        <v>105</v>
      </c>
      <c r="BS734" t="s">
        <v>14111</v>
      </c>
      <c r="BT734" t="str">
        <f>HYPERLINK("https%3A%2F%2Fwww.webofscience.com%2Fwos%2Fwoscc%2Ffull-record%2FWOS:000403859600006","View Full Record in Web of Science")</f>
        <v>View Full Record in Web of Science</v>
      </c>
    </row>
    <row r="735" spans="1:72" x14ac:dyDescent="0.15">
      <c r="A735" t="s">
        <v>72</v>
      </c>
      <c r="B735" t="s">
        <v>14112</v>
      </c>
      <c r="C735" t="s">
        <v>74</v>
      </c>
      <c r="D735" t="s">
        <v>74</v>
      </c>
      <c r="E735" t="s">
        <v>74</v>
      </c>
      <c r="F735" t="s">
        <v>14113</v>
      </c>
      <c r="G735" t="s">
        <v>74</v>
      </c>
      <c r="H735" t="s">
        <v>74</v>
      </c>
      <c r="I735" t="s">
        <v>14114</v>
      </c>
      <c r="J735" t="s">
        <v>14115</v>
      </c>
      <c r="K735" t="s">
        <v>74</v>
      </c>
      <c r="L735" t="s">
        <v>74</v>
      </c>
      <c r="M735" t="s">
        <v>78</v>
      </c>
      <c r="N735" t="s">
        <v>79</v>
      </c>
      <c r="O735" t="s">
        <v>74</v>
      </c>
      <c r="P735" t="s">
        <v>74</v>
      </c>
      <c r="Q735" t="s">
        <v>74</v>
      </c>
      <c r="R735" t="s">
        <v>74</v>
      </c>
      <c r="S735" t="s">
        <v>74</v>
      </c>
      <c r="T735" t="s">
        <v>14116</v>
      </c>
      <c r="U735" t="s">
        <v>14117</v>
      </c>
      <c r="V735" t="s">
        <v>14118</v>
      </c>
      <c r="W735" t="s">
        <v>14119</v>
      </c>
      <c r="X735" t="s">
        <v>14120</v>
      </c>
      <c r="Y735" t="s">
        <v>14121</v>
      </c>
      <c r="Z735" t="s">
        <v>14122</v>
      </c>
      <c r="AA735" t="s">
        <v>14123</v>
      </c>
      <c r="AB735" t="s">
        <v>14124</v>
      </c>
      <c r="AC735" t="s">
        <v>14125</v>
      </c>
      <c r="AD735" t="s">
        <v>14125</v>
      </c>
      <c r="AE735" t="s">
        <v>14126</v>
      </c>
      <c r="AF735" t="s">
        <v>74</v>
      </c>
      <c r="AG735">
        <v>75</v>
      </c>
      <c r="AH735">
        <v>69</v>
      </c>
      <c r="AI735">
        <v>85</v>
      </c>
      <c r="AJ735">
        <v>17</v>
      </c>
      <c r="AK735">
        <v>102</v>
      </c>
      <c r="AL735" t="s">
        <v>259</v>
      </c>
      <c r="AM735" t="s">
        <v>182</v>
      </c>
      <c r="AN735" t="s">
        <v>260</v>
      </c>
      <c r="AO735" t="s">
        <v>14127</v>
      </c>
      <c r="AP735" t="s">
        <v>74</v>
      </c>
      <c r="AQ735" t="s">
        <v>74</v>
      </c>
      <c r="AR735" t="s">
        <v>14115</v>
      </c>
      <c r="AS735" t="s">
        <v>14128</v>
      </c>
      <c r="AT735" t="s">
        <v>14129</v>
      </c>
      <c r="AU735">
        <v>2017</v>
      </c>
      <c r="AV735">
        <v>5</v>
      </c>
      <c r="AW735" t="s">
        <v>74</v>
      </c>
      <c r="AX735" t="s">
        <v>74</v>
      </c>
      <c r="AY735" t="s">
        <v>74</v>
      </c>
      <c r="AZ735" t="s">
        <v>74</v>
      </c>
      <c r="BA735" t="s">
        <v>74</v>
      </c>
      <c r="BB735" t="s">
        <v>74</v>
      </c>
      <c r="BC735" t="s">
        <v>74</v>
      </c>
      <c r="BD735">
        <v>83</v>
      </c>
      <c r="BE735" t="s">
        <v>14130</v>
      </c>
      <c r="BF735" t="str">
        <f>HYPERLINK("http://dx.doi.org/10.1186/s40168-017-0301-7","http://dx.doi.org/10.1186/s40168-017-0301-7")</f>
        <v>http://dx.doi.org/10.1186/s40168-017-0301-7</v>
      </c>
      <c r="BG735" t="s">
        <v>74</v>
      </c>
      <c r="BH735" t="s">
        <v>74</v>
      </c>
      <c r="BI735">
        <v>14</v>
      </c>
      <c r="BJ735" t="s">
        <v>457</v>
      </c>
      <c r="BK735" t="s">
        <v>101</v>
      </c>
      <c r="BL735" t="s">
        <v>457</v>
      </c>
      <c r="BM735" t="s">
        <v>14131</v>
      </c>
      <c r="BN735">
        <v>28724405</v>
      </c>
      <c r="BO735" t="s">
        <v>658</v>
      </c>
      <c r="BP735" t="s">
        <v>74</v>
      </c>
      <c r="BQ735" t="s">
        <v>74</v>
      </c>
      <c r="BR735" t="s">
        <v>105</v>
      </c>
      <c r="BS735" t="s">
        <v>14132</v>
      </c>
      <c r="BT735" t="str">
        <f>HYPERLINK("https%3A%2F%2Fwww.webofscience.com%2Fwos%2Fwoscc%2Ffull-record%2FWOS:000405898200002","View Full Record in Web of Science")</f>
        <v>View Full Record in Web of Science</v>
      </c>
    </row>
    <row r="736" spans="1:72" x14ac:dyDescent="0.15">
      <c r="A736" t="s">
        <v>72</v>
      </c>
      <c r="B736" t="s">
        <v>14133</v>
      </c>
      <c r="C736" t="s">
        <v>74</v>
      </c>
      <c r="D736" t="s">
        <v>74</v>
      </c>
      <c r="E736" t="s">
        <v>74</v>
      </c>
      <c r="F736" t="s">
        <v>14134</v>
      </c>
      <c r="G736" t="s">
        <v>74</v>
      </c>
      <c r="H736" t="s">
        <v>74</v>
      </c>
      <c r="I736" t="s">
        <v>14135</v>
      </c>
      <c r="J736" t="s">
        <v>14136</v>
      </c>
      <c r="K736" t="s">
        <v>74</v>
      </c>
      <c r="L736" t="s">
        <v>74</v>
      </c>
      <c r="M736" t="s">
        <v>78</v>
      </c>
      <c r="N736" t="s">
        <v>79</v>
      </c>
      <c r="O736" t="s">
        <v>74</v>
      </c>
      <c r="P736" t="s">
        <v>74</v>
      </c>
      <c r="Q736" t="s">
        <v>74</v>
      </c>
      <c r="R736" t="s">
        <v>74</v>
      </c>
      <c r="S736" t="s">
        <v>74</v>
      </c>
      <c r="T736" t="s">
        <v>74</v>
      </c>
      <c r="U736" t="s">
        <v>74</v>
      </c>
      <c r="V736" t="s">
        <v>14137</v>
      </c>
      <c r="W736" t="s">
        <v>14138</v>
      </c>
      <c r="X736" t="s">
        <v>14139</v>
      </c>
      <c r="Y736" t="s">
        <v>14140</v>
      </c>
      <c r="Z736" t="s">
        <v>14141</v>
      </c>
      <c r="AA736" t="s">
        <v>14142</v>
      </c>
      <c r="AB736" t="s">
        <v>14143</v>
      </c>
      <c r="AC736" t="s">
        <v>14144</v>
      </c>
      <c r="AD736" t="s">
        <v>14145</v>
      </c>
      <c r="AE736" t="s">
        <v>14146</v>
      </c>
      <c r="AF736" t="s">
        <v>74</v>
      </c>
      <c r="AG736">
        <v>12</v>
      </c>
      <c r="AH736">
        <v>1</v>
      </c>
      <c r="AI736">
        <v>2</v>
      </c>
      <c r="AJ736">
        <v>0</v>
      </c>
      <c r="AK736">
        <v>3</v>
      </c>
      <c r="AL736" t="s">
        <v>311</v>
      </c>
      <c r="AM736" t="s">
        <v>312</v>
      </c>
      <c r="AN736" t="s">
        <v>313</v>
      </c>
      <c r="AO736" t="s">
        <v>14147</v>
      </c>
      <c r="AP736" t="s">
        <v>14148</v>
      </c>
      <c r="AQ736" t="s">
        <v>74</v>
      </c>
      <c r="AR736" t="s">
        <v>14149</v>
      </c>
      <c r="AS736" t="s">
        <v>14150</v>
      </c>
      <c r="AT736" t="s">
        <v>14151</v>
      </c>
      <c r="AU736">
        <v>2017</v>
      </c>
      <c r="AV736">
        <v>6</v>
      </c>
      <c r="AW736">
        <v>2</v>
      </c>
      <c r="AX736" t="s">
        <v>74</v>
      </c>
      <c r="AY736" t="s">
        <v>74</v>
      </c>
      <c r="AZ736" t="s">
        <v>74</v>
      </c>
      <c r="BA736" t="s">
        <v>74</v>
      </c>
      <c r="BB736">
        <v>269</v>
      </c>
      <c r="BC736">
        <v>277</v>
      </c>
      <c r="BD736" t="s">
        <v>74</v>
      </c>
      <c r="BE736" t="s">
        <v>14152</v>
      </c>
      <c r="BF736" t="str">
        <f>HYPERLINK("http://dx.doi.org/10.5194/gi-6-269-2017","http://dx.doi.org/10.5194/gi-6-269-2017")</f>
        <v>http://dx.doi.org/10.5194/gi-6-269-2017</v>
      </c>
      <c r="BG736" t="s">
        <v>74</v>
      </c>
      <c r="BH736" t="s">
        <v>74</v>
      </c>
      <c r="BI736">
        <v>9</v>
      </c>
      <c r="BJ736" t="s">
        <v>920</v>
      </c>
      <c r="BK736" t="s">
        <v>101</v>
      </c>
      <c r="BL736" t="s">
        <v>921</v>
      </c>
      <c r="BM736" t="s">
        <v>14153</v>
      </c>
      <c r="BN736" t="s">
        <v>74</v>
      </c>
      <c r="BO736" t="s">
        <v>1131</v>
      </c>
      <c r="BP736" t="s">
        <v>74</v>
      </c>
      <c r="BQ736" t="s">
        <v>74</v>
      </c>
      <c r="BR736" t="s">
        <v>105</v>
      </c>
      <c r="BS736" t="s">
        <v>14154</v>
      </c>
      <c r="BT736" t="str">
        <f>HYPERLINK("https%3A%2F%2Fwww.webofscience.com%2Fwos%2Fwoscc%2Ffull-record%2FWOS:000405778500001","View Full Record in Web of Science")</f>
        <v>View Full Record in Web of Science</v>
      </c>
    </row>
    <row r="737" spans="1:72" x14ac:dyDescent="0.15">
      <c r="A737" t="s">
        <v>72</v>
      </c>
      <c r="B737" t="s">
        <v>14155</v>
      </c>
      <c r="C737" t="s">
        <v>74</v>
      </c>
      <c r="D737" t="s">
        <v>74</v>
      </c>
      <c r="E737" t="s">
        <v>74</v>
      </c>
      <c r="F737" t="s">
        <v>14156</v>
      </c>
      <c r="G737" t="s">
        <v>74</v>
      </c>
      <c r="H737" t="s">
        <v>74</v>
      </c>
      <c r="I737" t="s">
        <v>14157</v>
      </c>
      <c r="J737" t="s">
        <v>14158</v>
      </c>
      <c r="K737" t="s">
        <v>74</v>
      </c>
      <c r="L737" t="s">
        <v>74</v>
      </c>
      <c r="M737" t="s">
        <v>78</v>
      </c>
      <c r="N737" t="s">
        <v>79</v>
      </c>
      <c r="O737" t="s">
        <v>74</v>
      </c>
      <c r="P737" t="s">
        <v>74</v>
      </c>
      <c r="Q737" t="s">
        <v>74</v>
      </c>
      <c r="R737" t="s">
        <v>74</v>
      </c>
      <c r="S737" t="s">
        <v>74</v>
      </c>
      <c r="T737" t="s">
        <v>74</v>
      </c>
      <c r="U737" t="s">
        <v>14159</v>
      </c>
      <c r="V737" t="s">
        <v>14160</v>
      </c>
      <c r="W737" t="s">
        <v>14161</v>
      </c>
      <c r="X737" t="s">
        <v>14162</v>
      </c>
      <c r="Y737" t="s">
        <v>14163</v>
      </c>
      <c r="Z737" t="s">
        <v>14164</v>
      </c>
      <c r="AA737" t="s">
        <v>14165</v>
      </c>
      <c r="AB737" t="s">
        <v>14166</v>
      </c>
      <c r="AC737" t="s">
        <v>14167</v>
      </c>
      <c r="AD737" t="s">
        <v>14168</v>
      </c>
      <c r="AE737" t="s">
        <v>14169</v>
      </c>
      <c r="AF737" t="s">
        <v>74</v>
      </c>
      <c r="AG737">
        <v>192</v>
      </c>
      <c r="AH737">
        <v>168</v>
      </c>
      <c r="AI737">
        <v>173</v>
      </c>
      <c r="AJ737">
        <v>2</v>
      </c>
      <c r="AK737">
        <v>142</v>
      </c>
      <c r="AL737" t="s">
        <v>311</v>
      </c>
      <c r="AM737" t="s">
        <v>312</v>
      </c>
      <c r="AN737" t="s">
        <v>313</v>
      </c>
      <c r="AO737" t="s">
        <v>14170</v>
      </c>
      <c r="AP737" t="s">
        <v>14171</v>
      </c>
      <c r="AQ737" t="s">
        <v>74</v>
      </c>
      <c r="AR737" t="s">
        <v>14172</v>
      </c>
      <c r="AS737" t="s">
        <v>14173</v>
      </c>
      <c r="AT737" t="s">
        <v>14151</v>
      </c>
      <c r="AU737">
        <v>2017</v>
      </c>
      <c r="AV737">
        <v>8</v>
      </c>
      <c r="AW737">
        <v>3</v>
      </c>
      <c r="AX737" t="s">
        <v>74</v>
      </c>
      <c r="AY737" t="s">
        <v>74</v>
      </c>
      <c r="AZ737" t="s">
        <v>74</v>
      </c>
      <c r="BA737" t="s">
        <v>74</v>
      </c>
      <c r="BB737">
        <v>577</v>
      </c>
      <c r="BC737">
        <v>616</v>
      </c>
      <c r="BD737" t="s">
        <v>74</v>
      </c>
      <c r="BE737" t="s">
        <v>14174</v>
      </c>
      <c r="BF737" t="str">
        <f>HYPERLINK("http://dx.doi.org/10.5194/esd-8-577-2017","http://dx.doi.org/10.5194/esd-8-577-2017")</f>
        <v>http://dx.doi.org/10.5194/esd-8-577-2017</v>
      </c>
      <c r="BG737" t="s">
        <v>74</v>
      </c>
      <c r="BH737" t="s">
        <v>74</v>
      </c>
      <c r="BI737">
        <v>40</v>
      </c>
      <c r="BJ737" t="s">
        <v>100</v>
      </c>
      <c r="BK737" t="s">
        <v>765</v>
      </c>
      <c r="BL737" t="s">
        <v>102</v>
      </c>
      <c r="BM737" t="s">
        <v>14175</v>
      </c>
      <c r="BN737" t="s">
        <v>74</v>
      </c>
      <c r="BO737" t="s">
        <v>4199</v>
      </c>
      <c r="BP737" t="s">
        <v>74</v>
      </c>
      <c r="BQ737" t="s">
        <v>74</v>
      </c>
      <c r="BR737" t="s">
        <v>105</v>
      </c>
      <c r="BS737" t="s">
        <v>14176</v>
      </c>
      <c r="BT737" t="str">
        <f>HYPERLINK("https%3A%2F%2Fwww.webofscience.com%2Fwos%2Fwoscc%2Ffull-record%2FWOS:000405777900001","View Full Record in Web of Science")</f>
        <v>View Full Record in Web of Science</v>
      </c>
    </row>
    <row r="738" spans="1:72" x14ac:dyDescent="0.15">
      <c r="A738" t="s">
        <v>72</v>
      </c>
      <c r="B738" t="s">
        <v>14177</v>
      </c>
      <c r="C738" t="s">
        <v>74</v>
      </c>
      <c r="D738" t="s">
        <v>74</v>
      </c>
      <c r="E738" t="s">
        <v>74</v>
      </c>
      <c r="F738" t="s">
        <v>14178</v>
      </c>
      <c r="G738" t="s">
        <v>74</v>
      </c>
      <c r="H738" t="s">
        <v>74</v>
      </c>
      <c r="I738" t="s">
        <v>14179</v>
      </c>
      <c r="J738" t="s">
        <v>14180</v>
      </c>
      <c r="K738" t="s">
        <v>74</v>
      </c>
      <c r="L738" t="s">
        <v>74</v>
      </c>
      <c r="M738" t="s">
        <v>78</v>
      </c>
      <c r="N738" t="s">
        <v>79</v>
      </c>
      <c r="O738" t="s">
        <v>74</v>
      </c>
      <c r="P738" t="s">
        <v>74</v>
      </c>
      <c r="Q738" t="s">
        <v>74</v>
      </c>
      <c r="R738" t="s">
        <v>74</v>
      </c>
      <c r="S738" t="s">
        <v>74</v>
      </c>
      <c r="T738" t="s">
        <v>74</v>
      </c>
      <c r="U738" t="s">
        <v>14181</v>
      </c>
      <c r="V738" t="s">
        <v>14182</v>
      </c>
      <c r="W738" t="s">
        <v>14183</v>
      </c>
      <c r="X738" t="s">
        <v>14184</v>
      </c>
      <c r="Y738" t="s">
        <v>14185</v>
      </c>
      <c r="Z738" t="s">
        <v>14186</v>
      </c>
      <c r="AA738" t="s">
        <v>14187</v>
      </c>
      <c r="AB738" t="s">
        <v>14188</v>
      </c>
      <c r="AC738" t="s">
        <v>14189</v>
      </c>
      <c r="AD738" t="s">
        <v>14190</v>
      </c>
      <c r="AE738" t="s">
        <v>14191</v>
      </c>
      <c r="AF738" t="s">
        <v>74</v>
      </c>
      <c r="AG738">
        <v>69</v>
      </c>
      <c r="AH738">
        <v>41</v>
      </c>
      <c r="AI738">
        <v>44</v>
      </c>
      <c r="AJ738">
        <v>1</v>
      </c>
      <c r="AK738">
        <v>53</v>
      </c>
      <c r="AL738" t="s">
        <v>9467</v>
      </c>
      <c r="AM738" t="s">
        <v>92</v>
      </c>
      <c r="AN738" t="s">
        <v>9468</v>
      </c>
      <c r="AO738" t="s">
        <v>14192</v>
      </c>
      <c r="AP738" t="s">
        <v>74</v>
      </c>
      <c r="AQ738" t="s">
        <v>74</v>
      </c>
      <c r="AR738" t="s">
        <v>14180</v>
      </c>
      <c r="AS738" t="s">
        <v>14193</v>
      </c>
      <c r="AT738" t="s">
        <v>14151</v>
      </c>
      <c r="AU738">
        <v>2017</v>
      </c>
      <c r="AV738">
        <v>33</v>
      </c>
      <c r="AW738">
        <v>28</v>
      </c>
      <c r="AX738" t="s">
        <v>74</v>
      </c>
      <c r="AY738" t="s">
        <v>74</v>
      </c>
      <c r="AZ738" t="s">
        <v>74</v>
      </c>
      <c r="BA738" t="s">
        <v>74</v>
      </c>
      <c r="BB738">
        <v>7202</v>
      </c>
      <c r="BC738">
        <v>7214</v>
      </c>
      <c r="BD738" t="s">
        <v>74</v>
      </c>
      <c r="BE738" t="s">
        <v>14194</v>
      </c>
      <c r="BF738" t="str">
        <f>HYPERLINK("http://dx.doi.org/10.1021/acs.langmuir.7b01733","http://dx.doi.org/10.1021/acs.langmuir.7b01733")</f>
        <v>http://dx.doi.org/10.1021/acs.langmuir.7b01733</v>
      </c>
      <c r="BG738" t="s">
        <v>74</v>
      </c>
      <c r="BH738" t="s">
        <v>74</v>
      </c>
      <c r="BI738">
        <v>13</v>
      </c>
      <c r="BJ738" t="s">
        <v>14195</v>
      </c>
      <c r="BK738" t="s">
        <v>101</v>
      </c>
      <c r="BL738" t="s">
        <v>14196</v>
      </c>
      <c r="BM738" t="s">
        <v>14197</v>
      </c>
      <c r="BN738">
        <v>28650167</v>
      </c>
      <c r="BO738" t="s">
        <v>74</v>
      </c>
      <c r="BP738" t="s">
        <v>74</v>
      </c>
      <c r="BQ738" t="s">
        <v>74</v>
      </c>
      <c r="BR738" t="s">
        <v>105</v>
      </c>
      <c r="BS738" t="s">
        <v>14198</v>
      </c>
      <c r="BT738" t="str">
        <f>HYPERLINK("https%3A%2F%2Fwww.webofscience.com%2Fwos%2Fwoscc%2Ffull-record%2FWOS:000406086000028","View Full Record in Web of Science")</f>
        <v>View Full Record in Web of Science</v>
      </c>
    </row>
    <row r="739" spans="1:72" x14ac:dyDescent="0.15">
      <c r="A739" t="s">
        <v>72</v>
      </c>
      <c r="B739" t="s">
        <v>14199</v>
      </c>
      <c r="C739" t="s">
        <v>74</v>
      </c>
      <c r="D739" t="s">
        <v>74</v>
      </c>
      <c r="E739" t="s">
        <v>74</v>
      </c>
      <c r="F739" t="s">
        <v>14200</v>
      </c>
      <c r="G739" t="s">
        <v>74</v>
      </c>
      <c r="H739" t="s">
        <v>74</v>
      </c>
      <c r="I739" t="s">
        <v>14201</v>
      </c>
      <c r="J739" t="s">
        <v>464</v>
      </c>
      <c r="K739" t="s">
        <v>74</v>
      </c>
      <c r="L739" t="s">
        <v>74</v>
      </c>
      <c r="M739" t="s">
        <v>78</v>
      </c>
      <c r="N739" t="s">
        <v>79</v>
      </c>
      <c r="O739" t="s">
        <v>74</v>
      </c>
      <c r="P739" t="s">
        <v>74</v>
      </c>
      <c r="Q739" t="s">
        <v>74</v>
      </c>
      <c r="R739" t="s">
        <v>74</v>
      </c>
      <c r="S739" t="s">
        <v>74</v>
      </c>
      <c r="T739" t="s">
        <v>14202</v>
      </c>
      <c r="U739" t="s">
        <v>14203</v>
      </c>
      <c r="V739" t="s">
        <v>14204</v>
      </c>
      <c r="W739" t="s">
        <v>14205</v>
      </c>
      <c r="X739" t="s">
        <v>14206</v>
      </c>
      <c r="Y739" t="s">
        <v>14207</v>
      </c>
      <c r="Z739" t="s">
        <v>14208</v>
      </c>
      <c r="AA739" t="s">
        <v>14209</v>
      </c>
      <c r="AB739" t="s">
        <v>14210</v>
      </c>
      <c r="AC739" t="s">
        <v>14211</v>
      </c>
      <c r="AD739" t="s">
        <v>14212</v>
      </c>
      <c r="AE739" t="s">
        <v>14213</v>
      </c>
      <c r="AF739" t="s">
        <v>74</v>
      </c>
      <c r="AG739">
        <v>64</v>
      </c>
      <c r="AH739">
        <v>55</v>
      </c>
      <c r="AI739">
        <v>63</v>
      </c>
      <c r="AJ739">
        <v>6</v>
      </c>
      <c r="AK739">
        <v>43</v>
      </c>
      <c r="AL739" t="s">
        <v>477</v>
      </c>
      <c r="AM739" t="s">
        <v>92</v>
      </c>
      <c r="AN739" t="s">
        <v>478</v>
      </c>
      <c r="AO739" t="s">
        <v>479</v>
      </c>
      <c r="AP739" t="s">
        <v>74</v>
      </c>
      <c r="AQ739" t="s">
        <v>74</v>
      </c>
      <c r="AR739" t="s">
        <v>480</v>
      </c>
      <c r="AS739" t="s">
        <v>481</v>
      </c>
      <c r="AT739" t="s">
        <v>14151</v>
      </c>
      <c r="AU739">
        <v>2017</v>
      </c>
      <c r="AV739">
        <v>114</v>
      </c>
      <c r="AW739">
        <v>29</v>
      </c>
      <c r="AX739" t="s">
        <v>74</v>
      </c>
      <c r="AY739" t="s">
        <v>74</v>
      </c>
      <c r="AZ739" t="s">
        <v>74</v>
      </c>
      <c r="BA739" t="s">
        <v>74</v>
      </c>
      <c r="BB739" t="s">
        <v>14214</v>
      </c>
      <c r="BC739" t="s">
        <v>14215</v>
      </c>
      <c r="BD739" t="s">
        <v>74</v>
      </c>
      <c r="BE739" t="s">
        <v>14216</v>
      </c>
      <c r="BF739" t="str">
        <f>HYPERLINK("http://dx.doi.org/10.1073/pnas.1613883114","http://dx.doi.org/10.1073/pnas.1613883114")</f>
        <v>http://dx.doi.org/10.1073/pnas.1613883114</v>
      </c>
      <c r="BG739" t="s">
        <v>74</v>
      </c>
      <c r="BH739" t="s">
        <v>74</v>
      </c>
      <c r="BI739">
        <v>9</v>
      </c>
      <c r="BJ739" t="s">
        <v>190</v>
      </c>
      <c r="BK739" t="s">
        <v>101</v>
      </c>
      <c r="BL739" t="s">
        <v>191</v>
      </c>
      <c r="BM739" t="s">
        <v>14217</v>
      </c>
      <c r="BN739">
        <v>28673973</v>
      </c>
      <c r="BO739" t="s">
        <v>122</v>
      </c>
      <c r="BP739" t="s">
        <v>74</v>
      </c>
      <c r="BQ739" t="s">
        <v>74</v>
      </c>
      <c r="BR739" t="s">
        <v>105</v>
      </c>
      <c r="BS739" t="s">
        <v>14218</v>
      </c>
      <c r="BT739" t="str">
        <f>HYPERLINK("https%3A%2F%2Fwww.webofscience.com%2Fwos%2Fwoscc%2Ffull-record%2FWOS:000405662300006","View Full Record in Web of Science")</f>
        <v>View Full Record in Web of Science</v>
      </c>
    </row>
    <row r="740" spans="1:72" x14ac:dyDescent="0.15">
      <c r="A740" t="s">
        <v>72</v>
      </c>
      <c r="B740" t="s">
        <v>14219</v>
      </c>
      <c r="C740" t="s">
        <v>74</v>
      </c>
      <c r="D740" t="s">
        <v>74</v>
      </c>
      <c r="E740" t="s">
        <v>74</v>
      </c>
      <c r="F740" t="s">
        <v>14220</v>
      </c>
      <c r="G740" t="s">
        <v>74</v>
      </c>
      <c r="H740" t="s">
        <v>74</v>
      </c>
      <c r="I740" t="s">
        <v>14221</v>
      </c>
      <c r="J740" t="s">
        <v>638</v>
      </c>
      <c r="K740" t="s">
        <v>74</v>
      </c>
      <c r="L740" t="s">
        <v>74</v>
      </c>
      <c r="M740" t="s">
        <v>78</v>
      </c>
      <c r="N740" t="s">
        <v>79</v>
      </c>
      <c r="O740" t="s">
        <v>74</v>
      </c>
      <c r="P740" t="s">
        <v>74</v>
      </c>
      <c r="Q740" t="s">
        <v>74</v>
      </c>
      <c r="R740" t="s">
        <v>74</v>
      </c>
      <c r="S740" t="s">
        <v>74</v>
      </c>
      <c r="T740" t="s">
        <v>74</v>
      </c>
      <c r="U740" t="s">
        <v>14222</v>
      </c>
      <c r="V740" t="s">
        <v>14223</v>
      </c>
      <c r="W740" t="s">
        <v>14224</v>
      </c>
      <c r="X740" t="s">
        <v>14225</v>
      </c>
      <c r="Y740" t="s">
        <v>14226</v>
      </c>
      <c r="Z740" t="s">
        <v>14227</v>
      </c>
      <c r="AA740" t="s">
        <v>14228</v>
      </c>
      <c r="AB740" t="s">
        <v>14229</v>
      </c>
      <c r="AC740" t="s">
        <v>14230</v>
      </c>
      <c r="AD740" t="s">
        <v>14231</v>
      </c>
      <c r="AE740" t="s">
        <v>14232</v>
      </c>
      <c r="AF740" t="s">
        <v>74</v>
      </c>
      <c r="AG740">
        <v>34</v>
      </c>
      <c r="AH740">
        <v>52</v>
      </c>
      <c r="AI740">
        <v>53</v>
      </c>
      <c r="AJ740">
        <v>3</v>
      </c>
      <c r="AK740">
        <v>27</v>
      </c>
      <c r="AL740" t="s">
        <v>650</v>
      </c>
      <c r="AM740" t="s">
        <v>651</v>
      </c>
      <c r="AN740" t="s">
        <v>652</v>
      </c>
      <c r="AO740" t="s">
        <v>653</v>
      </c>
      <c r="AP740" t="s">
        <v>74</v>
      </c>
      <c r="AQ740" t="s">
        <v>74</v>
      </c>
      <c r="AR740" t="s">
        <v>654</v>
      </c>
      <c r="AS740" t="s">
        <v>655</v>
      </c>
      <c r="AT740" t="s">
        <v>14151</v>
      </c>
      <c r="AU740">
        <v>2017</v>
      </c>
      <c r="AV740">
        <v>7</v>
      </c>
      <c r="AW740" t="s">
        <v>74</v>
      </c>
      <c r="AX740" t="s">
        <v>74</v>
      </c>
      <c r="AY740" t="s">
        <v>74</v>
      </c>
      <c r="AZ740" t="s">
        <v>74</v>
      </c>
      <c r="BA740" t="s">
        <v>74</v>
      </c>
      <c r="BB740" t="s">
        <v>74</v>
      </c>
      <c r="BC740" t="s">
        <v>74</v>
      </c>
      <c r="BD740">
        <v>5689</v>
      </c>
      <c r="BE740" t="s">
        <v>14233</v>
      </c>
      <c r="BF740" t="str">
        <f>HYPERLINK("http://dx.doi.org/10.1038/s41598-017-05989-4","http://dx.doi.org/10.1038/s41598-017-05989-4")</f>
        <v>http://dx.doi.org/10.1038/s41598-017-05989-4</v>
      </c>
      <c r="BG740" t="s">
        <v>74</v>
      </c>
      <c r="BH740" t="s">
        <v>74</v>
      </c>
      <c r="BI740">
        <v>8</v>
      </c>
      <c r="BJ740" t="s">
        <v>190</v>
      </c>
      <c r="BK740" t="s">
        <v>101</v>
      </c>
      <c r="BL740" t="s">
        <v>191</v>
      </c>
      <c r="BM740" t="s">
        <v>14234</v>
      </c>
      <c r="BN740">
        <v>28740147</v>
      </c>
      <c r="BO740" t="s">
        <v>658</v>
      </c>
      <c r="BP740" t="s">
        <v>74</v>
      </c>
      <c r="BQ740" t="s">
        <v>74</v>
      </c>
      <c r="BR740" t="s">
        <v>105</v>
      </c>
      <c r="BS740" t="s">
        <v>14235</v>
      </c>
      <c r="BT740" t="str">
        <f>HYPERLINK("https%3A%2F%2Fwww.webofscience.com%2Fwos%2Fwoscc%2Ffull-record%2FWOS:000406261000001","View Full Record in Web of Science")</f>
        <v>View Full Record in Web of Science</v>
      </c>
    </row>
    <row r="741" spans="1:72" x14ac:dyDescent="0.15">
      <c r="A741" t="s">
        <v>72</v>
      </c>
      <c r="B741" t="s">
        <v>14236</v>
      </c>
      <c r="C741" t="s">
        <v>74</v>
      </c>
      <c r="D741" t="s">
        <v>74</v>
      </c>
      <c r="E741" t="s">
        <v>74</v>
      </c>
      <c r="F741" t="s">
        <v>14237</v>
      </c>
      <c r="G741" t="s">
        <v>74</v>
      </c>
      <c r="H741" t="s">
        <v>74</v>
      </c>
      <c r="I741" t="s">
        <v>14238</v>
      </c>
      <c r="J741" t="s">
        <v>14239</v>
      </c>
      <c r="K741" t="s">
        <v>74</v>
      </c>
      <c r="L741" t="s">
        <v>74</v>
      </c>
      <c r="M741" t="s">
        <v>78</v>
      </c>
      <c r="N741" t="s">
        <v>79</v>
      </c>
      <c r="O741" t="s">
        <v>74</v>
      </c>
      <c r="P741" t="s">
        <v>74</v>
      </c>
      <c r="Q741" t="s">
        <v>74</v>
      </c>
      <c r="R741" t="s">
        <v>74</v>
      </c>
      <c r="S741" t="s">
        <v>74</v>
      </c>
      <c r="T741" t="s">
        <v>14240</v>
      </c>
      <c r="U741" t="s">
        <v>14241</v>
      </c>
      <c r="V741" t="s">
        <v>14242</v>
      </c>
      <c r="W741" t="s">
        <v>14243</v>
      </c>
      <c r="X741" t="s">
        <v>14244</v>
      </c>
      <c r="Y741" t="s">
        <v>14245</v>
      </c>
      <c r="Z741" t="s">
        <v>14246</v>
      </c>
      <c r="AA741" t="s">
        <v>14247</v>
      </c>
      <c r="AB741" t="s">
        <v>14248</v>
      </c>
      <c r="AC741" t="s">
        <v>14249</v>
      </c>
      <c r="AD741" t="s">
        <v>14250</v>
      </c>
      <c r="AE741" t="s">
        <v>14251</v>
      </c>
      <c r="AF741" t="s">
        <v>74</v>
      </c>
      <c r="AG741">
        <v>53</v>
      </c>
      <c r="AH741">
        <v>12</v>
      </c>
      <c r="AI741">
        <v>12</v>
      </c>
      <c r="AJ741">
        <v>1</v>
      </c>
      <c r="AK741">
        <v>23</v>
      </c>
      <c r="AL741" t="s">
        <v>14252</v>
      </c>
      <c r="AM741" t="s">
        <v>14253</v>
      </c>
      <c r="AN741" t="s">
        <v>14254</v>
      </c>
      <c r="AO741" t="s">
        <v>14255</v>
      </c>
      <c r="AP741" t="s">
        <v>14256</v>
      </c>
      <c r="AQ741" t="s">
        <v>74</v>
      </c>
      <c r="AR741" t="s">
        <v>14257</v>
      </c>
      <c r="AS741" t="s">
        <v>14258</v>
      </c>
      <c r="AT741" t="s">
        <v>14259</v>
      </c>
      <c r="AU741">
        <v>2017</v>
      </c>
      <c r="AV741">
        <v>36</v>
      </c>
      <c r="AW741" t="s">
        <v>74</v>
      </c>
      <c r="AX741" t="s">
        <v>74</v>
      </c>
      <c r="AY741" t="s">
        <v>74</v>
      </c>
      <c r="AZ741" t="s">
        <v>74</v>
      </c>
      <c r="BA741" t="s">
        <v>74</v>
      </c>
      <c r="BB741">
        <v>1</v>
      </c>
      <c r="BC741">
        <v>9</v>
      </c>
      <c r="BD741">
        <v>1297915</v>
      </c>
      <c r="BE741" t="s">
        <v>14260</v>
      </c>
      <c r="BF741" t="str">
        <f>HYPERLINK("http://dx.doi.org/10.1080/17518369.2017.1297915","http://dx.doi.org/10.1080/17518369.2017.1297915")</f>
        <v>http://dx.doi.org/10.1080/17518369.2017.1297915</v>
      </c>
      <c r="BG741" t="s">
        <v>74</v>
      </c>
      <c r="BH741" t="s">
        <v>74</v>
      </c>
      <c r="BI741">
        <v>9</v>
      </c>
      <c r="BJ741" t="s">
        <v>14261</v>
      </c>
      <c r="BK741" t="s">
        <v>101</v>
      </c>
      <c r="BL741" t="s">
        <v>14262</v>
      </c>
      <c r="BM741" t="s">
        <v>14263</v>
      </c>
      <c r="BN741" t="s">
        <v>74</v>
      </c>
      <c r="BO741" t="s">
        <v>1278</v>
      </c>
      <c r="BP741" t="s">
        <v>74</v>
      </c>
      <c r="BQ741" t="s">
        <v>74</v>
      </c>
      <c r="BR741" t="s">
        <v>105</v>
      </c>
      <c r="BS741" t="s">
        <v>14264</v>
      </c>
      <c r="BT741" t="str">
        <f>HYPERLINK("https%3A%2F%2Fwww.webofscience.com%2Fwos%2Fwoscc%2Ffull-record%2FWOS:000406522300001","View Full Record in Web of Science")</f>
        <v>View Full Record in Web of Science</v>
      </c>
    </row>
    <row r="742" spans="1:72" x14ac:dyDescent="0.15">
      <c r="A742" t="s">
        <v>72</v>
      </c>
      <c r="B742" t="s">
        <v>14265</v>
      </c>
      <c r="C742" t="s">
        <v>74</v>
      </c>
      <c r="D742" t="s">
        <v>74</v>
      </c>
      <c r="E742" t="s">
        <v>74</v>
      </c>
      <c r="F742" t="s">
        <v>14266</v>
      </c>
      <c r="G742" t="s">
        <v>74</v>
      </c>
      <c r="H742" t="s">
        <v>74</v>
      </c>
      <c r="I742" t="s">
        <v>14267</v>
      </c>
      <c r="J742" t="s">
        <v>144</v>
      </c>
      <c r="K742" t="s">
        <v>74</v>
      </c>
      <c r="L742" t="s">
        <v>74</v>
      </c>
      <c r="M742" t="s">
        <v>78</v>
      </c>
      <c r="N742" t="s">
        <v>79</v>
      </c>
      <c r="O742" t="s">
        <v>74</v>
      </c>
      <c r="P742" t="s">
        <v>74</v>
      </c>
      <c r="Q742" t="s">
        <v>74</v>
      </c>
      <c r="R742" t="s">
        <v>74</v>
      </c>
      <c r="S742" t="s">
        <v>74</v>
      </c>
      <c r="T742" t="s">
        <v>74</v>
      </c>
      <c r="U742" t="s">
        <v>14268</v>
      </c>
      <c r="V742" t="s">
        <v>14269</v>
      </c>
      <c r="W742" t="s">
        <v>14270</v>
      </c>
      <c r="X742" t="s">
        <v>14271</v>
      </c>
      <c r="Y742" t="s">
        <v>14272</v>
      </c>
      <c r="Z742" t="s">
        <v>14273</v>
      </c>
      <c r="AA742" t="s">
        <v>74</v>
      </c>
      <c r="AB742" t="s">
        <v>14274</v>
      </c>
      <c r="AC742" t="s">
        <v>14275</v>
      </c>
      <c r="AD742" t="s">
        <v>14276</v>
      </c>
      <c r="AE742" t="s">
        <v>14277</v>
      </c>
      <c r="AF742" t="s">
        <v>74</v>
      </c>
      <c r="AG742">
        <v>99</v>
      </c>
      <c r="AH742">
        <v>22</v>
      </c>
      <c r="AI742">
        <v>23</v>
      </c>
      <c r="AJ742">
        <v>1</v>
      </c>
      <c r="AK742">
        <v>8</v>
      </c>
      <c r="AL742" t="s">
        <v>91</v>
      </c>
      <c r="AM742" t="s">
        <v>92</v>
      </c>
      <c r="AN742" t="s">
        <v>93</v>
      </c>
      <c r="AO742" t="s">
        <v>156</v>
      </c>
      <c r="AP742" t="s">
        <v>157</v>
      </c>
      <c r="AQ742" t="s">
        <v>74</v>
      </c>
      <c r="AR742" t="s">
        <v>158</v>
      </c>
      <c r="AS742" t="s">
        <v>159</v>
      </c>
      <c r="AT742" t="s">
        <v>14278</v>
      </c>
      <c r="AU742">
        <v>2017</v>
      </c>
      <c r="AV742">
        <v>122</v>
      </c>
      <c r="AW742">
        <v>13</v>
      </c>
      <c r="AX742" t="s">
        <v>74</v>
      </c>
      <c r="AY742" t="s">
        <v>74</v>
      </c>
      <c r="AZ742" t="s">
        <v>74</v>
      </c>
      <c r="BA742" t="s">
        <v>74</v>
      </c>
      <c r="BB742">
        <v>6818</v>
      </c>
      <c r="BC742">
        <v>6843</v>
      </c>
      <c r="BD742" t="s">
        <v>74</v>
      </c>
      <c r="BE742" t="s">
        <v>14279</v>
      </c>
      <c r="BF742" t="str">
        <f>HYPERLINK("http://dx.doi.org/10.1002/2017JD026802","http://dx.doi.org/10.1002/2017JD026802")</f>
        <v>http://dx.doi.org/10.1002/2017JD026802</v>
      </c>
      <c r="BG742" t="s">
        <v>74</v>
      </c>
      <c r="BH742" t="s">
        <v>74</v>
      </c>
      <c r="BI742">
        <v>26</v>
      </c>
      <c r="BJ742" t="s">
        <v>162</v>
      </c>
      <c r="BK742" t="s">
        <v>101</v>
      </c>
      <c r="BL742" t="s">
        <v>162</v>
      </c>
      <c r="BM742" t="s">
        <v>14280</v>
      </c>
      <c r="BN742" t="s">
        <v>74</v>
      </c>
      <c r="BO742" t="s">
        <v>164</v>
      </c>
      <c r="BP742" t="s">
        <v>74</v>
      </c>
      <c r="BQ742" t="s">
        <v>74</v>
      </c>
      <c r="BR742" t="s">
        <v>105</v>
      </c>
      <c r="BS742" t="s">
        <v>14281</v>
      </c>
      <c r="BT742" t="str">
        <f>HYPERLINK("https%3A%2F%2Fwww.webofscience.com%2Fwos%2Fwoscc%2Ffull-record%2FWOS:000407900300008","View Full Record in Web of Science")</f>
        <v>View Full Record in Web of Science</v>
      </c>
    </row>
    <row r="743" spans="1:72" x14ac:dyDescent="0.15">
      <c r="A743" t="s">
        <v>72</v>
      </c>
      <c r="B743" t="s">
        <v>14282</v>
      </c>
      <c r="C743" t="s">
        <v>74</v>
      </c>
      <c r="D743" t="s">
        <v>74</v>
      </c>
      <c r="E743" t="s">
        <v>74</v>
      </c>
      <c r="F743" t="s">
        <v>14283</v>
      </c>
      <c r="G743" t="s">
        <v>74</v>
      </c>
      <c r="H743" t="s">
        <v>74</v>
      </c>
      <c r="I743" t="s">
        <v>14284</v>
      </c>
      <c r="J743" t="s">
        <v>77</v>
      </c>
      <c r="K743" t="s">
        <v>74</v>
      </c>
      <c r="L743" t="s">
        <v>74</v>
      </c>
      <c r="M743" t="s">
        <v>78</v>
      </c>
      <c r="N743" t="s">
        <v>79</v>
      </c>
      <c r="O743" t="s">
        <v>74</v>
      </c>
      <c r="P743" t="s">
        <v>74</v>
      </c>
      <c r="Q743" t="s">
        <v>74</v>
      </c>
      <c r="R743" t="s">
        <v>74</v>
      </c>
      <c r="S743" t="s">
        <v>74</v>
      </c>
      <c r="T743" t="s">
        <v>74</v>
      </c>
      <c r="U743" t="s">
        <v>14285</v>
      </c>
      <c r="V743" t="s">
        <v>14286</v>
      </c>
      <c r="W743" t="s">
        <v>14287</v>
      </c>
      <c r="X743" t="s">
        <v>3617</v>
      </c>
      <c r="Y743" t="s">
        <v>14288</v>
      </c>
      <c r="Z743" t="s">
        <v>14057</v>
      </c>
      <c r="AA743" t="s">
        <v>14289</v>
      </c>
      <c r="AB743" t="s">
        <v>14290</v>
      </c>
      <c r="AC743" t="s">
        <v>14291</v>
      </c>
      <c r="AD743" t="s">
        <v>14292</v>
      </c>
      <c r="AE743" t="s">
        <v>14293</v>
      </c>
      <c r="AF743" t="s">
        <v>74</v>
      </c>
      <c r="AG743">
        <v>29</v>
      </c>
      <c r="AH743">
        <v>194</v>
      </c>
      <c r="AI743">
        <v>210</v>
      </c>
      <c r="AJ743">
        <v>4</v>
      </c>
      <c r="AK743">
        <v>58</v>
      </c>
      <c r="AL743" t="s">
        <v>91</v>
      </c>
      <c r="AM743" t="s">
        <v>92</v>
      </c>
      <c r="AN743" t="s">
        <v>93</v>
      </c>
      <c r="AO743" t="s">
        <v>94</v>
      </c>
      <c r="AP743" t="s">
        <v>95</v>
      </c>
      <c r="AQ743" t="s">
        <v>74</v>
      </c>
      <c r="AR743" t="s">
        <v>96</v>
      </c>
      <c r="AS743" t="s">
        <v>97</v>
      </c>
      <c r="AT743" t="s">
        <v>14278</v>
      </c>
      <c r="AU743">
        <v>2017</v>
      </c>
      <c r="AV743">
        <v>44</v>
      </c>
      <c r="AW743">
        <v>13</v>
      </c>
      <c r="AX743" t="s">
        <v>74</v>
      </c>
      <c r="AY743" t="s">
        <v>74</v>
      </c>
      <c r="AZ743" t="s">
        <v>74</v>
      </c>
      <c r="BA743" t="s">
        <v>74</v>
      </c>
      <c r="BB743">
        <v>6868</v>
      </c>
      <c r="BC743">
        <v>6875</v>
      </c>
      <c r="BD743" t="s">
        <v>74</v>
      </c>
      <c r="BE743" t="s">
        <v>14294</v>
      </c>
      <c r="BF743" t="str">
        <f>HYPERLINK("http://dx.doi.org/10.1002/2017GL073656","http://dx.doi.org/10.1002/2017GL073656")</f>
        <v>http://dx.doi.org/10.1002/2017GL073656</v>
      </c>
      <c r="BG743" t="s">
        <v>74</v>
      </c>
      <c r="BH743" t="s">
        <v>74</v>
      </c>
      <c r="BI743">
        <v>8</v>
      </c>
      <c r="BJ743" t="s">
        <v>100</v>
      </c>
      <c r="BK743" t="s">
        <v>101</v>
      </c>
      <c r="BL743" t="s">
        <v>102</v>
      </c>
      <c r="BM743" t="s">
        <v>14295</v>
      </c>
      <c r="BN743" t="s">
        <v>74</v>
      </c>
      <c r="BO743" t="s">
        <v>1240</v>
      </c>
      <c r="BP743" t="s">
        <v>352</v>
      </c>
      <c r="BQ743" t="s">
        <v>353</v>
      </c>
      <c r="BR743" t="s">
        <v>105</v>
      </c>
      <c r="BS743" t="s">
        <v>14296</v>
      </c>
      <c r="BT743" t="str">
        <f>HYPERLINK("https%3A%2F%2Fwww.webofscience.com%2Fwos%2Fwoscc%2Ffull-record%2FWOS:000406257400047","View Full Record in Web of Science")</f>
        <v>View Full Record in Web of Science</v>
      </c>
    </row>
    <row r="744" spans="1:72" x14ac:dyDescent="0.15">
      <c r="A744" t="s">
        <v>72</v>
      </c>
      <c r="B744" t="s">
        <v>14297</v>
      </c>
      <c r="C744" t="s">
        <v>74</v>
      </c>
      <c r="D744" t="s">
        <v>74</v>
      </c>
      <c r="E744" t="s">
        <v>74</v>
      </c>
      <c r="F744" t="s">
        <v>14298</v>
      </c>
      <c r="G744" t="s">
        <v>74</v>
      </c>
      <c r="H744" t="s">
        <v>74</v>
      </c>
      <c r="I744" t="s">
        <v>14299</v>
      </c>
      <c r="J744" t="s">
        <v>77</v>
      </c>
      <c r="K744" t="s">
        <v>74</v>
      </c>
      <c r="L744" t="s">
        <v>74</v>
      </c>
      <c r="M744" t="s">
        <v>78</v>
      </c>
      <c r="N744" t="s">
        <v>79</v>
      </c>
      <c r="O744" t="s">
        <v>74</v>
      </c>
      <c r="P744" t="s">
        <v>74</v>
      </c>
      <c r="Q744" t="s">
        <v>74</v>
      </c>
      <c r="R744" t="s">
        <v>74</v>
      </c>
      <c r="S744" t="s">
        <v>74</v>
      </c>
      <c r="T744" t="s">
        <v>74</v>
      </c>
      <c r="U744" t="s">
        <v>14300</v>
      </c>
      <c r="V744" t="s">
        <v>14301</v>
      </c>
      <c r="W744" t="s">
        <v>14302</v>
      </c>
      <c r="X744" t="s">
        <v>14303</v>
      </c>
      <c r="Y744" t="s">
        <v>14304</v>
      </c>
      <c r="Z744" t="s">
        <v>14305</v>
      </c>
      <c r="AA744" t="s">
        <v>14306</v>
      </c>
      <c r="AB744" t="s">
        <v>7718</v>
      </c>
      <c r="AC744" t="s">
        <v>14307</v>
      </c>
      <c r="AD744" t="s">
        <v>14308</v>
      </c>
      <c r="AE744" t="s">
        <v>14309</v>
      </c>
      <c r="AF744" t="s">
        <v>74</v>
      </c>
      <c r="AG744">
        <v>31</v>
      </c>
      <c r="AH744">
        <v>22</v>
      </c>
      <c r="AI744">
        <v>22</v>
      </c>
      <c r="AJ744">
        <v>0</v>
      </c>
      <c r="AK744">
        <v>11</v>
      </c>
      <c r="AL744" t="s">
        <v>91</v>
      </c>
      <c r="AM744" t="s">
        <v>92</v>
      </c>
      <c r="AN744" t="s">
        <v>93</v>
      </c>
      <c r="AO744" t="s">
        <v>94</v>
      </c>
      <c r="AP744" t="s">
        <v>95</v>
      </c>
      <c r="AQ744" t="s">
        <v>74</v>
      </c>
      <c r="AR744" t="s">
        <v>96</v>
      </c>
      <c r="AS744" t="s">
        <v>97</v>
      </c>
      <c r="AT744" t="s">
        <v>14278</v>
      </c>
      <c r="AU744">
        <v>2017</v>
      </c>
      <c r="AV744">
        <v>44</v>
      </c>
      <c r="AW744">
        <v>13</v>
      </c>
      <c r="AX744" t="s">
        <v>74</v>
      </c>
      <c r="AY744" t="s">
        <v>74</v>
      </c>
      <c r="AZ744" t="s">
        <v>74</v>
      </c>
      <c r="BA744" t="s">
        <v>74</v>
      </c>
      <c r="BB744">
        <v>6951</v>
      </c>
      <c r="BC744">
        <v>6958</v>
      </c>
      <c r="BD744" t="s">
        <v>74</v>
      </c>
      <c r="BE744" t="s">
        <v>14310</v>
      </c>
      <c r="BF744" t="str">
        <f>HYPERLINK("http://dx.doi.org/10.1002/2017GL074087","http://dx.doi.org/10.1002/2017GL074087")</f>
        <v>http://dx.doi.org/10.1002/2017GL074087</v>
      </c>
      <c r="BG744" t="s">
        <v>74</v>
      </c>
      <c r="BH744" t="s">
        <v>74</v>
      </c>
      <c r="BI744">
        <v>8</v>
      </c>
      <c r="BJ744" t="s">
        <v>100</v>
      </c>
      <c r="BK744" t="s">
        <v>101</v>
      </c>
      <c r="BL744" t="s">
        <v>102</v>
      </c>
      <c r="BM744" t="s">
        <v>14295</v>
      </c>
      <c r="BN744" t="s">
        <v>74</v>
      </c>
      <c r="BO744" t="s">
        <v>74</v>
      </c>
      <c r="BP744" t="s">
        <v>74</v>
      </c>
      <c r="BQ744" t="s">
        <v>74</v>
      </c>
      <c r="BR744" t="s">
        <v>105</v>
      </c>
      <c r="BS744" t="s">
        <v>14311</v>
      </c>
      <c r="BT744" t="str">
        <f>HYPERLINK("https%3A%2F%2Fwww.webofscience.com%2Fwos%2Fwoscc%2Ffull-record%2FWOS:000406257400056","View Full Record in Web of Science")</f>
        <v>View Full Record in Web of Science</v>
      </c>
    </row>
    <row r="745" spans="1:72" x14ac:dyDescent="0.15">
      <c r="A745" t="s">
        <v>72</v>
      </c>
      <c r="B745" t="s">
        <v>14312</v>
      </c>
      <c r="C745" t="s">
        <v>74</v>
      </c>
      <c r="D745" t="s">
        <v>74</v>
      </c>
      <c r="E745" t="s">
        <v>74</v>
      </c>
      <c r="F745" t="s">
        <v>14313</v>
      </c>
      <c r="G745" t="s">
        <v>74</v>
      </c>
      <c r="H745" t="s">
        <v>74</v>
      </c>
      <c r="I745" t="s">
        <v>14314</v>
      </c>
      <c r="J745" t="s">
        <v>144</v>
      </c>
      <c r="K745" t="s">
        <v>74</v>
      </c>
      <c r="L745" t="s">
        <v>74</v>
      </c>
      <c r="M745" t="s">
        <v>78</v>
      </c>
      <c r="N745" t="s">
        <v>79</v>
      </c>
      <c r="O745" t="s">
        <v>74</v>
      </c>
      <c r="P745" t="s">
        <v>74</v>
      </c>
      <c r="Q745" t="s">
        <v>74</v>
      </c>
      <c r="R745" t="s">
        <v>74</v>
      </c>
      <c r="S745" t="s">
        <v>74</v>
      </c>
      <c r="T745" t="s">
        <v>74</v>
      </c>
      <c r="U745" t="s">
        <v>14315</v>
      </c>
      <c r="V745" t="s">
        <v>14316</v>
      </c>
      <c r="W745" t="s">
        <v>14317</v>
      </c>
      <c r="X745" t="s">
        <v>14318</v>
      </c>
      <c r="Y745" t="s">
        <v>14319</v>
      </c>
      <c r="Z745" t="s">
        <v>14320</v>
      </c>
      <c r="AA745" t="s">
        <v>14321</v>
      </c>
      <c r="AB745" t="s">
        <v>14322</v>
      </c>
      <c r="AC745" t="s">
        <v>14323</v>
      </c>
      <c r="AD745" t="s">
        <v>14324</v>
      </c>
      <c r="AE745" t="s">
        <v>14325</v>
      </c>
      <c r="AF745" t="s">
        <v>74</v>
      </c>
      <c r="AG745">
        <v>81</v>
      </c>
      <c r="AH745">
        <v>28</v>
      </c>
      <c r="AI745">
        <v>33</v>
      </c>
      <c r="AJ745">
        <v>2</v>
      </c>
      <c r="AK745">
        <v>36</v>
      </c>
      <c r="AL745" t="s">
        <v>91</v>
      </c>
      <c r="AM745" t="s">
        <v>92</v>
      </c>
      <c r="AN745" t="s">
        <v>93</v>
      </c>
      <c r="AO745" t="s">
        <v>156</v>
      </c>
      <c r="AP745" t="s">
        <v>157</v>
      </c>
      <c r="AQ745" t="s">
        <v>74</v>
      </c>
      <c r="AR745" t="s">
        <v>158</v>
      </c>
      <c r="AS745" t="s">
        <v>159</v>
      </c>
      <c r="AT745" t="s">
        <v>14278</v>
      </c>
      <c r="AU745">
        <v>2017</v>
      </c>
      <c r="AV745">
        <v>122</v>
      </c>
      <c r="AW745">
        <v>13</v>
      </c>
      <c r="AX745" t="s">
        <v>74</v>
      </c>
      <c r="AY745" t="s">
        <v>74</v>
      </c>
      <c r="AZ745" t="s">
        <v>74</v>
      </c>
      <c r="BA745" t="s">
        <v>74</v>
      </c>
      <c r="BB745">
        <v>6713</v>
      </c>
      <c r="BC745">
        <v>6728</v>
      </c>
      <c r="BD745" t="s">
        <v>74</v>
      </c>
      <c r="BE745" t="s">
        <v>14326</v>
      </c>
      <c r="BF745" t="str">
        <f>HYPERLINK("http://dx.doi.org/10.1002/2017JD026599","http://dx.doi.org/10.1002/2017JD026599")</f>
        <v>http://dx.doi.org/10.1002/2017JD026599</v>
      </c>
      <c r="BG745" t="s">
        <v>74</v>
      </c>
      <c r="BH745" t="s">
        <v>74</v>
      </c>
      <c r="BI745">
        <v>16</v>
      </c>
      <c r="BJ745" t="s">
        <v>162</v>
      </c>
      <c r="BK745" t="s">
        <v>101</v>
      </c>
      <c r="BL745" t="s">
        <v>162</v>
      </c>
      <c r="BM745" t="s">
        <v>14280</v>
      </c>
      <c r="BN745" t="s">
        <v>74</v>
      </c>
      <c r="BO745" t="s">
        <v>7860</v>
      </c>
      <c r="BP745" t="s">
        <v>74</v>
      </c>
      <c r="BQ745" t="s">
        <v>74</v>
      </c>
      <c r="BR745" t="s">
        <v>105</v>
      </c>
      <c r="BS745" t="s">
        <v>14327</v>
      </c>
      <c r="BT745" t="str">
        <f>HYPERLINK("https%3A%2F%2Fwww.webofscience.com%2Fwos%2Fwoscc%2Ffull-record%2FWOS:000407900300002","View Full Record in Web of Science")</f>
        <v>View Full Record in Web of Science</v>
      </c>
    </row>
    <row r="746" spans="1:72" x14ac:dyDescent="0.15">
      <c r="A746" t="s">
        <v>72</v>
      </c>
      <c r="B746" t="s">
        <v>14328</v>
      </c>
      <c r="C746" t="s">
        <v>74</v>
      </c>
      <c r="D746" t="s">
        <v>74</v>
      </c>
      <c r="E746" t="s">
        <v>74</v>
      </c>
      <c r="F746" t="s">
        <v>14329</v>
      </c>
      <c r="G746" t="s">
        <v>74</v>
      </c>
      <c r="H746" t="s">
        <v>74</v>
      </c>
      <c r="I746" t="s">
        <v>14330</v>
      </c>
      <c r="J746" t="s">
        <v>4960</v>
      </c>
      <c r="K746" t="s">
        <v>74</v>
      </c>
      <c r="L746" t="s">
        <v>74</v>
      </c>
      <c r="M746" t="s">
        <v>78</v>
      </c>
      <c r="N746" t="s">
        <v>79</v>
      </c>
      <c r="O746" t="s">
        <v>74</v>
      </c>
      <c r="P746" t="s">
        <v>74</v>
      </c>
      <c r="Q746" t="s">
        <v>74</v>
      </c>
      <c r="R746" t="s">
        <v>74</v>
      </c>
      <c r="S746" t="s">
        <v>74</v>
      </c>
      <c r="T746" t="s">
        <v>14331</v>
      </c>
      <c r="U746" t="s">
        <v>14332</v>
      </c>
      <c r="V746" t="s">
        <v>14333</v>
      </c>
      <c r="W746" t="s">
        <v>14334</v>
      </c>
      <c r="X746" t="s">
        <v>14335</v>
      </c>
      <c r="Y746" t="s">
        <v>14336</v>
      </c>
      <c r="Z746" t="s">
        <v>4383</v>
      </c>
      <c r="AA746" t="s">
        <v>14337</v>
      </c>
      <c r="AB746" t="s">
        <v>14338</v>
      </c>
      <c r="AC746" t="s">
        <v>14339</v>
      </c>
      <c r="AD746" t="s">
        <v>14340</v>
      </c>
      <c r="AE746" t="s">
        <v>14341</v>
      </c>
      <c r="AF746" t="s">
        <v>74</v>
      </c>
      <c r="AG746">
        <v>66</v>
      </c>
      <c r="AH746">
        <v>12</v>
      </c>
      <c r="AI746">
        <v>14</v>
      </c>
      <c r="AJ746">
        <v>8</v>
      </c>
      <c r="AK746">
        <v>63</v>
      </c>
      <c r="AL746" t="s">
        <v>1981</v>
      </c>
      <c r="AM746" t="s">
        <v>729</v>
      </c>
      <c r="AN746" t="s">
        <v>1982</v>
      </c>
      <c r="AO746" t="s">
        <v>4972</v>
      </c>
      <c r="AP746" t="s">
        <v>4973</v>
      </c>
      <c r="AQ746" t="s">
        <v>74</v>
      </c>
      <c r="AR746" t="s">
        <v>4974</v>
      </c>
      <c r="AS746" t="s">
        <v>4975</v>
      </c>
      <c r="AT746" t="s">
        <v>14342</v>
      </c>
      <c r="AU746">
        <v>2017</v>
      </c>
      <c r="AV746">
        <v>120</v>
      </c>
      <c r="AW746" t="s">
        <v>4976</v>
      </c>
      <c r="AX746" t="s">
        <v>74</v>
      </c>
      <c r="AY746" t="s">
        <v>74</v>
      </c>
      <c r="AZ746" t="s">
        <v>74</v>
      </c>
      <c r="BA746" t="s">
        <v>74</v>
      </c>
      <c r="BB746">
        <v>184</v>
      </c>
      <c r="BC746">
        <v>191</v>
      </c>
      <c r="BD746" t="s">
        <v>74</v>
      </c>
      <c r="BE746" t="s">
        <v>14343</v>
      </c>
      <c r="BF746" t="str">
        <f>HYPERLINK("http://dx.doi.org/10.1016/j.marpolbul.2017.05.018","http://dx.doi.org/10.1016/j.marpolbul.2017.05.018")</f>
        <v>http://dx.doi.org/10.1016/j.marpolbul.2017.05.018</v>
      </c>
      <c r="BG746" t="s">
        <v>74</v>
      </c>
      <c r="BH746" t="s">
        <v>74</v>
      </c>
      <c r="BI746">
        <v>8</v>
      </c>
      <c r="BJ746" t="s">
        <v>4978</v>
      </c>
      <c r="BK746" t="s">
        <v>101</v>
      </c>
      <c r="BL746" t="s">
        <v>4979</v>
      </c>
      <c r="BM746" t="s">
        <v>14344</v>
      </c>
      <c r="BN746">
        <v>28511941</v>
      </c>
      <c r="BO746" t="s">
        <v>74</v>
      </c>
      <c r="BP746" t="s">
        <v>74</v>
      </c>
      <c r="BQ746" t="s">
        <v>74</v>
      </c>
      <c r="BR746" t="s">
        <v>105</v>
      </c>
      <c r="BS746" t="s">
        <v>14345</v>
      </c>
      <c r="BT746" t="str">
        <f>HYPERLINK("https%3A%2F%2Fwww.webofscience.com%2Fwos%2Fwoscc%2Ffull-record%2FWOS:000407539300032","View Full Record in Web of Science")</f>
        <v>View Full Record in Web of Science</v>
      </c>
    </row>
    <row r="747" spans="1:72" x14ac:dyDescent="0.15">
      <c r="A747" t="s">
        <v>72</v>
      </c>
      <c r="B747" t="s">
        <v>14346</v>
      </c>
      <c r="C747" t="s">
        <v>74</v>
      </c>
      <c r="D747" t="s">
        <v>74</v>
      </c>
      <c r="E747" t="s">
        <v>74</v>
      </c>
      <c r="F747" t="s">
        <v>14347</v>
      </c>
      <c r="G747" t="s">
        <v>74</v>
      </c>
      <c r="H747" t="s">
        <v>74</v>
      </c>
      <c r="I747" t="s">
        <v>14348</v>
      </c>
      <c r="J747" t="s">
        <v>4960</v>
      </c>
      <c r="K747" t="s">
        <v>74</v>
      </c>
      <c r="L747" t="s">
        <v>74</v>
      </c>
      <c r="M747" t="s">
        <v>78</v>
      </c>
      <c r="N747" t="s">
        <v>79</v>
      </c>
      <c r="O747" t="s">
        <v>74</v>
      </c>
      <c r="P747" t="s">
        <v>74</v>
      </c>
      <c r="Q747" t="s">
        <v>74</v>
      </c>
      <c r="R747" t="s">
        <v>74</v>
      </c>
      <c r="S747" t="s">
        <v>74</v>
      </c>
      <c r="T747" t="s">
        <v>14349</v>
      </c>
      <c r="U747" t="s">
        <v>14350</v>
      </c>
      <c r="V747" t="s">
        <v>14351</v>
      </c>
      <c r="W747" t="s">
        <v>14352</v>
      </c>
      <c r="X747" t="s">
        <v>14353</v>
      </c>
      <c r="Y747" t="s">
        <v>14354</v>
      </c>
      <c r="Z747" t="s">
        <v>14355</v>
      </c>
      <c r="AA747" t="s">
        <v>14356</v>
      </c>
      <c r="AB747" t="s">
        <v>14357</v>
      </c>
      <c r="AC747" t="s">
        <v>14358</v>
      </c>
      <c r="AD747" t="s">
        <v>14359</v>
      </c>
      <c r="AE747" t="s">
        <v>14360</v>
      </c>
      <c r="AF747" t="s">
        <v>74</v>
      </c>
      <c r="AG747">
        <v>95</v>
      </c>
      <c r="AH747">
        <v>21</v>
      </c>
      <c r="AI747">
        <v>23</v>
      </c>
      <c r="AJ747">
        <v>0</v>
      </c>
      <c r="AK747">
        <v>35</v>
      </c>
      <c r="AL747" t="s">
        <v>1981</v>
      </c>
      <c r="AM747" t="s">
        <v>729</v>
      </c>
      <c r="AN747" t="s">
        <v>1982</v>
      </c>
      <c r="AO747" t="s">
        <v>4972</v>
      </c>
      <c r="AP747" t="s">
        <v>4973</v>
      </c>
      <c r="AQ747" t="s">
        <v>74</v>
      </c>
      <c r="AR747" t="s">
        <v>4974</v>
      </c>
      <c r="AS747" t="s">
        <v>4975</v>
      </c>
      <c r="AT747" t="s">
        <v>14342</v>
      </c>
      <c r="AU747">
        <v>2017</v>
      </c>
      <c r="AV747">
        <v>120</v>
      </c>
      <c r="AW747" t="s">
        <v>4976</v>
      </c>
      <c r="AX747" t="s">
        <v>74</v>
      </c>
      <c r="AY747" t="s">
        <v>74</v>
      </c>
      <c r="AZ747" t="s">
        <v>74</v>
      </c>
      <c r="BA747" t="s">
        <v>74</v>
      </c>
      <c r="BB747">
        <v>309</v>
      </c>
      <c r="BC747">
        <v>321</v>
      </c>
      <c r="BD747" t="s">
        <v>74</v>
      </c>
      <c r="BE747" t="s">
        <v>14361</v>
      </c>
      <c r="BF747" t="str">
        <f>HYPERLINK("http://dx.doi.org/10.1016/j.marpolbul.2017.05.042","http://dx.doi.org/10.1016/j.marpolbul.2017.05.042")</f>
        <v>http://dx.doi.org/10.1016/j.marpolbul.2017.05.042</v>
      </c>
      <c r="BG747" t="s">
        <v>74</v>
      </c>
      <c r="BH747" t="s">
        <v>74</v>
      </c>
      <c r="BI747">
        <v>13</v>
      </c>
      <c r="BJ747" t="s">
        <v>4978</v>
      </c>
      <c r="BK747" t="s">
        <v>101</v>
      </c>
      <c r="BL747" t="s">
        <v>4979</v>
      </c>
      <c r="BM747" t="s">
        <v>14344</v>
      </c>
      <c r="BN747">
        <v>28535958</v>
      </c>
      <c r="BO747" t="s">
        <v>74</v>
      </c>
      <c r="BP747" t="s">
        <v>74</v>
      </c>
      <c r="BQ747" t="s">
        <v>74</v>
      </c>
      <c r="BR747" t="s">
        <v>105</v>
      </c>
      <c r="BS747" t="s">
        <v>14362</v>
      </c>
      <c r="BT747" t="str">
        <f>HYPERLINK("https%3A%2F%2Fwww.webofscience.com%2Fwos%2Fwoscc%2Ffull-record%2FWOS:000407539300046","View Full Record in Web of Science")</f>
        <v>View Full Record in Web of Science</v>
      </c>
    </row>
    <row r="748" spans="1:72" x14ac:dyDescent="0.15">
      <c r="A748" t="s">
        <v>72</v>
      </c>
      <c r="B748" t="s">
        <v>14363</v>
      </c>
      <c r="C748" t="s">
        <v>74</v>
      </c>
      <c r="D748" t="s">
        <v>74</v>
      </c>
      <c r="E748" t="s">
        <v>74</v>
      </c>
      <c r="F748" t="s">
        <v>14364</v>
      </c>
      <c r="G748" t="s">
        <v>74</v>
      </c>
      <c r="H748" t="s">
        <v>74</v>
      </c>
      <c r="I748" t="s">
        <v>14365</v>
      </c>
      <c r="J748" t="s">
        <v>2256</v>
      </c>
      <c r="K748" t="s">
        <v>74</v>
      </c>
      <c r="L748" t="s">
        <v>74</v>
      </c>
      <c r="M748" t="s">
        <v>78</v>
      </c>
      <c r="N748" t="s">
        <v>79</v>
      </c>
      <c r="O748" t="s">
        <v>74</v>
      </c>
      <c r="P748" t="s">
        <v>74</v>
      </c>
      <c r="Q748" t="s">
        <v>74</v>
      </c>
      <c r="R748" t="s">
        <v>74</v>
      </c>
      <c r="S748" t="s">
        <v>74</v>
      </c>
      <c r="T748" t="s">
        <v>14366</v>
      </c>
      <c r="U748" t="s">
        <v>14367</v>
      </c>
      <c r="V748" t="s">
        <v>14368</v>
      </c>
      <c r="W748" t="s">
        <v>14369</v>
      </c>
      <c r="X748" t="s">
        <v>14370</v>
      </c>
      <c r="Y748" t="s">
        <v>14371</v>
      </c>
      <c r="Z748" t="s">
        <v>14372</v>
      </c>
      <c r="AA748" t="s">
        <v>14373</v>
      </c>
      <c r="AB748" t="s">
        <v>14374</v>
      </c>
      <c r="AC748" t="s">
        <v>14375</v>
      </c>
      <c r="AD748" t="s">
        <v>14376</v>
      </c>
      <c r="AE748" t="s">
        <v>14377</v>
      </c>
      <c r="AF748" t="s">
        <v>74</v>
      </c>
      <c r="AG748">
        <v>73</v>
      </c>
      <c r="AH748">
        <v>45</v>
      </c>
      <c r="AI748">
        <v>48</v>
      </c>
      <c r="AJ748">
        <v>0</v>
      </c>
      <c r="AK748">
        <v>29</v>
      </c>
      <c r="AL748" t="s">
        <v>1981</v>
      </c>
      <c r="AM748" t="s">
        <v>729</v>
      </c>
      <c r="AN748" t="s">
        <v>1982</v>
      </c>
      <c r="AO748" t="s">
        <v>2269</v>
      </c>
      <c r="AP748" t="s">
        <v>74</v>
      </c>
      <c r="AQ748" t="s">
        <v>74</v>
      </c>
      <c r="AR748" t="s">
        <v>2270</v>
      </c>
      <c r="AS748" t="s">
        <v>2271</v>
      </c>
      <c r="AT748" t="s">
        <v>14342</v>
      </c>
      <c r="AU748">
        <v>2017</v>
      </c>
      <c r="AV748">
        <v>168</v>
      </c>
      <c r="AW748" t="s">
        <v>74</v>
      </c>
      <c r="AX748" t="s">
        <v>74</v>
      </c>
      <c r="AY748" t="s">
        <v>74</v>
      </c>
      <c r="AZ748" t="s">
        <v>74</v>
      </c>
      <c r="BA748" t="s">
        <v>74</v>
      </c>
      <c r="BB748">
        <v>55</v>
      </c>
      <c r="BC748">
        <v>68</v>
      </c>
      <c r="BD748" t="s">
        <v>74</v>
      </c>
      <c r="BE748" t="s">
        <v>14378</v>
      </c>
      <c r="BF748" t="str">
        <f>HYPERLINK("http://dx.doi.org/10.1016/j.quascirev.2017.05.009","http://dx.doi.org/10.1016/j.quascirev.2017.05.009")</f>
        <v>http://dx.doi.org/10.1016/j.quascirev.2017.05.009</v>
      </c>
      <c r="BG748" t="s">
        <v>74</v>
      </c>
      <c r="BH748" t="s">
        <v>74</v>
      </c>
      <c r="BI748">
        <v>14</v>
      </c>
      <c r="BJ748" t="s">
        <v>319</v>
      </c>
      <c r="BK748" t="s">
        <v>101</v>
      </c>
      <c r="BL748" t="s">
        <v>320</v>
      </c>
      <c r="BM748" t="s">
        <v>14379</v>
      </c>
      <c r="BN748" t="s">
        <v>74</v>
      </c>
      <c r="BO748" t="s">
        <v>2091</v>
      </c>
      <c r="BP748" t="s">
        <v>74</v>
      </c>
      <c r="BQ748" t="s">
        <v>74</v>
      </c>
      <c r="BR748" t="s">
        <v>105</v>
      </c>
      <c r="BS748" t="s">
        <v>14380</v>
      </c>
      <c r="BT748" t="str">
        <f>HYPERLINK("https%3A%2F%2Fwww.webofscience.com%2Fwos%2Fwoscc%2Ffull-record%2FWOS:000404311500005","View Full Record in Web of Science")</f>
        <v>View Full Record in Web of Science</v>
      </c>
    </row>
    <row r="749" spans="1:72" x14ac:dyDescent="0.15">
      <c r="A749" t="s">
        <v>72</v>
      </c>
      <c r="B749" t="s">
        <v>14381</v>
      </c>
      <c r="C749" t="s">
        <v>74</v>
      </c>
      <c r="D749" t="s">
        <v>74</v>
      </c>
      <c r="E749" t="s">
        <v>74</v>
      </c>
      <c r="F749" t="s">
        <v>14382</v>
      </c>
      <c r="G749" t="s">
        <v>74</v>
      </c>
      <c r="H749" t="s">
        <v>74</v>
      </c>
      <c r="I749" t="s">
        <v>14383</v>
      </c>
      <c r="J749" t="s">
        <v>2256</v>
      </c>
      <c r="K749" t="s">
        <v>74</v>
      </c>
      <c r="L749" t="s">
        <v>74</v>
      </c>
      <c r="M749" t="s">
        <v>78</v>
      </c>
      <c r="N749" t="s">
        <v>79</v>
      </c>
      <c r="O749" t="s">
        <v>74</v>
      </c>
      <c r="P749" t="s">
        <v>74</v>
      </c>
      <c r="Q749" t="s">
        <v>74</v>
      </c>
      <c r="R749" t="s">
        <v>74</v>
      </c>
      <c r="S749" t="s">
        <v>74</v>
      </c>
      <c r="T749" t="s">
        <v>14384</v>
      </c>
      <c r="U749" t="s">
        <v>14385</v>
      </c>
      <c r="V749" t="s">
        <v>14386</v>
      </c>
      <c r="W749" t="s">
        <v>14387</v>
      </c>
      <c r="X749" t="s">
        <v>14388</v>
      </c>
      <c r="Y749" t="s">
        <v>14389</v>
      </c>
      <c r="Z749" t="s">
        <v>14390</v>
      </c>
      <c r="AA749" t="s">
        <v>14391</v>
      </c>
      <c r="AB749" t="s">
        <v>14392</v>
      </c>
      <c r="AC749" t="s">
        <v>14393</v>
      </c>
      <c r="AD749" t="s">
        <v>14394</v>
      </c>
      <c r="AE749" t="s">
        <v>14395</v>
      </c>
      <c r="AF749" t="s">
        <v>74</v>
      </c>
      <c r="AG749">
        <v>57</v>
      </c>
      <c r="AH749">
        <v>60</v>
      </c>
      <c r="AI749">
        <v>60</v>
      </c>
      <c r="AJ749">
        <v>0</v>
      </c>
      <c r="AK749">
        <v>31</v>
      </c>
      <c r="AL749" t="s">
        <v>1981</v>
      </c>
      <c r="AM749" t="s">
        <v>729</v>
      </c>
      <c r="AN749" t="s">
        <v>1982</v>
      </c>
      <c r="AO749" t="s">
        <v>2269</v>
      </c>
      <c r="AP749" t="s">
        <v>74</v>
      </c>
      <c r="AQ749" t="s">
        <v>74</v>
      </c>
      <c r="AR749" t="s">
        <v>2270</v>
      </c>
      <c r="AS749" t="s">
        <v>2271</v>
      </c>
      <c r="AT749" t="s">
        <v>14342</v>
      </c>
      <c r="AU749">
        <v>2017</v>
      </c>
      <c r="AV749">
        <v>168</v>
      </c>
      <c r="AW749" t="s">
        <v>74</v>
      </c>
      <c r="AX749" t="s">
        <v>74</v>
      </c>
      <c r="AY749" t="s">
        <v>74</v>
      </c>
      <c r="AZ749" t="s">
        <v>74</v>
      </c>
      <c r="BA749" t="s">
        <v>74</v>
      </c>
      <c r="BB749">
        <v>137</v>
      </c>
      <c r="BC749">
        <v>150</v>
      </c>
      <c r="BD749" t="s">
        <v>74</v>
      </c>
      <c r="BE749" t="s">
        <v>14396</v>
      </c>
      <c r="BF749" t="str">
        <f>HYPERLINK("http://dx.doi.org/10.1016/j.quascirev.2017.04.019","http://dx.doi.org/10.1016/j.quascirev.2017.04.019")</f>
        <v>http://dx.doi.org/10.1016/j.quascirev.2017.04.019</v>
      </c>
      <c r="BG749" t="s">
        <v>74</v>
      </c>
      <c r="BH749" t="s">
        <v>74</v>
      </c>
      <c r="BI749">
        <v>14</v>
      </c>
      <c r="BJ749" t="s">
        <v>319</v>
      </c>
      <c r="BK749" t="s">
        <v>101</v>
      </c>
      <c r="BL749" t="s">
        <v>320</v>
      </c>
      <c r="BM749" t="s">
        <v>14379</v>
      </c>
      <c r="BN749" t="s">
        <v>74</v>
      </c>
      <c r="BO749" t="s">
        <v>14397</v>
      </c>
      <c r="BP749" t="s">
        <v>74</v>
      </c>
      <c r="BQ749" t="s">
        <v>74</v>
      </c>
      <c r="BR749" t="s">
        <v>105</v>
      </c>
      <c r="BS749" t="s">
        <v>14398</v>
      </c>
      <c r="BT749" t="str">
        <f>HYPERLINK("https%3A%2F%2Fwww.webofscience.com%2Fwos%2Fwoscc%2Ffull-record%2FWOS:000404311500010","View Full Record in Web of Science")</f>
        <v>View Full Record in Web of Science</v>
      </c>
    </row>
    <row r="750" spans="1:72" x14ac:dyDescent="0.15">
      <c r="A750" t="s">
        <v>72</v>
      </c>
      <c r="B750" t="s">
        <v>14399</v>
      </c>
      <c r="C750" t="s">
        <v>74</v>
      </c>
      <c r="D750" t="s">
        <v>74</v>
      </c>
      <c r="E750" t="s">
        <v>74</v>
      </c>
      <c r="F750" t="s">
        <v>14400</v>
      </c>
      <c r="G750" t="s">
        <v>74</v>
      </c>
      <c r="H750" t="s">
        <v>74</v>
      </c>
      <c r="I750" t="s">
        <v>14401</v>
      </c>
      <c r="J750" t="s">
        <v>2256</v>
      </c>
      <c r="K750" t="s">
        <v>74</v>
      </c>
      <c r="L750" t="s">
        <v>74</v>
      </c>
      <c r="M750" t="s">
        <v>78</v>
      </c>
      <c r="N750" t="s">
        <v>79</v>
      </c>
      <c r="O750" t="s">
        <v>74</v>
      </c>
      <c r="P750" t="s">
        <v>74</v>
      </c>
      <c r="Q750" t="s">
        <v>74</v>
      </c>
      <c r="R750" t="s">
        <v>74</v>
      </c>
      <c r="S750" t="s">
        <v>74</v>
      </c>
      <c r="T750" t="s">
        <v>14402</v>
      </c>
      <c r="U750" t="s">
        <v>14403</v>
      </c>
      <c r="V750" t="s">
        <v>14404</v>
      </c>
      <c r="W750" t="s">
        <v>14405</v>
      </c>
      <c r="X750" t="s">
        <v>14406</v>
      </c>
      <c r="Y750" t="s">
        <v>14407</v>
      </c>
      <c r="Z750" t="s">
        <v>14408</v>
      </c>
      <c r="AA750" t="s">
        <v>14409</v>
      </c>
      <c r="AB750" t="s">
        <v>14410</v>
      </c>
      <c r="AC750" t="s">
        <v>14411</v>
      </c>
      <c r="AD750" t="s">
        <v>14412</v>
      </c>
      <c r="AE750" t="s">
        <v>14413</v>
      </c>
      <c r="AF750" t="s">
        <v>74</v>
      </c>
      <c r="AG750">
        <v>94</v>
      </c>
      <c r="AH750">
        <v>10</v>
      </c>
      <c r="AI750">
        <v>10</v>
      </c>
      <c r="AJ750">
        <v>0</v>
      </c>
      <c r="AK750">
        <v>11</v>
      </c>
      <c r="AL750" t="s">
        <v>1981</v>
      </c>
      <c r="AM750" t="s">
        <v>729</v>
      </c>
      <c r="AN750" t="s">
        <v>1982</v>
      </c>
      <c r="AO750" t="s">
        <v>2269</v>
      </c>
      <c r="AP750" t="s">
        <v>74</v>
      </c>
      <c r="AQ750" t="s">
        <v>74</v>
      </c>
      <c r="AR750" t="s">
        <v>2270</v>
      </c>
      <c r="AS750" t="s">
        <v>2271</v>
      </c>
      <c r="AT750" t="s">
        <v>14342</v>
      </c>
      <c r="AU750">
        <v>2017</v>
      </c>
      <c r="AV750">
        <v>168</v>
      </c>
      <c r="AW750" t="s">
        <v>74</v>
      </c>
      <c r="AX750" t="s">
        <v>74</v>
      </c>
      <c r="AY750" t="s">
        <v>74</v>
      </c>
      <c r="AZ750" t="s">
        <v>74</v>
      </c>
      <c r="BA750" t="s">
        <v>74</v>
      </c>
      <c r="BB750">
        <v>182</v>
      </c>
      <c r="BC750">
        <v>193</v>
      </c>
      <c r="BD750" t="s">
        <v>74</v>
      </c>
      <c r="BE750" t="s">
        <v>14414</v>
      </c>
      <c r="BF750" t="str">
        <f>HYPERLINK("http://dx.doi.org/10.1016/j.quascirev.2017.05.010","http://dx.doi.org/10.1016/j.quascirev.2017.05.010")</f>
        <v>http://dx.doi.org/10.1016/j.quascirev.2017.05.010</v>
      </c>
      <c r="BG750" t="s">
        <v>74</v>
      </c>
      <c r="BH750" t="s">
        <v>74</v>
      </c>
      <c r="BI750">
        <v>12</v>
      </c>
      <c r="BJ750" t="s">
        <v>319</v>
      </c>
      <c r="BK750" t="s">
        <v>101</v>
      </c>
      <c r="BL750" t="s">
        <v>320</v>
      </c>
      <c r="BM750" t="s">
        <v>14379</v>
      </c>
      <c r="BN750" t="s">
        <v>74</v>
      </c>
      <c r="BO750" t="s">
        <v>74</v>
      </c>
      <c r="BP750" t="s">
        <v>74</v>
      </c>
      <c r="BQ750" t="s">
        <v>74</v>
      </c>
      <c r="BR750" t="s">
        <v>105</v>
      </c>
      <c r="BS750" t="s">
        <v>14415</v>
      </c>
      <c r="BT750" t="str">
        <f>HYPERLINK("https%3A%2F%2Fwww.webofscience.com%2Fwos%2Fwoscc%2Ffull-record%2FWOS:000404311500012","View Full Record in Web of Science")</f>
        <v>View Full Record in Web of Science</v>
      </c>
    </row>
    <row r="751" spans="1:72" x14ac:dyDescent="0.15">
      <c r="A751" t="s">
        <v>72</v>
      </c>
      <c r="B751" t="s">
        <v>14416</v>
      </c>
      <c r="C751" t="s">
        <v>74</v>
      </c>
      <c r="D751" t="s">
        <v>74</v>
      </c>
      <c r="E751" t="s">
        <v>74</v>
      </c>
      <c r="F751" t="s">
        <v>14417</v>
      </c>
      <c r="G751" t="s">
        <v>74</v>
      </c>
      <c r="H751" t="s">
        <v>74</v>
      </c>
      <c r="I751" t="s">
        <v>14418</v>
      </c>
      <c r="J751" t="s">
        <v>663</v>
      </c>
      <c r="K751" t="s">
        <v>74</v>
      </c>
      <c r="L751" t="s">
        <v>74</v>
      </c>
      <c r="M751" t="s">
        <v>78</v>
      </c>
      <c r="N751" t="s">
        <v>79</v>
      </c>
      <c r="O751" t="s">
        <v>74</v>
      </c>
      <c r="P751" t="s">
        <v>74</v>
      </c>
      <c r="Q751" t="s">
        <v>74</v>
      </c>
      <c r="R751" t="s">
        <v>74</v>
      </c>
      <c r="S751" t="s">
        <v>74</v>
      </c>
      <c r="T751" t="s">
        <v>14419</v>
      </c>
      <c r="U751" t="s">
        <v>14420</v>
      </c>
      <c r="V751" t="s">
        <v>14421</v>
      </c>
      <c r="W751" t="s">
        <v>14422</v>
      </c>
      <c r="X751" t="s">
        <v>14423</v>
      </c>
      <c r="Y751" t="s">
        <v>14424</v>
      </c>
      <c r="Z751" t="s">
        <v>14425</v>
      </c>
      <c r="AA751" t="s">
        <v>14426</v>
      </c>
      <c r="AB751" t="s">
        <v>14427</v>
      </c>
      <c r="AC751" t="s">
        <v>14428</v>
      </c>
      <c r="AD751" t="s">
        <v>14429</v>
      </c>
      <c r="AE751" t="s">
        <v>14430</v>
      </c>
      <c r="AF751" t="s">
        <v>74</v>
      </c>
      <c r="AG751">
        <v>27</v>
      </c>
      <c r="AH751">
        <v>13</v>
      </c>
      <c r="AI751">
        <v>13</v>
      </c>
      <c r="AJ751">
        <v>0</v>
      </c>
      <c r="AK751">
        <v>22</v>
      </c>
      <c r="AL751" t="s">
        <v>371</v>
      </c>
      <c r="AM751" t="s">
        <v>372</v>
      </c>
      <c r="AN751" t="s">
        <v>373</v>
      </c>
      <c r="AO751" t="s">
        <v>676</v>
      </c>
      <c r="AP751" t="s">
        <v>677</v>
      </c>
      <c r="AQ751" t="s">
        <v>74</v>
      </c>
      <c r="AR751" t="s">
        <v>678</v>
      </c>
      <c r="AS751" t="s">
        <v>679</v>
      </c>
      <c r="AT751" t="s">
        <v>14342</v>
      </c>
      <c r="AU751">
        <v>2017</v>
      </c>
      <c r="AV751">
        <v>470</v>
      </c>
      <c r="AW751" t="s">
        <v>74</v>
      </c>
      <c r="AX751" t="s">
        <v>74</v>
      </c>
      <c r="AY751" t="s">
        <v>74</v>
      </c>
      <c r="AZ751" t="s">
        <v>74</v>
      </c>
      <c r="BA751" t="s">
        <v>74</v>
      </c>
      <c r="BB751">
        <v>48</v>
      </c>
      <c r="BC751">
        <v>53</v>
      </c>
      <c r="BD751" t="s">
        <v>74</v>
      </c>
      <c r="BE751" t="s">
        <v>14431</v>
      </c>
      <c r="BF751" t="str">
        <f>HYPERLINK("http://dx.doi.org/10.1016/j.epsl.2017.04.032","http://dx.doi.org/10.1016/j.epsl.2017.04.032")</f>
        <v>http://dx.doi.org/10.1016/j.epsl.2017.04.032</v>
      </c>
      <c r="BG751" t="s">
        <v>74</v>
      </c>
      <c r="BH751" t="s">
        <v>74</v>
      </c>
      <c r="BI751">
        <v>6</v>
      </c>
      <c r="BJ751" t="s">
        <v>509</v>
      </c>
      <c r="BK751" t="s">
        <v>101</v>
      </c>
      <c r="BL751" t="s">
        <v>509</v>
      </c>
      <c r="BM751" t="s">
        <v>14432</v>
      </c>
      <c r="BN751" t="s">
        <v>74</v>
      </c>
      <c r="BO751" t="s">
        <v>74</v>
      </c>
      <c r="BP751" t="s">
        <v>74</v>
      </c>
      <c r="BQ751" t="s">
        <v>74</v>
      </c>
      <c r="BR751" t="s">
        <v>105</v>
      </c>
      <c r="BS751" t="s">
        <v>14433</v>
      </c>
      <c r="BT751" t="str">
        <f>HYPERLINK("https%3A%2F%2Fwww.webofscience.com%2Fwos%2Fwoscc%2Ffull-record%2FWOS:000402944600005","View Full Record in Web of Science")</f>
        <v>View Full Record in Web of Science</v>
      </c>
    </row>
    <row r="752" spans="1:72" x14ac:dyDescent="0.15">
      <c r="A752" t="s">
        <v>72</v>
      </c>
      <c r="B752" t="s">
        <v>14434</v>
      </c>
      <c r="C752" t="s">
        <v>74</v>
      </c>
      <c r="D752" t="s">
        <v>74</v>
      </c>
      <c r="E752" t="s">
        <v>74</v>
      </c>
      <c r="F752" t="s">
        <v>14435</v>
      </c>
      <c r="G752" t="s">
        <v>74</v>
      </c>
      <c r="H752" t="s">
        <v>74</v>
      </c>
      <c r="I752" t="s">
        <v>14436</v>
      </c>
      <c r="J752" t="s">
        <v>8749</v>
      </c>
      <c r="K752" t="s">
        <v>74</v>
      </c>
      <c r="L752" t="s">
        <v>74</v>
      </c>
      <c r="M752" t="s">
        <v>78</v>
      </c>
      <c r="N752" t="s">
        <v>79</v>
      </c>
      <c r="O752" t="s">
        <v>74</v>
      </c>
      <c r="P752" t="s">
        <v>74</v>
      </c>
      <c r="Q752" t="s">
        <v>74</v>
      </c>
      <c r="R752" t="s">
        <v>74</v>
      </c>
      <c r="S752" t="s">
        <v>74</v>
      </c>
      <c r="T752" t="s">
        <v>14437</v>
      </c>
      <c r="U752" t="s">
        <v>14438</v>
      </c>
      <c r="V752" t="s">
        <v>14439</v>
      </c>
      <c r="W752" t="s">
        <v>14440</v>
      </c>
      <c r="X752" t="s">
        <v>14441</v>
      </c>
      <c r="Y752" t="s">
        <v>14442</v>
      </c>
      <c r="Z752" t="s">
        <v>14443</v>
      </c>
      <c r="AA752" t="s">
        <v>14444</v>
      </c>
      <c r="AB752" t="s">
        <v>14445</v>
      </c>
      <c r="AC752" t="s">
        <v>14446</v>
      </c>
      <c r="AD752" t="s">
        <v>14447</v>
      </c>
      <c r="AE752" t="s">
        <v>14448</v>
      </c>
      <c r="AF752" t="s">
        <v>74</v>
      </c>
      <c r="AG752">
        <v>49</v>
      </c>
      <c r="AH752">
        <v>35</v>
      </c>
      <c r="AI752">
        <v>41</v>
      </c>
      <c r="AJ752">
        <v>12</v>
      </c>
      <c r="AK752">
        <v>215</v>
      </c>
      <c r="AL752" t="s">
        <v>371</v>
      </c>
      <c r="AM752" t="s">
        <v>372</v>
      </c>
      <c r="AN752" t="s">
        <v>373</v>
      </c>
      <c r="AO752" t="s">
        <v>8761</v>
      </c>
      <c r="AP752" t="s">
        <v>8762</v>
      </c>
      <c r="AQ752" t="s">
        <v>74</v>
      </c>
      <c r="AR752" t="s">
        <v>8763</v>
      </c>
      <c r="AS752" t="s">
        <v>8764</v>
      </c>
      <c r="AT752" t="s">
        <v>14342</v>
      </c>
      <c r="AU752">
        <v>2017</v>
      </c>
      <c r="AV752">
        <v>590</v>
      </c>
      <c r="AW752" t="s">
        <v>74</v>
      </c>
      <c r="AX752" t="s">
        <v>74</v>
      </c>
      <c r="AY752" t="s">
        <v>74</v>
      </c>
      <c r="AZ752" t="s">
        <v>74</v>
      </c>
      <c r="BA752" t="s">
        <v>74</v>
      </c>
      <c r="BB752">
        <v>163</v>
      </c>
      <c r="BC752">
        <v>170</v>
      </c>
      <c r="BD752" t="s">
        <v>74</v>
      </c>
      <c r="BE752" t="s">
        <v>14449</v>
      </c>
      <c r="BF752" t="str">
        <f>HYPERLINK("http://dx.doi.org/10.1016/j.scitotenv.2017.02.192","http://dx.doi.org/10.1016/j.scitotenv.2017.02.192")</f>
        <v>http://dx.doi.org/10.1016/j.scitotenv.2017.02.192</v>
      </c>
      <c r="BG752" t="s">
        <v>74</v>
      </c>
      <c r="BH752" t="s">
        <v>74</v>
      </c>
      <c r="BI752">
        <v>8</v>
      </c>
      <c r="BJ752" t="s">
        <v>2867</v>
      </c>
      <c r="BK752" t="s">
        <v>101</v>
      </c>
      <c r="BL752" t="s">
        <v>1048</v>
      </c>
      <c r="BM752" t="s">
        <v>14450</v>
      </c>
      <c r="BN752">
        <v>28259436</v>
      </c>
      <c r="BO752" t="s">
        <v>74</v>
      </c>
      <c r="BP752" t="s">
        <v>74</v>
      </c>
      <c r="BQ752" t="s">
        <v>74</v>
      </c>
      <c r="BR752" t="s">
        <v>105</v>
      </c>
      <c r="BS752" t="s">
        <v>14451</v>
      </c>
      <c r="BT752" t="str">
        <f>HYPERLINK("https%3A%2F%2Fwww.webofscience.com%2Fwos%2Fwoscc%2Ffull-record%2FWOS:000399511800016","View Full Record in Web of Science")</f>
        <v>View Full Record in Web of Science</v>
      </c>
    </row>
    <row r="753" spans="1:72" x14ac:dyDescent="0.15">
      <c r="A753" t="s">
        <v>72</v>
      </c>
      <c r="B753" t="s">
        <v>14452</v>
      </c>
      <c r="C753" t="s">
        <v>74</v>
      </c>
      <c r="D753" t="s">
        <v>74</v>
      </c>
      <c r="E753" t="s">
        <v>74</v>
      </c>
      <c r="F753" t="s">
        <v>14453</v>
      </c>
      <c r="G753" t="s">
        <v>74</v>
      </c>
      <c r="H753" t="s">
        <v>74</v>
      </c>
      <c r="I753" t="s">
        <v>14454</v>
      </c>
      <c r="J753" t="s">
        <v>8749</v>
      </c>
      <c r="K753" t="s">
        <v>74</v>
      </c>
      <c r="L753" t="s">
        <v>74</v>
      </c>
      <c r="M753" t="s">
        <v>78</v>
      </c>
      <c r="N753" t="s">
        <v>79</v>
      </c>
      <c r="O753" t="s">
        <v>74</v>
      </c>
      <c r="P753" t="s">
        <v>74</v>
      </c>
      <c r="Q753" t="s">
        <v>74</v>
      </c>
      <c r="R753" t="s">
        <v>74</v>
      </c>
      <c r="S753" t="s">
        <v>74</v>
      </c>
      <c r="T753" t="s">
        <v>14455</v>
      </c>
      <c r="U753" t="s">
        <v>14456</v>
      </c>
      <c r="V753" t="s">
        <v>14457</v>
      </c>
      <c r="W753" t="s">
        <v>14458</v>
      </c>
      <c r="X753" t="s">
        <v>14459</v>
      </c>
      <c r="Y753" t="s">
        <v>14460</v>
      </c>
      <c r="Z753" t="s">
        <v>14461</v>
      </c>
      <c r="AA753" t="s">
        <v>74</v>
      </c>
      <c r="AB753" t="s">
        <v>14462</v>
      </c>
      <c r="AC753" t="s">
        <v>14463</v>
      </c>
      <c r="AD753" t="s">
        <v>14464</v>
      </c>
      <c r="AE753" t="s">
        <v>14465</v>
      </c>
      <c r="AF753" t="s">
        <v>74</v>
      </c>
      <c r="AG753">
        <v>50</v>
      </c>
      <c r="AH753">
        <v>40</v>
      </c>
      <c r="AI753">
        <v>43</v>
      </c>
      <c r="AJ753">
        <v>1</v>
      </c>
      <c r="AK753">
        <v>85</v>
      </c>
      <c r="AL753" t="s">
        <v>371</v>
      </c>
      <c r="AM753" t="s">
        <v>372</v>
      </c>
      <c r="AN753" t="s">
        <v>373</v>
      </c>
      <c r="AO753" t="s">
        <v>8761</v>
      </c>
      <c r="AP753" t="s">
        <v>8762</v>
      </c>
      <c r="AQ753" t="s">
        <v>74</v>
      </c>
      <c r="AR753" t="s">
        <v>8763</v>
      </c>
      <c r="AS753" t="s">
        <v>8764</v>
      </c>
      <c r="AT753" t="s">
        <v>14342</v>
      </c>
      <c r="AU753">
        <v>2017</v>
      </c>
      <c r="AV753">
        <v>590</v>
      </c>
      <c r="AW753" t="s">
        <v>74</v>
      </c>
      <c r="AX753" t="s">
        <v>74</v>
      </c>
      <c r="AY753" t="s">
        <v>74</v>
      </c>
      <c r="AZ753" t="s">
        <v>74</v>
      </c>
      <c r="BA753" t="s">
        <v>74</v>
      </c>
      <c r="BB753">
        <v>194</v>
      </c>
      <c r="BC753">
        <v>203</v>
      </c>
      <c r="BD753" t="s">
        <v>74</v>
      </c>
      <c r="BE753" t="s">
        <v>14466</v>
      </c>
      <c r="BF753" t="str">
        <f>HYPERLINK("http://dx.doi.org/10.1016/j.scitotenv.2017.02.204","http://dx.doi.org/10.1016/j.scitotenv.2017.02.204")</f>
        <v>http://dx.doi.org/10.1016/j.scitotenv.2017.02.204</v>
      </c>
      <c r="BG753" t="s">
        <v>74</v>
      </c>
      <c r="BH753" t="s">
        <v>74</v>
      </c>
      <c r="BI753">
        <v>10</v>
      </c>
      <c r="BJ753" t="s">
        <v>2867</v>
      </c>
      <c r="BK753" t="s">
        <v>101</v>
      </c>
      <c r="BL753" t="s">
        <v>1048</v>
      </c>
      <c r="BM753" t="s">
        <v>14450</v>
      </c>
      <c r="BN753">
        <v>28262358</v>
      </c>
      <c r="BO753" t="s">
        <v>74</v>
      </c>
      <c r="BP753" t="s">
        <v>74</v>
      </c>
      <c r="BQ753" t="s">
        <v>74</v>
      </c>
      <c r="BR753" t="s">
        <v>105</v>
      </c>
      <c r="BS753" t="s">
        <v>14467</v>
      </c>
      <c r="BT753" t="str">
        <f>HYPERLINK("https%3A%2F%2Fwww.webofscience.com%2Fwos%2Fwoscc%2Ffull-record%2FWOS:000399511800020","View Full Record in Web of Science")</f>
        <v>View Full Record in Web of Science</v>
      </c>
    </row>
    <row r="754" spans="1:72" x14ac:dyDescent="0.15">
      <c r="A754" t="s">
        <v>72</v>
      </c>
      <c r="B754" t="s">
        <v>14468</v>
      </c>
      <c r="C754" t="s">
        <v>74</v>
      </c>
      <c r="D754" t="s">
        <v>74</v>
      </c>
      <c r="E754" t="s">
        <v>74</v>
      </c>
      <c r="F754" t="s">
        <v>14469</v>
      </c>
      <c r="G754" t="s">
        <v>74</v>
      </c>
      <c r="H754" t="s">
        <v>74</v>
      </c>
      <c r="I754" t="s">
        <v>14470</v>
      </c>
      <c r="J754" t="s">
        <v>903</v>
      </c>
      <c r="K754" t="s">
        <v>74</v>
      </c>
      <c r="L754" t="s">
        <v>74</v>
      </c>
      <c r="M754" t="s">
        <v>78</v>
      </c>
      <c r="N754" t="s">
        <v>79</v>
      </c>
      <c r="O754" t="s">
        <v>74</v>
      </c>
      <c r="P754" t="s">
        <v>74</v>
      </c>
      <c r="Q754" t="s">
        <v>74</v>
      </c>
      <c r="R754" t="s">
        <v>74</v>
      </c>
      <c r="S754" t="s">
        <v>74</v>
      </c>
      <c r="T754" t="s">
        <v>74</v>
      </c>
      <c r="U754" t="s">
        <v>14471</v>
      </c>
      <c r="V754" t="s">
        <v>14472</v>
      </c>
      <c r="W754" t="s">
        <v>14473</v>
      </c>
      <c r="X754" t="s">
        <v>14474</v>
      </c>
      <c r="Y754" t="s">
        <v>14475</v>
      </c>
      <c r="Z754" t="s">
        <v>14476</v>
      </c>
      <c r="AA754" t="s">
        <v>14477</v>
      </c>
      <c r="AB754" t="s">
        <v>14478</v>
      </c>
      <c r="AC754" t="s">
        <v>14479</v>
      </c>
      <c r="AD754" t="s">
        <v>14480</v>
      </c>
      <c r="AE754" t="s">
        <v>14481</v>
      </c>
      <c r="AF754" t="s">
        <v>74</v>
      </c>
      <c r="AG754">
        <v>49</v>
      </c>
      <c r="AH754">
        <v>30</v>
      </c>
      <c r="AI754">
        <v>33</v>
      </c>
      <c r="AJ754">
        <v>0</v>
      </c>
      <c r="AK754">
        <v>14</v>
      </c>
      <c r="AL754" t="s">
        <v>311</v>
      </c>
      <c r="AM754" t="s">
        <v>312</v>
      </c>
      <c r="AN754" t="s">
        <v>313</v>
      </c>
      <c r="AO754" t="s">
        <v>915</v>
      </c>
      <c r="AP754" t="s">
        <v>916</v>
      </c>
      <c r="AQ754" t="s">
        <v>74</v>
      </c>
      <c r="AR754" t="s">
        <v>917</v>
      </c>
      <c r="AS754" t="s">
        <v>918</v>
      </c>
      <c r="AT754" t="s">
        <v>14482</v>
      </c>
      <c r="AU754">
        <v>2017</v>
      </c>
      <c r="AV754">
        <v>13</v>
      </c>
      <c r="AW754">
        <v>7</v>
      </c>
      <c r="AX754" t="s">
        <v>74</v>
      </c>
      <c r="AY754" t="s">
        <v>74</v>
      </c>
      <c r="AZ754" t="s">
        <v>74</v>
      </c>
      <c r="BA754" t="s">
        <v>74</v>
      </c>
      <c r="BB754">
        <v>879</v>
      </c>
      <c r="BC754">
        <v>895</v>
      </c>
      <c r="BD754" t="s">
        <v>74</v>
      </c>
      <c r="BE754" t="s">
        <v>14483</v>
      </c>
      <c r="BF754" t="str">
        <f>HYPERLINK("http://dx.doi.org/10.5194/cp-13-879-2017","http://dx.doi.org/10.5194/cp-13-879-2017")</f>
        <v>http://dx.doi.org/10.5194/cp-13-879-2017</v>
      </c>
      <c r="BG754" t="s">
        <v>74</v>
      </c>
      <c r="BH754" t="s">
        <v>74</v>
      </c>
      <c r="BI754">
        <v>17</v>
      </c>
      <c r="BJ754" t="s">
        <v>920</v>
      </c>
      <c r="BK754" t="s">
        <v>101</v>
      </c>
      <c r="BL754" t="s">
        <v>921</v>
      </c>
      <c r="BM754" t="s">
        <v>14484</v>
      </c>
      <c r="BN754" t="s">
        <v>74</v>
      </c>
      <c r="BO754" t="s">
        <v>322</v>
      </c>
      <c r="BP754" t="s">
        <v>74</v>
      </c>
      <c r="BQ754" t="s">
        <v>74</v>
      </c>
      <c r="BR754" t="s">
        <v>105</v>
      </c>
      <c r="BS754" t="s">
        <v>14485</v>
      </c>
      <c r="BT754" t="str">
        <f>HYPERLINK("https%3A%2F%2Fwww.webofscience.com%2Fwos%2Fwoscc%2Ffull-record%2FWOS:000405624100001","View Full Record in Web of Science")</f>
        <v>View Full Record in Web of Science</v>
      </c>
    </row>
    <row r="755" spans="1:72" x14ac:dyDescent="0.15">
      <c r="A755" t="s">
        <v>72</v>
      </c>
      <c r="B755" t="s">
        <v>14486</v>
      </c>
      <c r="C755" t="s">
        <v>74</v>
      </c>
      <c r="D755" t="s">
        <v>74</v>
      </c>
      <c r="E755" t="s">
        <v>74</v>
      </c>
      <c r="F755" t="s">
        <v>14487</v>
      </c>
      <c r="G755" t="s">
        <v>74</v>
      </c>
      <c r="H755" t="s">
        <v>74</v>
      </c>
      <c r="I755" t="s">
        <v>14488</v>
      </c>
      <c r="J755" t="s">
        <v>5454</v>
      </c>
      <c r="K755" t="s">
        <v>74</v>
      </c>
      <c r="L755" t="s">
        <v>74</v>
      </c>
      <c r="M755" t="s">
        <v>78</v>
      </c>
      <c r="N755" t="s">
        <v>79</v>
      </c>
      <c r="O755" t="s">
        <v>74</v>
      </c>
      <c r="P755" t="s">
        <v>74</v>
      </c>
      <c r="Q755" t="s">
        <v>74</v>
      </c>
      <c r="R755" t="s">
        <v>74</v>
      </c>
      <c r="S755" t="s">
        <v>74</v>
      </c>
      <c r="T755" t="s">
        <v>14489</v>
      </c>
      <c r="U755" t="s">
        <v>14490</v>
      </c>
      <c r="V755" t="s">
        <v>14491</v>
      </c>
      <c r="W755" t="s">
        <v>14492</v>
      </c>
      <c r="X755" t="s">
        <v>2603</v>
      </c>
      <c r="Y755" t="s">
        <v>14493</v>
      </c>
      <c r="Z755" t="s">
        <v>14494</v>
      </c>
      <c r="AA755" t="s">
        <v>74</v>
      </c>
      <c r="AB755" t="s">
        <v>14495</v>
      </c>
      <c r="AC755" t="s">
        <v>14496</v>
      </c>
      <c r="AD755" t="s">
        <v>14496</v>
      </c>
      <c r="AE755" t="s">
        <v>14497</v>
      </c>
      <c r="AF755" t="s">
        <v>74</v>
      </c>
      <c r="AG755">
        <v>104</v>
      </c>
      <c r="AH755">
        <v>8</v>
      </c>
      <c r="AI755">
        <v>8</v>
      </c>
      <c r="AJ755">
        <v>0</v>
      </c>
      <c r="AK755">
        <v>2</v>
      </c>
      <c r="AL755" t="s">
        <v>804</v>
      </c>
      <c r="AM755" t="s">
        <v>805</v>
      </c>
      <c r="AN755" t="s">
        <v>806</v>
      </c>
      <c r="AO755" t="s">
        <v>5467</v>
      </c>
      <c r="AP755" t="s">
        <v>5468</v>
      </c>
      <c r="AQ755" t="s">
        <v>74</v>
      </c>
      <c r="AR755" t="s">
        <v>5454</v>
      </c>
      <c r="AS755" t="s">
        <v>5469</v>
      </c>
      <c r="AT755" t="s">
        <v>14482</v>
      </c>
      <c r="AU755">
        <v>2017</v>
      </c>
      <c r="AV755">
        <v>4293</v>
      </c>
      <c r="AW755">
        <v>1</v>
      </c>
      <c r="AX755" t="s">
        <v>74</v>
      </c>
      <c r="AY755" t="s">
        <v>74</v>
      </c>
      <c r="AZ755" t="s">
        <v>74</v>
      </c>
      <c r="BA755" t="s">
        <v>74</v>
      </c>
      <c r="BB755">
        <v>1</v>
      </c>
      <c r="BC755">
        <v>65</v>
      </c>
      <c r="BD755" t="s">
        <v>74</v>
      </c>
      <c r="BE755" t="s">
        <v>14498</v>
      </c>
      <c r="BF755" t="str">
        <f>HYPERLINK("http://dx.doi.org/10.11646/zootaxa.4293.1.1","http://dx.doi.org/10.11646/zootaxa.4293.1.1")</f>
        <v>http://dx.doi.org/10.11646/zootaxa.4293.1.1</v>
      </c>
      <c r="BG755" t="s">
        <v>74</v>
      </c>
      <c r="BH755" t="s">
        <v>74</v>
      </c>
      <c r="BI755">
        <v>65</v>
      </c>
      <c r="BJ755" t="s">
        <v>2802</v>
      </c>
      <c r="BK755" t="s">
        <v>101</v>
      </c>
      <c r="BL755" t="s">
        <v>2802</v>
      </c>
      <c r="BM755" t="s">
        <v>14499</v>
      </c>
      <c r="BN755" t="s">
        <v>74</v>
      </c>
      <c r="BO755" t="s">
        <v>74</v>
      </c>
      <c r="BP755" t="s">
        <v>74</v>
      </c>
      <c r="BQ755" t="s">
        <v>74</v>
      </c>
      <c r="BR755" t="s">
        <v>105</v>
      </c>
      <c r="BS755" t="s">
        <v>14500</v>
      </c>
      <c r="BT755" t="str">
        <f>HYPERLINK("https%3A%2F%2Fwww.webofscience.com%2Fwos%2Fwoscc%2Ffull-record%2FWOS:000405371300001","View Full Record in Web of Science")</f>
        <v>View Full Record in Web of Science</v>
      </c>
    </row>
    <row r="756" spans="1:72" x14ac:dyDescent="0.15">
      <c r="A756" t="s">
        <v>72</v>
      </c>
      <c r="B756" t="s">
        <v>14501</v>
      </c>
      <c r="C756" t="s">
        <v>74</v>
      </c>
      <c r="D756" t="s">
        <v>74</v>
      </c>
      <c r="E756" t="s">
        <v>74</v>
      </c>
      <c r="F756" t="s">
        <v>14502</v>
      </c>
      <c r="G756" t="s">
        <v>74</v>
      </c>
      <c r="H756" t="s">
        <v>74</v>
      </c>
      <c r="I756" t="s">
        <v>14503</v>
      </c>
      <c r="J756" t="s">
        <v>817</v>
      </c>
      <c r="K756" t="s">
        <v>74</v>
      </c>
      <c r="L756" t="s">
        <v>74</v>
      </c>
      <c r="M756" t="s">
        <v>78</v>
      </c>
      <c r="N756" t="s">
        <v>79</v>
      </c>
      <c r="O756" t="s">
        <v>74</v>
      </c>
      <c r="P756" t="s">
        <v>74</v>
      </c>
      <c r="Q756" t="s">
        <v>74</v>
      </c>
      <c r="R756" t="s">
        <v>74</v>
      </c>
      <c r="S756" t="s">
        <v>74</v>
      </c>
      <c r="T756" t="s">
        <v>74</v>
      </c>
      <c r="U756" t="s">
        <v>14504</v>
      </c>
      <c r="V756" t="s">
        <v>14505</v>
      </c>
      <c r="W756" t="s">
        <v>14506</v>
      </c>
      <c r="X756" t="s">
        <v>14507</v>
      </c>
      <c r="Y756" t="s">
        <v>14508</v>
      </c>
      <c r="Z756" t="s">
        <v>14509</v>
      </c>
      <c r="AA756" t="s">
        <v>14510</v>
      </c>
      <c r="AB756" t="s">
        <v>14511</v>
      </c>
      <c r="AC756" t="s">
        <v>14512</v>
      </c>
      <c r="AD756" t="s">
        <v>14513</v>
      </c>
      <c r="AE756" t="s">
        <v>14514</v>
      </c>
      <c r="AF756" t="s">
        <v>74</v>
      </c>
      <c r="AG756">
        <v>55</v>
      </c>
      <c r="AH756">
        <v>21</v>
      </c>
      <c r="AI756">
        <v>24</v>
      </c>
      <c r="AJ756">
        <v>1</v>
      </c>
      <c r="AK756">
        <v>20</v>
      </c>
      <c r="AL756" t="s">
        <v>311</v>
      </c>
      <c r="AM756" t="s">
        <v>312</v>
      </c>
      <c r="AN756" t="s">
        <v>313</v>
      </c>
      <c r="AO756" t="s">
        <v>829</v>
      </c>
      <c r="AP756" t="s">
        <v>830</v>
      </c>
      <c r="AQ756" t="s">
        <v>74</v>
      </c>
      <c r="AR756" t="s">
        <v>831</v>
      </c>
      <c r="AS756" t="s">
        <v>832</v>
      </c>
      <c r="AT756" t="s">
        <v>14482</v>
      </c>
      <c r="AU756">
        <v>2017</v>
      </c>
      <c r="AV756">
        <v>17</v>
      </c>
      <c r="AW756">
        <v>13</v>
      </c>
      <c r="AX756" t="s">
        <v>74</v>
      </c>
      <c r="AY756" t="s">
        <v>74</v>
      </c>
      <c r="AZ756" t="s">
        <v>74</v>
      </c>
      <c r="BA756" t="s">
        <v>74</v>
      </c>
      <c r="BB756">
        <v>8577</v>
      </c>
      <c r="BC756">
        <v>8598</v>
      </c>
      <c r="BD756" t="s">
        <v>74</v>
      </c>
      <c r="BE756" t="s">
        <v>14515</v>
      </c>
      <c r="BF756" t="str">
        <f>HYPERLINK("http://dx.doi.org/10.5194/acp-17-8577-2017","http://dx.doi.org/10.5194/acp-17-8577-2017")</f>
        <v>http://dx.doi.org/10.5194/acp-17-8577-2017</v>
      </c>
      <c r="BG756" t="s">
        <v>74</v>
      </c>
      <c r="BH756" t="s">
        <v>74</v>
      </c>
      <c r="BI756">
        <v>22</v>
      </c>
      <c r="BJ756" t="s">
        <v>834</v>
      </c>
      <c r="BK756" t="s">
        <v>101</v>
      </c>
      <c r="BL756" t="s">
        <v>835</v>
      </c>
      <c r="BM756" t="s">
        <v>14516</v>
      </c>
      <c r="BN756" t="s">
        <v>74</v>
      </c>
      <c r="BO756" t="s">
        <v>1131</v>
      </c>
      <c r="BP756" t="s">
        <v>74</v>
      </c>
      <c r="BQ756" t="s">
        <v>74</v>
      </c>
      <c r="BR756" t="s">
        <v>105</v>
      </c>
      <c r="BS756" t="s">
        <v>14517</v>
      </c>
      <c r="BT756" t="str">
        <f>HYPERLINK("https%3A%2F%2Fwww.webofscience.com%2Fwos%2Fwoscc%2Ffull-record%2FWOS:000405466900001","View Full Record in Web of Science")</f>
        <v>View Full Record in Web of Science</v>
      </c>
    </row>
    <row r="757" spans="1:72" x14ac:dyDescent="0.15">
      <c r="A757" t="s">
        <v>72</v>
      </c>
      <c r="B757" t="s">
        <v>14518</v>
      </c>
      <c r="C757" t="s">
        <v>74</v>
      </c>
      <c r="D757" t="s">
        <v>74</v>
      </c>
      <c r="E757" t="s">
        <v>74</v>
      </c>
      <c r="F757" t="s">
        <v>14519</v>
      </c>
      <c r="G757" t="s">
        <v>74</v>
      </c>
      <c r="H757" t="s">
        <v>74</v>
      </c>
      <c r="I757" t="s">
        <v>14520</v>
      </c>
      <c r="J757" t="s">
        <v>437</v>
      </c>
      <c r="K757" t="s">
        <v>74</v>
      </c>
      <c r="L757" t="s">
        <v>74</v>
      </c>
      <c r="M757" t="s">
        <v>78</v>
      </c>
      <c r="N757" t="s">
        <v>79</v>
      </c>
      <c r="O757" t="s">
        <v>74</v>
      </c>
      <c r="P757" t="s">
        <v>74</v>
      </c>
      <c r="Q757" t="s">
        <v>74</v>
      </c>
      <c r="R757" t="s">
        <v>74</v>
      </c>
      <c r="S757" t="s">
        <v>74</v>
      </c>
      <c r="T757" t="s">
        <v>14521</v>
      </c>
      <c r="U757" t="s">
        <v>14522</v>
      </c>
      <c r="V757" t="s">
        <v>14523</v>
      </c>
      <c r="W757" t="s">
        <v>14524</v>
      </c>
      <c r="X757" t="s">
        <v>14525</v>
      </c>
      <c r="Y757" t="s">
        <v>14526</v>
      </c>
      <c r="Z757" t="s">
        <v>14527</v>
      </c>
      <c r="AA757" t="s">
        <v>14528</v>
      </c>
      <c r="AB757" t="s">
        <v>14529</v>
      </c>
      <c r="AC757" t="s">
        <v>14530</v>
      </c>
      <c r="AD757" t="s">
        <v>14531</v>
      </c>
      <c r="AE757" t="s">
        <v>14532</v>
      </c>
      <c r="AF757" t="s">
        <v>74</v>
      </c>
      <c r="AG757">
        <v>82</v>
      </c>
      <c r="AH757">
        <v>55</v>
      </c>
      <c r="AI757">
        <v>69</v>
      </c>
      <c r="AJ757">
        <v>3</v>
      </c>
      <c r="AK757">
        <v>98</v>
      </c>
      <c r="AL757" t="s">
        <v>450</v>
      </c>
      <c r="AM757" t="s">
        <v>451</v>
      </c>
      <c r="AN757" t="s">
        <v>452</v>
      </c>
      <c r="AO757" t="s">
        <v>74</v>
      </c>
      <c r="AP757" t="s">
        <v>453</v>
      </c>
      <c r="AQ757" t="s">
        <v>74</v>
      </c>
      <c r="AR757" t="s">
        <v>454</v>
      </c>
      <c r="AS757" t="s">
        <v>455</v>
      </c>
      <c r="AT757" t="s">
        <v>14482</v>
      </c>
      <c r="AU757">
        <v>2017</v>
      </c>
      <c r="AV757">
        <v>8</v>
      </c>
      <c r="AW757" t="s">
        <v>74</v>
      </c>
      <c r="AX757" t="s">
        <v>74</v>
      </c>
      <c r="AY757" t="s">
        <v>74</v>
      </c>
      <c r="AZ757" t="s">
        <v>74</v>
      </c>
      <c r="BA757" t="s">
        <v>74</v>
      </c>
      <c r="BB757" t="s">
        <v>74</v>
      </c>
      <c r="BC757" t="s">
        <v>74</v>
      </c>
      <c r="BD757">
        <v>1346</v>
      </c>
      <c r="BE757" t="s">
        <v>14533</v>
      </c>
      <c r="BF757" t="str">
        <f>HYPERLINK("http://dx.doi.org/10.3389/fmicb.2017.01346","http://dx.doi.org/10.3389/fmicb.2017.01346")</f>
        <v>http://dx.doi.org/10.3389/fmicb.2017.01346</v>
      </c>
      <c r="BG757" t="s">
        <v>74</v>
      </c>
      <c r="BH757" t="s">
        <v>74</v>
      </c>
      <c r="BI757">
        <v>12</v>
      </c>
      <c r="BJ757" t="s">
        <v>457</v>
      </c>
      <c r="BK757" t="s">
        <v>101</v>
      </c>
      <c r="BL757" t="s">
        <v>457</v>
      </c>
      <c r="BM757" t="s">
        <v>14534</v>
      </c>
      <c r="BN757">
        <v>28769908</v>
      </c>
      <c r="BO757" t="s">
        <v>1112</v>
      </c>
      <c r="BP757" t="s">
        <v>74</v>
      </c>
      <c r="BQ757" t="s">
        <v>74</v>
      </c>
      <c r="BR757" t="s">
        <v>105</v>
      </c>
      <c r="BS757" t="s">
        <v>14535</v>
      </c>
      <c r="BT757" t="str">
        <f>HYPERLINK("https%3A%2F%2Fwww.webofscience.com%2Fwos%2Fwoscc%2Ffull-record%2FWOS:000406158900001","View Full Record in Web of Science")</f>
        <v>View Full Record in Web of Science</v>
      </c>
    </row>
    <row r="758" spans="1:72" x14ac:dyDescent="0.15">
      <c r="A758" t="s">
        <v>72</v>
      </c>
      <c r="B758" t="s">
        <v>14536</v>
      </c>
      <c r="C758" t="s">
        <v>74</v>
      </c>
      <c r="D758" t="s">
        <v>74</v>
      </c>
      <c r="E758" t="s">
        <v>74</v>
      </c>
      <c r="F758" t="s">
        <v>14537</v>
      </c>
      <c r="G758" t="s">
        <v>74</v>
      </c>
      <c r="H758" t="s">
        <v>74</v>
      </c>
      <c r="I758" t="s">
        <v>14538</v>
      </c>
      <c r="J758" t="s">
        <v>953</v>
      </c>
      <c r="K758" t="s">
        <v>74</v>
      </c>
      <c r="L758" t="s">
        <v>74</v>
      </c>
      <c r="M758" t="s">
        <v>78</v>
      </c>
      <c r="N758" t="s">
        <v>79</v>
      </c>
      <c r="O758" t="s">
        <v>74</v>
      </c>
      <c r="P758" t="s">
        <v>74</v>
      </c>
      <c r="Q758" t="s">
        <v>74</v>
      </c>
      <c r="R758" t="s">
        <v>74</v>
      </c>
      <c r="S758" t="s">
        <v>74</v>
      </c>
      <c r="T758" t="s">
        <v>74</v>
      </c>
      <c r="U758" t="s">
        <v>14539</v>
      </c>
      <c r="V758" t="s">
        <v>14540</v>
      </c>
      <c r="W758" t="s">
        <v>14541</v>
      </c>
      <c r="X758" t="s">
        <v>14542</v>
      </c>
      <c r="Y758" t="s">
        <v>14543</v>
      </c>
      <c r="Z758" t="s">
        <v>14544</v>
      </c>
      <c r="AA758" t="s">
        <v>14545</v>
      </c>
      <c r="AB758" t="s">
        <v>14546</v>
      </c>
      <c r="AC758" t="s">
        <v>14547</v>
      </c>
      <c r="AD758" t="s">
        <v>14548</v>
      </c>
      <c r="AE758" t="s">
        <v>14549</v>
      </c>
      <c r="AF758" t="s">
        <v>74</v>
      </c>
      <c r="AG758">
        <v>70</v>
      </c>
      <c r="AH758">
        <v>362</v>
      </c>
      <c r="AI758">
        <v>375</v>
      </c>
      <c r="AJ758">
        <v>17</v>
      </c>
      <c r="AK758">
        <v>117</v>
      </c>
      <c r="AL758" t="s">
        <v>650</v>
      </c>
      <c r="AM758" t="s">
        <v>651</v>
      </c>
      <c r="AN758" t="s">
        <v>652</v>
      </c>
      <c r="AO758" t="s">
        <v>74</v>
      </c>
      <c r="AP758" t="s">
        <v>965</v>
      </c>
      <c r="AQ758" t="s">
        <v>74</v>
      </c>
      <c r="AR758" t="s">
        <v>966</v>
      </c>
      <c r="AS758" t="s">
        <v>967</v>
      </c>
      <c r="AT758" t="s">
        <v>14482</v>
      </c>
      <c r="AU758">
        <v>2017</v>
      </c>
      <c r="AV758">
        <v>8</v>
      </c>
      <c r="AW758" t="s">
        <v>74</v>
      </c>
      <c r="AX758" t="s">
        <v>74</v>
      </c>
      <c r="AY758" t="s">
        <v>74</v>
      </c>
      <c r="AZ758" t="s">
        <v>74</v>
      </c>
      <c r="BA758" t="s">
        <v>74</v>
      </c>
      <c r="BB758" t="s">
        <v>74</v>
      </c>
      <c r="BC758" t="s">
        <v>74</v>
      </c>
      <c r="BD758">
        <v>16101</v>
      </c>
      <c r="BE758" t="s">
        <v>14550</v>
      </c>
      <c r="BF758" t="str">
        <f>HYPERLINK("http://dx.doi.org/10.1038/ncomms16101","http://dx.doi.org/10.1038/ncomms16101")</f>
        <v>http://dx.doi.org/10.1038/ncomms16101</v>
      </c>
      <c r="BG758" t="s">
        <v>74</v>
      </c>
      <c r="BH758" t="s">
        <v>74</v>
      </c>
      <c r="BI758">
        <v>12</v>
      </c>
      <c r="BJ758" t="s">
        <v>190</v>
      </c>
      <c r="BK758" t="s">
        <v>101</v>
      </c>
      <c r="BL758" t="s">
        <v>191</v>
      </c>
      <c r="BM758" t="s">
        <v>14551</v>
      </c>
      <c r="BN758">
        <v>28706247</v>
      </c>
      <c r="BO758" t="s">
        <v>3746</v>
      </c>
      <c r="BP758" t="s">
        <v>352</v>
      </c>
      <c r="BQ758" t="s">
        <v>353</v>
      </c>
      <c r="BR758" t="s">
        <v>105</v>
      </c>
      <c r="BS758" t="s">
        <v>14552</v>
      </c>
      <c r="BT758" t="str">
        <f>HYPERLINK("https%3A%2F%2Fwww.webofscience.com%2Fwos%2Fwoscc%2Ffull-record%2FWOS:000405466000001","View Full Record in Web of Science")</f>
        <v>View Full Record in Web of Science</v>
      </c>
    </row>
    <row r="759" spans="1:72" x14ac:dyDescent="0.15">
      <c r="A759" t="s">
        <v>72</v>
      </c>
      <c r="B759" t="s">
        <v>14553</v>
      </c>
      <c r="C759" t="s">
        <v>74</v>
      </c>
      <c r="D759" t="s">
        <v>74</v>
      </c>
      <c r="E759" t="s">
        <v>74</v>
      </c>
      <c r="F759" t="s">
        <v>14554</v>
      </c>
      <c r="G759" t="s">
        <v>74</v>
      </c>
      <c r="H759" t="s">
        <v>74</v>
      </c>
      <c r="I759" t="s">
        <v>14555</v>
      </c>
      <c r="J759" t="s">
        <v>903</v>
      </c>
      <c r="K759" t="s">
        <v>74</v>
      </c>
      <c r="L759" t="s">
        <v>74</v>
      </c>
      <c r="M759" t="s">
        <v>78</v>
      </c>
      <c r="N759" t="s">
        <v>79</v>
      </c>
      <c r="O759" t="s">
        <v>74</v>
      </c>
      <c r="P759" t="s">
        <v>74</v>
      </c>
      <c r="Q759" t="s">
        <v>74</v>
      </c>
      <c r="R759" t="s">
        <v>74</v>
      </c>
      <c r="S759" t="s">
        <v>74</v>
      </c>
      <c r="T759" t="s">
        <v>74</v>
      </c>
      <c r="U759" t="s">
        <v>14556</v>
      </c>
      <c r="V759" t="s">
        <v>14557</v>
      </c>
      <c r="W759" t="s">
        <v>14558</v>
      </c>
      <c r="X759" t="s">
        <v>14559</v>
      </c>
      <c r="Y759" t="s">
        <v>14560</v>
      </c>
      <c r="Z759" t="s">
        <v>14561</v>
      </c>
      <c r="AA759" t="s">
        <v>14562</v>
      </c>
      <c r="AB759" t="s">
        <v>14563</v>
      </c>
      <c r="AC759" t="s">
        <v>14564</v>
      </c>
      <c r="AD759" t="s">
        <v>14565</v>
      </c>
      <c r="AE759" t="s">
        <v>14566</v>
      </c>
      <c r="AF759" t="s">
        <v>74</v>
      </c>
      <c r="AG759">
        <v>94</v>
      </c>
      <c r="AH759">
        <v>24</v>
      </c>
      <c r="AI759">
        <v>24</v>
      </c>
      <c r="AJ759">
        <v>0</v>
      </c>
      <c r="AK759">
        <v>5</v>
      </c>
      <c r="AL759" t="s">
        <v>311</v>
      </c>
      <c r="AM759" t="s">
        <v>312</v>
      </c>
      <c r="AN759" t="s">
        <v>313</v>
      </c>
      <c r="AO759" t="s">
        <v>915</v>
      </c>
      <c r="AP759" t="s">
        <v>916</v>
      </c>
      <c r="AQ759" t="s">
        <v>74</v>
      </c>
      <c r="AR759" t="s">
        <v>917</v>
      </c>
      <c r="AS759" t="s">
        <v>918</v>
      </c>
      <c r="AT759" t="s">
        <v>14567</v>
      </c>
      <c r="AU759">
        <v>2017</v>
      </c>
      <c r="AV759">
        <v>13</v>
      </c>
      <c r="AW759">
        <v>7</v>
      </c>
      <c r="AX759" t="s">
        <v>74</v>
      </c>
      <c r="AY759" t="s">
        <v>74</v>
      </c>
      <c r="AZ759" t="s">
        <v>74</v>
      </c>
      <c r="BA759" t="s">
        <v>74</v>
      </c>
      <c r="BB759">
        <v>833</v>
      </c>
      <c r="BC759">
        <v>853</v>
      </c>
      <c r="BD759" t="s">
        <v>74</v>
      </c>
      <c r="BE759" t="s">
        <v>14568</v>
      </c>
      <c r="BF759" t="str">
        <f>HYPERLINK("http://dx.doi.org/10.5194/cp-13-833-2017","http://dx.doi.org/10.5194/cp-13-833-2017")</f>
        <v>http://dx.doi.org/10.5194/cp-13-833-2017</v>
      </c>
      <c r="BG759" t="s">
        <v>74</v>
      </c>
      <c r="BH759" t="s">
        <v>74</v>
      </c>
      <c r="BI759">
        <v>21</v>
      </c>
      <c r="BJ759" t="s">
        <v>920</v>
      </c>
      <c r="BK759" t="s">
        <v>101</v>
      </c>
      <c r="BL759" t="s">
        <v>921</v>
      </c>
      <c r="BM759" t="s">
        <v>14569</v>
      </c>
      <c r="BN759" t="s">
        <v>74</v>
      </c>
      <c r="BO759" t="s">
        <v>322</v>
      </c>
      <c r="BP759" t="s">
        <v>74</v>
      </c>
      <c r="BQ759" t="s">
        <v>74</v>
      </c>
      <c r="BR759" t="s">
        <v>105</v>
      </c>
      <c r="BS759" t="s">
        <v>14570</v>
      </c>
      <c r="BT759" t="str">
        <f>HYPERLINK("https%3A%2F%2Fwww.webofscience.com%2Fwos%2Fwoscc%2Ffull-record%2FWOS:000405525000001","View Full Record in Web of Science")</f>
        <v>View Full Record in Web of Science</v>
      </c>
    </row>
    <row r="760" spans="1:72" x14ac:dyDescent="0.15">
      <c r="A760" t="s">
        <v>72</v>
      </c>
      <c r="B760" t="s">
        <v>14571</v>
      </c>
      <c r="C760" t="s">
        <v>74</v>
      </c>
      <c r="D760" t="s">
        <v>74</v>
      </c>
      <c r="E760" t="s">
        <v>74</v>
      </c>
      <c r="F760" t="s">
        <v>14572</v>
      </c>
      <c r="G760" t="s">
        <v>74</v>
      </c>
      <c r="H760" t="s">
        <v>74</v>
      </c>
      <c r="I760" t="s">
        <v>14573</v>
      </c>
      <c r="J760" t="s">
        <v>638</v>
      </c>
      <c r="K760" t="s">
        <v>74</v>
      </c>
      <c r="L760" t="s">
        <v>74</v>
      </c>
      <c r="M760" t="s">
        <v>78</v>
      </c>
      <c r="N760" t="s">
        <v>79</v>
      </c>
      <c r="O760" t="s">
        <v>74</v>
      </c>
      <c r="P760" t="s">
        <v>74</v>
      </c>
      <c r="Q760" t="s">
        <v>74</v>
      </c>
      <c r="R760" t="s">
        <v>74</v>
      </c>
      <c r="S760" t="s">
        <v>74</v>
      </c>
      <c r="T760" t="s">
        <v>74</v>
      </c>
      <c r="U760" t="s">
        <v>14574</v>
      </c>
      <c r="V760" t="s">
        <v>14575</v>
      </c>
      <c r="W760" t="s">
        <v>14576</v>
      </c>
      <c r="X760" t="s">
        <v>14577</v>
      </c>
      <c r="Y760" t="s">
        <v>14578</v>
      </c>
      <c r="Z760" t="s">
        <v>14579</v>
      </c>
      <c r="AA760" t="s">
        <v>14580</v>
      </c>
      <c r="AB760" t="s">
        <v>14581</v>
      </c>
      <c r="AC760" t="s">
        <v>14582</v>
      </c>
      <c r="AD760" t="s">
        <v>14583</v>
      </c>
      <c r="AE760" t="s">
        <v>14584</v>
      </c>
      <c r="AF760" t="s">
        <v>74</v>
      </c>
      <c r="AG760">
        <v>100</v>
      </c>
      <c r="AH760">
        <v>17</v>
      </c>
      <c r="AI760">
        <v>19</v>
      </c>
      <c r="AJ760">
        <v>1</v>
      </c>
      <c r="AK760">
        <v>21</v>
      </c>
      <c r="AL760" t="s">
        <v>650</v>
      </c>
      <c r="AM760" t="s">
        <v>651</v>
      </c>
      <c r="AN760" t="s">
        <v>652</v>
      </c>
      <c r="AO760" t="s">
        <v>653</v>
      </c>
      <c r="AP760" t="s">
        <v>74</v>
      </c>
      <c r="AQ760" t="s">
        <v>74</v>
      </c>
      <c r="AR760" t="s">
        <v>654</v>
      </c>
      <c r="AS760" t="s">
        <v>655</v>
      </c>
      <c r="AT760" t="s">
        <v>14567</v>
      </c>
      <c r="AU760">
        <v>2017</v>
      </c>
      <c r="AV760">
        <v>7</v>
      </c>
      <c r="AW760" t="s">
        <v>74</v>
      </c>
      <c r="AX760" t="s">
        <v>74</v>
      </c>
      <c r="AY760" t="s">
        <v>74</v>
      </c>
      <c r="AZ760" t="s">
        <v>74</v>
      </c>
      <c r="BA760" t="s">
        <v>74</v>
      </c>
      <c r="BB760" t="s">
        <v>74</v>
      </c>
      <c r="BC760" t="s">
        <v>74</v>
      </c>
      <c r="BD760">
        <v>5271</v>
      </c>
      <c r="BE760" t="s">
        <v>14585</v>
      </c>
      <c r="BF760" t="str">
        <f>HYPERLINK("http://dx.doi.org/10.1038/s41598-017-05577-6","http://dx.doi.org/10.1038/s41598-017-05577-6")</f>
        <v>http://dx.doi.org/10.1038/s41598-017-05577-6</v>
      </c>
      <c r="BG760" t="s">
        <v>74</v>
      </c>
      <c r="BH760" t="s">
        <v>74</v>
      </c>
      <c r="BI760">
        <v>16</v>
      </c>
      <c r="BJ760" t="s">
        <v>190</v>
      </c>
      <c r="BK760" t="s">
        <v>101</v>
      </c>
      <c r="BL760" t="s">
        <v>191</v>
      </c>
      <c r="BM760" t="s">
        <v>14586</v>
      </c>
      <c r="BN760">
        <v>28706228</v>
      </c>
      <c r="BO760" t="s">
        <v>658</v>
      </c>
      <c r="BP760" t="s">
        <v>74</v>
      </c>
      <c r="BQ760" t="s">
        <v>74</v>
      </c>
      <c r="BR760" t="s">
        <v>105</v>
      </c>
      <c r="BS760" t="s">
        <v>14587</v>
      </c>
      <c r="BT760" t="str">
        <f>HYPERLINK("https%3A%2F%2Fwww.webofscience.com%2Fwos%2Fwoscc%2Ffull-record%2FWOS:000405381200008","View Full Record in Web of Science")</f>
        <v>View Full Record in Web of Science</v>
      </c>
    </row>
    <row r="761" spans="1:72" x14ac:dyDescent="0.15">
      <c r="A761" t="s">
        <v>72</v>
      </c>
      <c r="B761" t="s">
        <v>14588</v>
      </c>
      <c r="C761" t="s">
        <v>74</v>
      </c>
      <c r="D761" t="s">
        <v>74</v>
      </c>
      <c r="E761" t="s">
        <v>74</v>
      </c>
      <c r="F761" t="s">
        <v>14589</v>
      </c>
      <c r="G761" t="s">
        <v>74</v>
      </c>
      <c r="H761" t="s">
        <v>74</v>
      </c>
      <c r="I761" t="s">
        <v>14590</v>
      </c>
      <c r="J761" t="s">
        <v>1054</v>
      </c>
      <c r="K761" t="s">
        <v>74</v>
      </c>
      <c r="L761" t="s">
        <v>74</v>
      </c>
      <c r="M761" t="s">
        <v>78</v>
      </c>
      <c r="N761" t="s">
        <v>79</v>
      </c>
      <c r="O761" t="s">
        <v>74</v>
      </c>
      <c r="P761" t="s">
        <v>74</v>
      </c>
      <c r="Q761" t="s">
        <v>74</v>
      </c>
      <c r="R761" t="s">
        <v>74</v>
      </c>
      <c r="S761" t="s">
        <v>74</v>
      </c>
      <c r="T761" t="s">
        <v>14591</v>
      </c>
      <c r="U761" t="s">
        <v>14592</v>
      </c>
      <c r="V761" t="s">
        <v>14593</v>
      </c>
      <c r="W761" t="s">
        <v>14594</v>
      </c>
      <c r="X761" t="s">
        <v>14595</v>
      </c>
      <c r="Y761" t="s">
        <v>14596</v>
      </c>
      <c r="Z761" t="s">
        <v>14597</v>
      </c>
      <c r="AA761" t="s">
        <v>14598</v>
      </c>
      <c r="AB761" t="s">
        <v>14599</v>
      </c>
      <c r="AC761" t="s">
        <v>14600</v>
      </c>
      <c r="AD761" t="s">
        <v>14601</v>
      </c>
      <c r="AE761" t="s">
        <v>14602</v>
      </c>
      <c r="AF761" t="s">
        <v>74</v>
      </c>
      <c r="AG761">
        <v>41</v>
      </c>
      <c r="AH761">
        <v>9</v>
      </c>
      <c r="AI761">
        <v>9</v>
      </c>
      <c r="AJ761">
        <v>0</v>
      </c>
      <c r="AK761">
        <v>6</v>
      </c>
      <c r="AL761" t="s">
        <v>311</v>
      </c>
      <c r="AM761" t="s">
        <v>312</v>
      </c>
      <c r="AN761" t="s">
        <v>313</v>
      </c>
      <c r="AO761" t="s">
        <v>1067</v>
      </c>
      <c r="AP761" t="s">
        <v>1068</v>
      </c>
      <c r="AQ761" t="s">
        <v>74</v>
      </c>
      <c r="AR761" t="s">
        <v>1069</v>
      </c>
      <c r="AS761" t="s">
        <v>1070</v>
      </c>
      <c r="AT761" t="s">
        <v>14567</v>
      </c>
      <c r="AU761">
        <v>2017</v>
      </c>
      <c r="AV761">
        <v>35</v>
      </c>
      <c r="AW761">
        <v>4</v>
      </c>
      <c r="AX761" t="s">
        <v>74</v>
      </c>
      <c r="AY761" t="s">
        <v>74</v>
      </c>
      <c r="AZ761" t="s">
        <v>74</v>
      </c>
      <c r="BA761" t="s">
        <v>74</v>
      </c>
      <c r="BB761" t="s">
        <v>74</v>
      </c>
      <c r="BC761" t="s">
        <v>74</v>
      </c>
      <c r="BD761" t="s">
        <v>74</v>
      </c>
      <c r="BE761" t="s">
        <v>14603</v>
      </c>
      <c r="BF761" t="str">
        <f>HYPERLINK("http://dx.doi.org/10.5194/angeo-35-785-2017","http://dx.doi.org/10.5194/angeo-35-785-2017")</f>
        <v>http://dx.doi.org/10.5194/angeo-35-785-2017</v>
      </c>
      <c r="BG761" t="s">
        <v>74</v>
      </c>
      <c r="BH761" t="s">
        <v>74</v>
      </c>
      <c r="BI761">
        <v>14</v>
      </c>
      <c r="BJ761" t="s">
        <v>1073</v>
      </c>
      <c r="BK761" t="s">
        <v>101</v>
      </c>
      <c r="BL761" t="s">
        <v>1074</v>
      </c>
      <c r="BM761" t="s">
        <v>14604</v>
      </c>
      <c r="BN761" t="s">
        <v>74</v>
      </c>
      <c r="BO761" t="s">
        <v>9587</v>
      </c>
      <c r="BP761" t="s">
        <v>74</v>
      </c>
      <c r="BQ761" t="s">
        <v>74</v>
      </c>
      <c r="BR761" t="s">
        <v>105</v>
      </c>
      <c r="BS761" t="s">
        <v>14605</v>
      </c>
      <c r="BT761" t="str">
        <f>HYPERLINK("https%3A%2F%2Fwww.webofscience.com%2Fwos%2Fwoscc%2Ffull-record%2FWOS:000405524200001","View Full Record in Web of Science")</f>
        <v>View Full Record in Web of Science</v>
      </c>
    </row>
    <row r="762" spans="1:72" x14ac:dyDescent="0.15">
      <c r="A762" t="s">
        <v>72</v>
      </c>
      <c r="B762" t="s">
        <v>14606</v>
      </c>
      <c r="C762" t="s">
        <v>74</v>
      </c>
      <c r="D762" t="s">
        <v>74</v>
      </c>
      <c r="E762" t="s">
        <v>74</v>
      </c>
      <c r="F762" t="s">
        <v>14607</v>
      </c>
      <c r="G762" t="s">
        <v>74</v>
      </c>
      <c r="H762" t="s">
        <v>74</v>
      </c>
      <c r="I762" t="s">
        <v>14608</v>
      </c>
      <c r="J762" t="s">
        <v>817</v>
      </c>
      <c r="K762" t="s">
        <v>74</v>
      </c>
      <c r="L762" t="s">
        <v>74</v>
      </c>
      <c r="M762" t="s">
        <v>78</v>
      </c>
      <c r="N762" t="s">
        <v>79</v>
      </c>
      <c r="O762" t="s">
        <v>74</v>
      </c>
      <c r="P762" t="s">
        <v>74</v>
      </c>
      <c r="Q762" t="s">
        <v>74</v>
      </c>
      <c r="R762" t="s">
        <v>74</v>
      </c>
      <c r="S762" t="s">
        <v>74</v>
      </c>
      <c r="T762" t="s">
        <v>74</v>
      </c>
      <c r="U762" t="s">
        <v>14609</v>
      </c>
      <c r="V762" t="s">
        <v>14610</v>
      </c>
      <c r="W762" t="s">
        <v>14611</v>
      </c>
      <c r="X762" t="s">
        <v>14612</v>
      </c>
      <c r="Y762" t="s">
        <v>14613</v>
      </c>
      <c r="Z762" t="s">
        <v>14614</v>
      </c>
      <c r="AA762" t="s">
        <v>14615</v>
      </c>
      <c r="AB762" t="s">
        <v>14616</v>
      </c>
      <c r="AC762" t="s">
        <v>14617</v>
      </c>
      <c r="AD762" t="s">
        <v>14618</v>
      </c>
      <c r="AE762" t="s">
        <v>14619</v>
      </c>
      <c r="AF762" t="s">
        <v>74</v>
      </c>
      <c r="AG762">
        <v>65</v>
      </c>
      <c r="AH762">
        <v>51</v>
      </c>
      <c r="AI762">
        <v>53</v>
      </c>
      <c r="AJ762">
        <v>0</v>
      </c>
      <c r="AK762">
        <v>12</v>
      </c>
      <c r="AL762" t="s">
        <v>311</v>
      </c>
      <c r="AM762" t="s">
        <v>312</v>
      </c>
      <c r="AN762" t="s">
        <v>313</v>
      </c>
      <c r="AO762" t="s">
        <v>829</v>
      </c>
      <c r="AP762" t="s">
        <v>830</v>
      </c>
      <c r="AQ762" t="s">
        <v>74</v>
      </c>
      <c r="AR762" t="s">
        <v>831</v>
      </c>
      <c r="AS762" t="s">
        <v>832</v>
      </c>
      <c r="AT762" t="s">
        <v>14567</v>
      </c>
      <c r="AU762">
        <v>2017</v>
      </c>
      <c r="AV762">
        <v>17</v>
      </c>
      <c r="AW762">
        <v>13</v>
      </c>
      <c r="AX762" t="s">
        <v>74</v>
      </c>
      <c r="AY762" t="s">
        <v>74</v>
      </c>
      <c r="AZ762" t="s">
        <v>74</v>
      </c>
      <c r="BA762" t="s">
        <v>74</v>
      </c>
      <c r="BB762">
        <v>8553</v>
      </c>
      <c r="BC762">
        <v>8575</v>
      </c>
      <c r="BD762" t="s">
        <v>74</v>
      </c>
      <c r="BE762" t="s">
        <v>14620</v>
      </c>
      <c r="BF762" t="str">
        <f>HYPERLINK("http://dx.doi.org/10.5194/acp-17-8553-2017","http://dx.doi.org/10.5194/acp-17-8553-2017")</f>
        <v>http://dx.doi.org/10.5194/acp-17-8553-2017</v>
      </c>
      <c r="BG762" t="s">
        <v>74</v>
      </c>
      <c r="BH762" t="s">
        <v>74</v>
      </c>
      <c r="BI762">
        <v>23</v>
      </c>
      <c r="BJ762" t="s">
        <v>834</v>
      </c>
      <c r="BK762" t="s">
        <v>101</v>
      </c>
      <c r="BL762" t="s">
        <v>835</v>
      </c>
      <c r="BM762" t="s">
        <v>14621</v>
      </c>
      <c r="BN762" t="s">
        <v>74</v>
      </c>
      <c r="BO762" t="s">
        <v>1131</v>
      </c>
      <c r="BP762" t="s">
        <v>74</v>
      </c>
      <c r="BQ762" t="s">
        <v>74</v>
      </c>
      <c r="BR762" t="s">
        <v>105</v>
      </c>
      <c r="BS762" t="s">
        <v>14622</v>
      </c>
      <c r="BT762" t="str">
        <f>HYPERLINK("https%3A%2F%2Fwww.webofscience.com%2Fwos%2Fwoscc%2Ffull-record%2FWOS:000405466800004","View Full Record in Web of Science")</f>
        <v>View Full Record in Web of Science</v>
      </c>
    </row>
    <row r="763" spans="1:72" x14ac:dyDescent="0.15">
      <c r="A763" t="s">
        <v>72</v>
      </c>
      <c r="B763" t="s">
        <v>14623</v>
      </c>
      <c r="C763" t="s">
        <v>74</v>
      </c>
      <c r="D763" t="s">
        <v>74</v>
      </c>
      <c r="E763" t="s">
        <v>74</v>
      </c>
      <c r="F763" t="s">
        <v>14624</v>
      </c>
      <c r="G763" t="s">
        <v>74</v>
      </c>
      <c r="H763" t="s">
        <v>74</v>
      </c>
      <c r="I763" t="s">
        <v>14625</v>
      </c>
      <c r="J763" t="s">
        <v>953</v>
      </c>
      <c r="K763" t="s">
        <v>74</v>
      </c>
      <c r="L763" t="s">
        <v>74</v>
      </c>
      <c r="M763" t="s">
        <v>78</v>
      </c>
      <c r="N763" t="s">
        <v>79</v>
      </c>
      <c r="O763" t="s">
        <v>74</v>
      </c>
      <c r="P763" t="s">
        <v>74</v>
      </c>
      <c r="Q763" t="s">
        <v>74</v>
      </c>
      <c r="R763" t="s">
        <v>74</v>
      </c>
      <c r="S763" t="s">
        <v>74</v>
      </c>
      <c r="T763" t="s">
        <v>74</v>
      </c>
      <c r="U763" t="s">
        <v>14626</v>
      </c>
      <c r="V763" t="s">
        <v>14627</v>
      </c>
      <c r="W763" t="s">
        <v>14628</v>
      </c>
      <c r="X763" t="s">
        <v>14629</v>
      </c>
      <c r="Y763" t="s">
        <v>14630</v>
      </c>
      <c r="Z763" t="s">
        <v>14631</v>
      </c>
      <c r="AA763" t="s">
        <v>14632</v>
      </c>
      <c r="AB763" t="s">
        <v>14633</v>
      </c>
      <c r="AC763" t="s">
        <v>14634</v>
      </c>
      <c r="AD763" t="s">
        <v>14635</v>
      </c>
      <c r="AE763" t="s">
        <v>14636</v>
      </c>
      <c r="AF763" t="s">
        <v>74</v>
      </c>
      <c r="AG763">
        <v>58</v>
      </c>
      <c r="AH763">
        <v>92</v>
      </c>
      <c r="AI763">
        <v>96</v>
      </c>
      <c r="AJ763">
        <v>2</v>
      </c>
      <c r="AK763">
        <v>35</v>
      </c>
      <c r="AL763" t="s">
        <v>181</v>
      </c>
      <c r="AM763" t="s">
        <v>182</v>
      </c>
      <c r="AN763" t="s">
        <v>183</v>
      </c>
      <c r="AO763" t="s">
        <v>965</v>
      </c>
      <c r="AP763" t="s">
        <v>74</v>
      </c>
      <c r="AQ763" t="s">
        <v>74</v>
      </c>
      <c r="AR763" t="s">
        <v>966</v>
      </c>
      <c r="AS763" t="s">
        <v>967</v>
      </c>
      <c r="AT763" t="s">
        <v>14567</v>
      </c>
      <c r="AU763">
        <v>2017</v>
      </c>
      <c r="AV763">
        <v>8</v>
      </c>
      <c r="AW763" t="s">
        <v>74</v>
      </c>
      <c r="AX763" t="s">
        <v>74</v>
      </c>
      <c r="AY763" t="s">
        <v>74</v>
      </c>
      <c r="AZ763" t="s">
        <v>74</v>
      </c>
      <c r="BA763" t="s">
        <v>74</v>
      </c>
      <c r="BB763" t="s">
        <v>74</v>
      </c>
      <c r="BC763" t="s">
        <v>74</v>
      </c>
      <c r="BD763">
        <v>16010</v>
      </c>
      <c r="BE763" t="s">
        <v>14637</v>
      </c>
      <c r="BF763" t="str">
        <f>HYPERLINK("http://dx.doi.org/10.1038/ncomms16010","http://dx.doi.org/10.1038/ncomms16010")</f>
        <v>http://dx.doi.org/10.1038/ncomms16010</v>
      </c>
      <c r="BG763" t="s">
        <v>74</v>
      </c>
      <c r="BH763" t="s">
        <v>74</v>
      </c>
      <c r="BI763">
        <v>10</v>
      </c>
      <c r="BJ763" t="s">
        <v>190</v>
      </c>
      <c r="BK763" t="s">
        <v>101</v>
      </c>
      <c r="BL763" t="s">
        <v>191</v>
      </c>
      <c r="BM763" t="s">
        <v>14638</v>
      </c>
      <c r="BN763">
        <v>28703126</v>
      </c>
      <c r="BO763" t="s">
        <v>3746</v>
      </c>
      <c r="BP763" t="s">
        <v>74</v>
      </c>
      <c r="BQ763" t="s">
        <v>74</v>
      </c>
      <c r="BR763" t="s">
        <v>105</v>
      </c>
      <c r="BS763" t="s">
        <v>14639</v>
      </c>
      <c r="BT763" t="str">
        <f>HYPERLINK("https%3A%2F%2Fwww.webofscience.com%2Fwos%2Fwoscc%2Ffull-record%2FWOS:000405401500001","View Full Record in Web of Science")</f>
        <v>View Full Record in Web of Science</v>
      </c>
    </row>
    <row r="764" spans="1:72" x14ac:dyDescent="0.15">
      <c r="A764" t="s">
        <v>72</v>
      </c>
      <c r="B764" t="s">
        <v>14640</v>
      </c>
      <c r="C764" t="s">
        <v>74</v>
      </c>
      <c r="D764" t="s">
        <v>74</v>
      </c>
      <c r="E764" t="s">
        <v>74</v>
      </c>
      <c r="F764" t="s">
        <v>14641</v>
      </c>
      <c r="G764" t="s">
        <v>74</v>
      </c>
      <c r="H764" t="s">
        <v>74</v>
      </c>
      <c r="I764" t="s">
        <v>14642</v>
      </c>
      <c r="J764" t="s">
        <v>5076</v>
      </c>
      <c r="K764" t="s">
        <v>74</v>
      </c>
      <c r="L764" t="s">
        <v>74</v>
      </c>
      <c r="M764" t="s">
        <v>78</v>
      </c>
      <c r="N764" t="s">
        <v>273</v>
      </c>
      <c r="O764" t="s">
        <v>74</v>
      </c>
      <c r="P764" t="s">
        <v>74</v>
      </c>
      <c r="Q764" t="s">
        <v>74</v>
      </c>
      <c r="R764" t="s">
        <v>74</v>
      </c>
      <c r="S764" t="s">
        <v>74</v>
      </c>
      <c r="T764" t="s">
        <v>14643</v>
      </c>
      <c r="U764" t="s">
        <v>14644</v>
      </c>
      <c r="V764" t="s">
        <v>14645</v>
      </c>
      <c r="W764" t="s">
        <v>14646</v>
      </c>
      <c r="X764" t="s">
        <v>14647</v>
      </c>
      <c r="Y764" t="s">
        <v>14648</v>
      </c>
      <c r="Z764" t="s">
        <v>14649</v>
      </c>
      <c r="AA764" t="s">
        <v>14650</v>
      </c>
      <c r="AB764" t="s">
        <v>14651</v>
      </c>
      <c r="AC764" t="s">
        <v>14652</v>
      </c>
      <c r="AD764" t="s">
        <v>14653</v>
      </c>
      <c r="AE764" t="s">
        <v>14654</v>
      </c>
      <c r="AF764" t="s">
        <v>74</v>
      </c>
      <c r="AG764">
        <v>306</v>
      </c>
      <c r="AH764">
        <v>38</v>
      </c>
      <c r="AI764">
        <v>40</v>
      </c>
      <c r="AJ764">
        <v>0</v>
      </c>
      <c r="AK764">
        <v>18</v>
      </c>
      <c r="AL764" t="s">
        <v>1809</v>
      </c>
      <c r="AM764" t="s">
        <v>182</v>
      </c>
      <c r="AN764" t="s">
        <v>1810</v>
      </c>
      <c r="AO764" t="s">
        <v>5089</v>
      </c>
      <c r="AP764" t="s">
        <v>5090</v>
      </c>
      <c r="AQ764" t="s">
        <v>74</v>
      </c>
      <c r="AR764" t="s">
        <v>5091</v>
      </c>
      <c r="AS764" t="s">
        <v>5092</v>
      </c>
      <c r="AT764" t="s">
        <v>14567</v>
      </c>
      <c r="AU764">
        <v>2017</v>
      </c>
      <c r="AV764">
        <v>375</v>
      </c>
      <c r="AW764">
        <v>2097</v>
      </c>
      <c r="AX764" t="s">
        <v>74</v>
      </c>
      <c r="AY764" t="s">
        <v>74</v>
      </c>
      <c r="AZ764" t="s">
        <v>74</v>
      </c>
      <c r="BA764" t="s">
        <v>74</v>
      </c>
      <c r="BB764" t="s">
        <v>74</v>
      </c>
      <c r="BC764" t="s">
        <v>74</v>
      </c>
      <c r="BD764">
        <v>20160260</v>
      </c>
      <c r="BE764" t="s">
        <v>14655</v>
      </c>
      <c r="BF764" t="str">
        <f>HYPERLINK("http://dx.doi.org/10.1098/rsta.2016.0260","http://dx.doi.org/10.1098/rsta.2016.0260")</f>
        <v>http://dx.doi.org/10.1098/rsta.2016.0260</v>
      </c>
      <c r="BG764" t="s">
        <v>74</v>
      </c>
      <c r="BH764" t="s">
        <v>74</v>
      </c>
      <c r="BI764">
        <v>58</v>
      </c>
      <c r="BJ764" t="s">
        <v>190</v>
      </c>
      <c r="BK764" t="s">
        <v>101</v>
      </c>
      <c r="BL764" t="s">
        <v>191</v>
      </c>
      <c r="BM764" t="s">
        <v>14656</v>
      </c>
      <c r="BN764">
        <v>28554979</v>
      </c>
      <c r="BO764" t="s">
        <v>1691</v>
      </c>
      <c r="BP764" t="s">
        <v>74</v>
      </c>
      <c r="BQ764" t="s">
        <v>74</v>
      </c>
      <c r="BR764" t="s">
        <v>105</v>
      </c>
      <c r="BS764" t="s">
        <v>14657</v>
      </c>
      <c r="BT764" t="str">
        <f>HYPERLINK("https%3A%2F%2Fwww.webofscience.com%2Fwos%2Fwoscc%2Ffull-record%2FWOS:000402453000011","View Full Record in Web of Science")</f>
        <v>View Full Record in Web of Science</v>
      </c>
    </row>
    <row r="765" spans="1:72" x14ac:dyDescent="0.15">
      <c r="A765" t="s">
        <v>72</v>
      </c>
      <c r="B765" t="s">
        <v>14658</v>
      </c>
      <c r="C765" t="s">
        <v>74</v>
      </c>
      <c r="D765" t="s">
        <v>74</v>
      </c>
      <c r="E765" t="s">
        <v>74</v>
      </c>
      <c r="F765" t="s">
        <v>14659</v>
      </c>
      <c r="G765" t="s">
        <v>74</v>
      </c>
      <c r="H765" t="s">
        <v>74</v>
      </c>
      <c r="I765" t="s">
        <v>14660</v>
      </c>
      <c r="J765" t="s">
        <v>638</v>
      </c>
      <c r="K765" t="s">
        <v>74</v>
      </c>
      <c r="L765" t="s">
        <v>74</v>
      </c>
      <c r="M765" t="s">
        <v>78</v>
      </c>
      <c r="N765" t="s">
        <v>79</v>
      </c>
      <c r="O765" t="s">
        <v>74</v>
      </c>
      <c r="P765" t="s">
        <v>74</v>
      </c>
      <c r="Q765" t="s">
        <v>74</v>
      </c>
      <c r="R765" t="s">
        <v>74</v>
      </c>
      <c r="S765" t="s">
        <v>74</v>
      </c>
      <c r="T765" t="s">
        <v>74</v>
      </c>
      <c r="U765" t="s">
        <v>14661</v>
      </c>
      <c r="V765" t="s">
        <v>14662</v>
      </c>
      <c r="W765" t="s">
        <v>14663</v>
      </c>
      <c r="X765" t="s">
        <v>14664</v>
      </c>
      <c r="Y765" t="s">
        <v>14665</v>
      </c>
      <c r="Z765" t="s">
        <v>14666</v>
      </c>
      <c r="AA765" t="s">
        <v>14667</v>
      </c>
      <c r="AB765" t="s">
        <v>14668</v>
      </c>
      <c r="AC765" t="s">
        <v>74</v>
      </c>
      <c r="AD765" t="s">
        <v>74</v>
      </c>
      <c r="AE765" t="s">
        <v>74</v>
      </c>
      <c r="AF765" t="s">
        <v>74</v>
      </c>
      <c r="AG765">
        <v>38</v>
      </c>
      <c r="AH765">
        <v>4</v>
      </c>
      <c r="AI765">
        <v>5</v>
      </c>
      <c r="AJ765">
        <v>0</v>
      </c>
      <c r="AK765">
        <v>7</v>
      </c>
      <c r="AL765" t="s">
        <v>650</v>
      </c>
      <c r="AM765" t="s">
        <v>651</v>
      </c>
      <c r="AN765" t="s">
        <v>652</v>
      </c>
      <c r="AO765" t="s">
        <v>653</v>
      </c>
      <c r="AP765" t="s">
        <v>74</v>
      </c>
      <c r="AQ765" t="s">
        <v>74</v>
      </c>
      <c r="AR765" t="s">
        <v>654</v>
      </c>
      <c r="AS765" t="s">
        <v>655</v>
      </c>
      <c r="AT765" t="s">
        <v>14669</v>
      </c>
      <c r="AU765">
        <v>2017</v>
      </c>
      <c r="AV765">
        <v>7</v>
      </c>
      <c r="AW765" t="s">
        <v>74</v>
      </c>
      <c r="AX765" t="s">
        <v>74</v>
      </c>
      <c r="AY765" t="s">
        <v>74</v>
      </c>
      <c r="AZ765" t="s">
        <v>74</v>
      </c>
      <c r="BA765" t="s">
        <v>74</v>
      </c>
      <c r="BB765" t="s">
        <v>74</v>
      </c>
      <c r="BC765" t="s">
        <v>74</v>
      </c>
      <c r="BD765">
        <v>5173</v>
      </c>
      <c r="BE765" t="s">
        <v>14670</v>
      </c>
      <c r="BF765" t="str">
        <f>HYPERLINK("http://dx.doi.org/10.1038/s41598-017-05470-2","http://dx.doi.org/10.1038/s41598-017-05470-2")</f>
        <v>http://dx.doi.org/10.1038/s41598-017-05470-2</v>
      </c>
      <c r="BG765" t="s">
        <v>74</v>
      </c>
      <c r="BH765" t="s">
        <v>74</v>
      </c>
      <c r="BI765">
        <v>7</v>
      </c>
      <c r="BJ765" t="s">
        <v>190</v>
      </c>
      <c r="BK765" t="s">
        <v>101</v>
      </c>
      <c r="BL765" t="s">
        <v>191</v>
      </c>
      <c r="BM765" t="s">
        <v>14671</v>
      </c>
      <c r="BN765">
        <v>28701736</v>
      </c>
      <c r="BO765" t="s">
        <v>6500</v>
      </c>
      <c r="BP765" t="s">
        <v>74</v>
      </c>
      <c r="BQ765" t="s">
        <v>74</v>
      </c>
      <c r="BR765" t="s">
        <v>105</v>
      </c>
      <c r="BS765" t="s">
        <v>14672</v>
      </c>
      <c r="BT765" t="str">
        <f>HYPERLINK("https%3A%2F%2Fwww.webofscience.com%2Fwos%2Fwoscc%2Ffull-record%2FWOS:000405421400013","View Full Record in Web of Science")</f>
        <v>View Full Record in Web of Science</v>
      </c>
    </row>
    <row r="766" spans="1:72" x14ac:dyDescent="0.15">
      <c r="A766" t="s">
        <v>72</v>
      </c>
      <c r="B766" t="s">
        <v>14673</v>
      </c>
      <c r="C766" t="s">
        <v>74</v>
      </c>
      <c r="D766" t="s">
        <v>74</v>
      </c>
      <c r="E766" t="s">
        <v>74</v>
      </c>
      <c r="F766" t="s">
        <v>14674</v>
      </c>
      <c r="G766" t="s">
        <v>74</v>
      </c>
      <c r="H766" t="s">
        <v>74</v>
      </c>
      <c r="I766" t="s">
        <v>14675</v>
      </c>
      <c r="J766" t="s">
        <v>13991</v>
      </c>
      <c r="K766" t="s">
        <v>74</v>
      </c>
      <c r="L766" t="s">
        <v>74</v>
      </c>
      <c r="M766" t="s">
        <v>78</v>
      </c>
      <c r="N766" t="s">
        <v>79</v>
      </c>
      <c r="O766" t="s">
        <v>74</v>
      </c>
      <c r="P766" t="s">
        <v>74</v>
      </c>
      <c r="Q766" t="s">
        <v>74</v>
      </c>
      <c r="R766" t="s">
        <v>74</v>
      </c>
      <c r="S766" t="s">
        <v>74</v>
      </c>
      <c r="T766" t="s">
        <v>74</v>
      </c>
      <c r="U766" t="s">
        <v>14676</v>
      </c>
      <c r="V766" t="s">
        <v>14677</v>
      </c>
      <c r="W766" t="s">
        <v>14678</v>
      </c>
      <c r="X766" t="s">
        <v>14679</v>
      </c>
      <c r="Y766" t="s">
        <v>14680</v>
      </c>
      <c r="Z766" t="s">
        <v>11742</v>
      </c>
      <c r="AA766" t="s">
        <v>14681</v>
      </c>
      <c r="AB766" t="s">
        <v>14682</v>
      </c>
      <c r="AC766" t="s">
        <v>14683</v>
      </c>
      <c r="AD766" t="s">
        <v>14684</v>
      </c>
      <c r="AE766" t="s">
        <v>14685</v>
      </c>
      <c r="AF766" t="s">
        <v>74</v>
      </c>
      <c r="AG766">
        <v>25</v>
      </c>
      <c r="AH766">
        <v>26</v>
      </c>
      <c r="AI766">
        <v>33</v>
      </c>
      <c r="AJ766">
        <v>1</v>
      </c>
      <c r="AK766">
        <v>11</v>
      </c>
      <c r="AL766" t="s">
        <v>311</v>
      </c>
      <c r="AM766" t="s">
        <v>312</v>
      </c>
      <c r="AN766" t="s">
        <v>313</v>
      </c>
      <c r="AO766" t="s">
        <v>14002</v>
      </c>
      <c r="AP766" t="s">
        <v>14003</v>
      </c>
      <c r="AQ766" t="s">
        <v>74</v>
      </c>
      <c r="AR766" t="s">
        <v>14004</v>
      </c>
      <c r="AS766" t="s">
        <v>14005</v>
      </c>
      <c r="AT766" t="s">
        <v>14669</v>
      </c>
      <c r="AU766">
        <v>2017</v>
      </c>
      <c r="AV766">
        <v>9</v>
      </c>
      <c r="AW766">
        <v>2</v>
      </c>
      <c r="AX766" t="s">
        <v>74</v>
      </c>
      <c r="AY766" t="s">
        <v>74</v>
      </c>
      <c r="AZ766" t="s">
        <v>74</v>
      </c>
      <c r="BA766" t="s">
        <v>74</v>
      </c>
      <c r="BB766">
        <v>435</v>
      </c>
      <c r="BC766">
        <v>443</v>
      </c>
      <c r="BD766" t="s">
        <v>74</v>
      </c>
      <c r="BE766" t="s">
        <v>14686</v>
      </c>
      <c r="BF766" t="str">
        <f>HYPERLINK("http://dx.doi.org/10.5194/essd-9-435-2017","http://dx.doi.org/10.5194/essd-9-435-2017")</f>
        <v>http://dx.doi.org/10.5194/essd-9-435-2017</v>
      </c>
      <c r="BG766" t="s">
        <v>74</v>
      </c>
      <c r="BH766" t="s">
        <v>74</v>
      </c>
      <c r="BI766">
        <v>9</v>
      </c>
      <c r="BJ766" t="s">
        <v>920</v>
      </c>
      <c r="BK766" t="s">
        <v>101</v>
      </c>
      <c r="BL766" t="s">
        <v>921</v>
      </c>
      <c r="BM766" t="s">
        <v>14687</v>
      </c>
      <c r="BN766" t="s">
        <v>74</v>
      </c>
      <c r="BO766" t="s">
        <v>322</v>
      </c>
      <c r="BP766" t="s">
        <v>74</v>
      </c>
      <c r="BQ766" t="s">
        <v>74</v>
      </c>
      <c r="BR766" t="s">
        <v>105</v>
      </c>
      <c r="BS766" t="s">
        <v>14688</v>
      </c>
      <c r="BT766" t="str">
        <f>HYPERLINK("https%3A%2F%2Fwww.webofscience.com%2Fwos%2Fwoscc%2Ffull-record%2FWOS:000405278500001","View Full Record in Web of Science")</f>
        <v>View Full Record in Web of Science</v>
      </c>
    </row>
    <row r="767" spans="1:72" x14ac:dyDescent="0.15">
      <c r="A767" t="s">
        <v>72</v>
      </c>
      <c r="B767" t="s">
        <v>14689</v>
      </c>
      <c r="C767" t="s">
        <v>74</v>
      </c>
      <c r="D767" t="s">
        <v>74</v>
      </c>
      <c r="E767" t="s">
        <v>74</v>
      </c>
      <c r="F767" t="s">
        <v>14690</v>
      </c>
      <c r="G767" t="s">
        <v>74</v>
      </c>
      <c r="H767" t="s">
        <v>74</v>
      </c>
      <c r="I767" t="s">
        <v>14691</v>
      </c>
      <c r="J767" t="s">
        <v>14692</v>
      </c>
      <c r="K767" t="s">
        <v>74</v>
      </c>
      <c r="L767" t="s">
        <v>74</v>
      </c>
      <c r="M767" t="s">
        <v>78</v>
      </c>
      <c r="N767" t="s">
        <v>79</v>
      </c>
      <c r="O767" t="s">
        <v>74</v>
      </c>
      <c r="P767" t="s">
        <v>74</v>
      </c>
      <c r="Q767" t="s">
        <v>74</v>
      </c>
      <c r="R767" t="s">
        <v>74</v>
      </c>
      <c r="S767" t="s">
        <v>74</v>
      </c>
      <c r="T767" t="s">
        <v>14693</v>
      </c>
      <c r="U767" t="s">
        <v>14694</v>
      </c>
      <c r="V767" t="s">
        <v>14695</v>
      </c>
      <c r="W767" t="s">
        <v>14696</v>
      </c>
      <c r="X767" t="s">
        <v>14697</v>
      </c>
      <c r="Y767" t="s">
        <v>14698</v>
      </c>
      <c r="Z767" t="s">
        <v>14699</v>
      </c>
      <c r="AA767" t="s">
        <v>14700</v>
      </c>
      <c r="AB767" t="s">
        <v>14701</v>
      </c>
      <c r="AC767" t="s">
        <v>14702</v>
      </c>
      <c r="AD767" t="s">
        <v>7459</v>
      </c>
      <c r="AE767" t="s">
        <v>14703</v>
      </c>
      <c r="AF767" t="s">
        <v>74</v>
      </c>
      <c r="AG767">
        <v>40</v>
      </c>
      <c r="AH767">
        <v>7</v>
      </c>
      <c r="AI767">
        <v>8</v>
      </c>
      <c r="AJ767">
        <v>0</v>
      </c>
      <c r="AK767">
        <v>30</v>
      </c>
      <c r="AL767" t="s">
        <v>7094</v>
      </c>
      <c r="AM767" t="s">
        <v>7095</v>
      </c>
      <c r="AN767" t="s">
        <v>7096</v>
      </c>
      <c r="AO767" t="s">
        <v>14704</v>
      </c>
      <c r="AP767" t="s">
        <v>14705</v>
      </c>
      <c r="AQ767" t="s">
        <v>74</v>
      </c>
      <c r="AR767" t="s">
        <v>14706</v>
      </c>
      <c r="AS767" t="s">
        <v>14707</v>
      </c>
      <c r="AT767" t="s">
        <v>14669</v>
      </c>
      <c r="AU767">
        <v>2017</v>
      </c>
      <c r="AV767">
        <v>23</v>
      </c>
      <c r="AW767">
        <v>39</v>
      </c>
      <c r="AX767" t="s">
        <v>74</v>
      </c>
      <c r="AY767" t="s">
        <v>74</v>
      </c>
      <c r="AZ767" t="s">
        <v>74</v>
      </c>
      <c r="BA767" t="s">
        <v>74</v>
      </c>
      <c r="BB767">
        <v>9253</v>
      </c>
      <c r="BC767">
        <v>9257</v>
      </c>
      <c r="BD767" t="s">
        <v>74</v>
      </c>
      <c r="BE767" t="s">
        <v>14708</v>
      </c>
      <c r="BF767" t="str">
        <f>HYPERLINK("http://dx.doi.org/10.1002/chem.201702243","http://dx.doi.org/10.1002/chem.201702243")</f>
        <v>http://dx.doi.org/10.1002/chem.201702243</v>
      </c>
      <c r="BG767" t="s">
        <v>74</v>
      </c>
      <c r="BH767" t="s">
        <v>74</v>
      </c>
      <c r="BI767">
        <v>5</v>
      </c>
      <c r="BJ767" t="s">
        <v>5240</v>
      </c>
      <c r="BK767" t="s">
        <v>12930</v>
      </c>
      <c r="BL767" t="s">
        <v>218</v>
      </c>
      <c r="BM767" t="s">
        <v>14709</v>
      </c>
      <c r="BN767">
        <v>28516497</v>
      </c>
      <c r="BO767" t="s">
        <v>74</v>
      </c>
      <c r="BP767" t="s">
        <v>74</v>
      </c>
      <c r="BQ767" t="s">
        <v>74</v>
      </c>
      <c r="BR767" t="s">
        <v>105</v>
      </c>
      <c r="BS767" t="s">
        <v>14710</v>
      </c>
      <c r="BT767" t="str">
        <f>HYPERLINK("https%3A%2F%2Fwww.webofscience.com%2Fwos%2Fwoscc%2Ffull-record%2FWOS:000405284900006","View Full Record in Web of Science")</f>
        <v>View Full Record in Web of Science</v>
      </c>
    </row>
    <row r="768" spans="1:72" x14ac:dyDescent="0.15">
      <c r="A768" t="s">
        <v>72</v>
      </c>
      <c r="B768" t="s">
        <v>14711</v>
      </c>
      <c r="C768" t="s">
        <v>74</v>
      </c>
      <c r="D768" t="s">
        <v>74</v>
      </c>
      <c r="E768" t="s">
        <v>74</v>
      </c>
      <c r="F768" t="s">
        <v>14712</v>
      </c>
      <c r="G768" t="s">
        <v>74</v>
      </c>
      <c r="H768" t="s">
        <v>74</v>
      </c>
      <c r="I768" t="s">
        <v>14713</v>
      </c>
      <c r="J768" t="s">
        <v>14714</v>
      </c>
      <c r="K768" t="s">
        <v>74</v>
      </c>
      <c r="L768" t="s">
        <v>74</v>
      </c>
      <c r="M768" t="s">
        <v>78</v>
      </c>
      <c r="N768" t="s">
        <v>79</v>
      </c>
      <c r="O768" t="s">
        <v>74</v>
      </c>
      <c r="P768" t="s">
        <v>74</v>
      </c>
      <c r="Q768" t="s">
        <v>74</v>
      </c>
      <c r="R768" t="s">
        <v>74</v>
      </c>
      <c r="S768" t="s">
        <v>74</v>
      </c>
      <c r="T768" t="s">
        <v>14715</v>
      </c>
      <c r="U768" t="s">
        <v>14716</v>
      </c>
      <c r="V768" t="s">
        <v>14717</v>
      </c>
      <c r="W768" t="s">
        <v>14718</v>
      </c>
      <c r="X768" t="s">
        <v>14719</v>
      </c>
      <c r="Y768" t="s">
        <v>14720</v>
      </c>
      <c r="Z768" t="s">
        <v>14721</v>
      </c>
      <c r="AA768" t="s">
        <v>14722</v>
      </c>
      <c r="AB768" t="s">
        <v>14723</v>
      </c>
      <c r="AC768" t="s">
        <v>14724</v>
      </c>
      <c r="AD768" t="s">
        <v>14725</v>
      </c>
      <c r="AE768" t="s">
        <v>14726</v>
      </c>
      <c r="AF768" t="s">
        <v>74</v>
      </c>
      <c r="AG768">
        <v>56</v>
      </c>
      <c r="AH768">
        <v>26</v>
      </c>
      <c r="AI768">
        <v>30</v>
      </c>
      <c r="AJ768">
        <v>3</v>
      </c>
      <c r="AK768">
        <v>180</v>
      </c>
      <c r="AL768" t="s">
        <v>450</v>
      </c>
      <c r="AM768" t="s">
        <v>451</v>
      </c>
      <c r="AN768" t="s">
        <v>452</v>
      </c>
      <c r="AO768" t="s">
        <v>14727</v>
      </c>
      <c r="AP768" t="s">
        <v>74</v>
      </c>
      <c r="AQ768" t="s">
        <v>74</v>
      </c>
      <c r="AR768" t="s">
        <v>14728</v>
      </c>
      <c r="AS768" t="s">
        <v>14729</v>
      </c>
      <c r="AT768" t="s">
        <v>14730</v>
      </c>
      <c r="AU768">
        <v>2017</v>
      </c>
      <c r="AV768">
        <v>8</v>
      </c>
      <c r="AW768" t="s">
        <v>74</v>
      </c>
      <c r="AX768" t="s">
        <v>74</v>
      </c>
      <c r="AY768" t="s">
        <v>74</v>
      </c>
      <c r="AZ768" t="s">
        <v>74</v>
      </c>
      <c r="BA768" t="s">
        <v>74</v>
      </c>
      <c r="BB768" t="s">
        <v>74</v>
      </c>
      <c r="BC768" t="s">
        <v>74</v>
      </c>
      <c r="BD768">
        <v>1206</v>
      </c>
      <c r="BE768" t="s">
        <v>14731</v>
      </c>
      <c r="BF768" t="str">
        <f>HYPERLINK("http://dx.doi.org/10.3389/fpls.2017.01206","http://dx.doi.org/10.3389/fpls.2017.01206")</f>
        <v>http://dx.doi.org/10.3389/fpls.2017.01206</v>
      </c>
      <c r="BG768" t="s">
        <v>74</v>
      </c>
      <c r="BH768" t="s">
        <v>74</v>
      </c>
      <c r="BI768">
        <v>15</v>
      </c>
      <c r="BJ768" t="s">
        <v>811</v>
      </c>
      <c r="BK768" t="s">
        <v>101</v>
      </c>
      <c r="BL768" t="s">
        <v>811</v>
      </c>
      <c r="BM768" t="s">
        <v>14732</v>
      </c>
      <c r="BN768">
        <v>28744295</v>
      </c>
      <c r="BO768" t="s">
        <v>658</v>
      </c>
      <c r="BP768" t="s">
        <v>74</v>
      </c>
      <c r="BQ768" t="s">
        <v>74</v>
      </c>
      <c r="BR768" t="s">
        <v>105</v>
      </c>
      <c r="BS768" t="s">
        <v>14733</v>
      </c>
      <c r="BT768" t="str">
        <f>HYPERLINK("https%3A%2F%2Fwww.webofscience.com%2Fwos%2Fwoscc%2Ffull-record%2FWOS:000405164600003","View Full Record in Web of Science")</f>
        <v>View Full Record in Web of Science</v>
      </c>
    </row>
    <row r="769" spans="1:72" x14ac:dyDescent="0.15">
      <c r="A769" t="s">
        <v>72</v>
      </c>
      <c r="B769" t="s">
        <v>14734</v>
      </c>
      <c r="C769" t="s">
        <v>74</v>
      </c>
      <c r="D769" t="s">
        <v>74</v>
      </c>
      <c r="E769" t="s">
        <v>74</v>
      </c>
      <c r="F769" t="s">
        <v>14735</v>
      </c>
      <c r="G769" t="s">
        <v>74</v>
      </c>
      <c r="H769" t="s">
        <v>14736</v>
      </c>
      <c r="I769" t="s">
        <v>14737</v>
      </c>
      <c r="J769" t="s">
        <v>5154</v>
      </c>
      <c r="K769" t="s">
        <v>74</v>
      </c>
      <c r="L769" t="s">
        <v>74</v>
      </c>
      <c r="M769" t="s">
        <v>78</v>
      </c>
      <c r="N769" t="s">
        <v>5155</v>
      </c>
      <c r="O769" t="s">
        <v>74</v>
      </c>
      <c r="P769" t="s">
        <v>74</v>
      </c>
      <c r="Q769" t="s">
        <v>74</v>
      </c>
      <c r="R769" t="s">
        <v>74</v>
      </c>
      <c r="S769" t="s">
        <v>74</v>
      </c>
      <c r="T769" t="s">
        <v>74</v>
      </c>
      <c r="U769" t="s">
        <v>14738</v>
      </c>
      <c r="V769" t="s">
        <v>14739</v>
      </c>
      <c r="W769" t="s">
        <v>14740</v>
      </c>
      <c r="X769" t="s">
        <v>14741</v>
      </c>
      <c r="Y769" t="s">
        <v>14742</v>
      </c>
      <c r="Z769" t="s">
        <v>14743</v>
      </c>
      <c r="AA769" t="s">
        <v>14744</v>
      </c>
      <c r="AB769" t="s">
        <v>14745</v>
      </c>
      <c r="AC769" t="s">
        <v>14746</v>
      </c>
      <c r="AD769" t="s">
        <v>14747</v>
      </c>
      <c r="AE769" t="s">
        <v>14748</v>
      </c>
      <c r="AF769" t="s">
        <v>74</v>
      </c>
      <c r="AG769">
        <v>313</v>
      </c>
      <c r="AH769">
        <v>247</v>
      </c>
      <c r="AI769">
        <v>265</v>
      </c>
      <c r="AJ769">
        <v>9</v>
      </c>
      <c r="AK769">
        <v>183</v>
      </c>
      <c r="AL769" t="s">
        <v>650</v>
      </c>
      <c r="AM769" t="s">
        <v>651</v>
      </c>
      <c r="AN769" t="s">
        <v>652</v>
      </c>
      <c r="AO769" t="s">
        <v>74</v>
      </c>
      <c r="AP769" t="s">
        <v>5167</v>
      </c>
      <c r="AQ769" t="s">
        <v>74</v>
      </c>
      <c r="AR769" t="s">
        <v>5168</v>
      </c>
      <c r="AS769" t="s">
        <v>5169</v>
      </c>
      <c r="AT769" t="s">
        <v>14730</v>
      </c>
      <c r="AU769">
        <v>2017</v>
      </c>
      <c r="AV769">
        <v>4</v>
      </c>
      <c r="AW769" t="s">
        <v>74</v>
      </c>
      <c r="AX769" t="s">
        <v>74</v>
      </c>
      <c r="AY769" t="s">
        <v>74</v>
      </c>
      <c r="AZ769" t="s">
        <v>74</v>
      </c>
      <c r="BA769" t="s">
        <v>74</v>
      </c>
      <c r="BB769" t="s">
        <v>74</v>
      </c>
      <c r="BC769" t="s">
        <v>74</v>
      </c>
      <c r="BD769">
        <v>170088</v>
      </c>
      <c r="BE769" t="s">
        <v>14749</v>
      </c>
      <c r="BF769" t="str">
        <f>HYPERLINK("http://dx.doi.org/10.1038/sdata.2017.88","http://dx.doi.org/10.1038/sdata.2017.88")</f>
        <v>http://dx.doi.org/10.1038/sdata.2017.88</v>
      </c>
      <c r="BG769" t="s">
        <v>74</v>
      </c>
      <c r="BH769" t="s">
        <v>74</v>
      </c>
      <c r="BI769">
        <v>33</v>
      </c>
      <c r="BJ769" t="s">
        <v>190</v>
      </c>
      <c r="BK769" t="s">
        <v>101</v>
      </c>
      <c r="BL769" t="s">
        <v>191</v>
      </c>
      <c r="BM769" t="s">
        <v>14750</v>
      </c>
      <c r="BN769" t="s">
        <v>74</v>
      </c>
      <c r="BO769" t="s">
        <v>14751</v>
      </c>
      <c r="BP769" t="s">
        <v>352</v>
      </c>
      <c r="BQ769" t="s">
        <v>353</v>
      </c>
      <c r="BR769" t="s">
        <v>105</v>
      </c>
      <c r="BS769" t="s">
        <v>14752</v>
      </c>
      <c r="BT769" t="str">
        <f>HYPERLINK("https%3A%2F%2Fwww.webofscience.com%2Fwos%2Fwoscc%2Ffull-record%2FWOS:000405177600001","View Full Record in Web of Science")</f>
        <v>View Full Record in Web of Science</v>
      </c>
    </row>
    <row r="770" spans="1:72" x14ac:dyDescent="0.15">
      <c r="A770" t="s">
        <v>72</v>
      </c>
      <c r="B770" t="s">
        <v>14753</v>
      </c>
      <c r="C770" t="s">
        <v>74</v>
      </c>
      <c r="D770" t="s">
        <v>74</v>
      </c>
      <c r="E770" t="s">
        <v>74</v>
      </c>
      <c r="F770" t="s">
        <v>14754</v>
      </c>
      <c r="G770" t="s">
        <v>74</v>
      </c>
      <c r="H770" t="s">
        <v>74</v>
      </c>
      <c r="I770" t="s">
        <v>14755</v>
      </c>
      <c r="J770" t="s">
        <v>860</v>
      </c>
      <c r="K770" t="s">
        <v>74</v>
      </c>
      <c r="L770" t="s">
        <v>74</v>
      </c>
      <c r="M770" t="s">
        <v>78</v>
      </c>
      <c r="N770" t="s">
        <v>79</v>
      </c>
      <c r="O770" t="s">
        <v>74</v>
      </c>
      <c r="P770" t="s">
        <v>74</v>
      </c>
      <c r="Q770" t="s">
        <v>74</v>
      </c>
      <c r="R770" t="s">
        <v>74</v>
      </c>
      <c r="S770" t="s">
        <v>74</v>
      </c>
      <c r="T770" t="s">
        <v>74</v>
      </c>
      <c r="U770" t="s">
        <v>14756</v>
      </c>
      <c r="V770" t="s">
        <v>14757</v>
      </c>
      <c r="W770" t="s">
        <v>14758</v>
      </c>
      <c r="X770" t="s">
        <v>14759</v>
      </c>
      <c r="Y770" t="s">
        <v>14760</v>
      </c>
      <c r="Z770" t="s">
        <v>14761</v>
      </c>
      <c r="AA770" t="s">
        <v>14762</v>
      </c>
      <c r="AB770" t="s">
        <v>14763</v>
      </c>
      <c r="AC770" t="s">
        <v>14764</v>
      </c>
      <c r="AD770" t="s">
        <v>14765</v>
      </c>
      <c r="AE770" t="s">
        <v>14766</v>
      </c>
      <c r="AF770" t="s">
        <v>74</v>
      </c>
      <c r="AG770">
        <v>41</v>
      </c>
      <c r="AH770">
        <v>20</v>
      </c>
      <c r="AI770">
        <v>20</v>
      </c>
      <c r="AJ770">
        <v>0</v>
      </c>
      <c r="AK770">
        <v>17</v>
      </c>
      <c r="AL770" t="s">
        <v>872</v>
      </c>
      <c r="AM770" t="s">
        <v>873</v>
      </c>
      <c r="AN770" t="s">
        <v>874</v>
      </c>
      <c r="AO770" t="s">
        <v>875</v>
      </c>
      <c r="AP770" t="s">
        <v>74</v>
      </c>
      <c r="AQ770" t="s">
        <v>74</v>
      </c>
      <c r="AR770" t="s">
        <v>860</v>
      </c>
      <c r="AS770" t="s">
        <v>876</v>
      </c>
      <c r="AT770" t="s">
        <v>14767</v>
      </c>
      <c r="AU770">
        <v>2017</v>
      </c>
      <c r="AV770">
        <v>12</v>
      </c>
      <c r="AW770">
        <v>7</v>
      </c>
      <c r="AX770" t="s">
        <v>74</v>
      </c>
      <c r="AY770" t="s">
        <v>74</v>
      </c>
      <c r="AZ770" t="s">
        <v>74</v>
      </c>
      <c r="BA770" t="s">
        <v>74</v>
      </c>
      <c r="BB770" t="s">
        <v>74</v>
      </c>
      <c r="BC770" t="s">
        <v>74</v>
      </c>
      <c r="BD770" t="s">
        <v>74</v>
      </c>
      <c r="BE770" t="s">
        <v>14768</v>
      </c>
      <c r="BF770" t="str">
        <f>HYPERLINK("http://dx.doi.org/10.1371/journal.pone.0179751","http://dx.doi.org/10.1371/journal.pone.0179751")</f>
        <v>http://dx.doi.org/10.1371/journal.pone.0179751</v>
      </c>
      <c r="BG770" t="s">
        <v>74</v>
      </c>
      <c r="BH770" t="s">
        <v>74</v>
      </c>
      <c r="BI770">
        <v>14</v>
      </c>
      <c r="BJ770" t="s">
        <v>190</v>
      </c>
      <c r="BK770" t="s">
        <v>101</v>
      </c>
      <c r="BL770" t="s">
        <v>191</v>
      </c>
      <c r="BM770" t="s">
        <v>14769</v>
      </c>
      <c r="BN770" t="s">
        <v>74</v>
      </c>
      <c r="BO770" t="s">
        <v>13901</v>
      </c>
      <c r="BP770" t="s">
        <v>74</v>
      </c>
      <c r="BQ770" t="s">
        <v>74</v>
      </c>
      <c r="BR770" t="s">
        <v>105</v>
      </c>
      <c r="BS770" t="s">
        <v>14770</v>
      </c>
      <c r="BT770" t="str">
        <f>HYPERLINK("https%3A%2F%2Fwww.webofscience.com%2Fwos%2Fwoscc%2Ffull-record%2FWOS:000405544800016","View Full Record in Web of Science")</f>
        <v>View Full Record in Web of Science</v>
      </c>
    </row>
    <row r="771" spans="1:72" x14ac:dyDescent="0.15">
      <c r="A771" t="s">
        <v>72</v>
      </c>
      <c r="B771" t="s">
        <v>14771</v>
      </c>
      <c r="C771" t="s">
        <v>74</v>
      </c>
      <c r="D771" t="s">
        <v>74</v>
      </c>
      <c r="E771" t="s">
        <v>74</v>
      </c>
      <c r="F771" t="s">
        <v>14772</v>
      </c>
      <c r="G771" t="s">
        <v>74</v>
      </c>
      <c r="H771" t="s">
        <v>74</v>
      </c>
      <c r="I771" t="s">
        <v>14773</v>
      </c>
      <c r="J771" t="s">
        <v>5246</v>
      </c>
      <c r="K771" t="s">
        <v>74</v>
      </c>
      <c r="L771" t="s">
        <v>74</v>
      </c>
      <c r="M771" t="s">
        <v>78</v>
      </c>
      <c r="N771" t="s">
        <v>79</v>
      </c>
      <c r="O771" t="s">
        <v>74</v>
      </c>
      <c r="P771" t="s">
        <v>74</v>
      </c>
      <c r="Q771" t="s">
        <v>74</v>
      </c>
      <c r="R771" t="s">
        <v>74</v>
      </c>
      <c r="S771" t="s">
        <v>74</v>
      </c>
      <c r="T771" t="s">
        <v>14774</v>
      </c>
      <c r="U771" t="s">
        <v>14775</v>
      </c>
      <c r="V771" t="s">
        <v>14776</v>
      </c>
      <c r="W771" t="s">
        <v>14777</v>
      </c>
      <c r="X771" t="s">
        <v>14778</v>
      </c>
      <c r="Y771" t="s">
        <v>14779</v>
      </c>
      <c r="Z771" t="s">
        <v>14780</v>
      </c>
      <c r="AA771" t="s">
        <v>14781</v>
      </c>
      <c r="AB771" t="s">
        <v>14782</v>
      </c>
      <c r="AC771" t="s">
        <v>74</v>
      </c>
      <c r="AD771" t="s">
        <v>74</v>
      </c>
      <c r="AE771" t="s">
        <v>74</v>
      </c>
      <c r="AF771" t="s">
        <v>74</v>
      </c>
      <c r="AG771">
        <v>40</v>
      </c>
      <c r="AH771">
        <v>6</v>
      </c>
      <c r="AI771">
        <v>6</v>
      </c>
      <c r="AJ771">
        <v>1</v>
      </c>
      <c r="AK771">
        <v>15</v>
      </c>
      <c r="AL771" t="s">
        <v>371</v>
      </c>
      <c r="AM771" t="s">
        <v>372</v>
      </c>
      <c r="AN771" t="s">
        <v>373</v>
      </c>
      <c r="AO771" t="s">
        <v>5259</v>
      </c>
      <c r="AP771" t="s">
        <v>5260</v>
      </c>
      <c r="AQ771" t="s">
        <v>74</v>
      </c>
      <c r="AR771" t="s">
        <v>5261</v>
      </c>
      <c r="AS771" t="s">
        <v>5262</v>
      </c>
      <c r="AT771" t="s">
        <v>14767</v>
      </c>
      <c r="AU771">
        <v>2017</v>
      </c>
      <c r="AV771">
        <v>355</v>
      </c>
      <c r="AW771" t="s">
        <v>74</v>
      </c>
      <c r="AX771" t="s">
        <v>74</v>
      </c>
      <c r="AY771" t="s">
        <v>74</v>
      </c>
      <c r="AZ771" t="s">
        <v>74</v>
      </c>
      <c r="BA771" t="s">
        <v>74</v>
      </c>
      <c r="BB771">
        <v>116</v>
      </c>
      <c r="BC771">
        <v>125</v>
      </c>
      <c r="BD771" t="s">
        <v>74</v>
      </c>
      <c r="BE771" t="s">
        <v>14783</v>
      </c>
      <c r="BF771" t="str">
        <f>HYPERLINK("http://dx.doi.org/10.1016/j.ecolmodel.2017.01.019","http://dx.doi.org/10.1016/j.ecolmodel.2017.01.019")</f>
        <v>http://dx.doi.org/10.1016/j.ecolmodel.2017.01.019</v>
      </c>
      <c r="BG771" t="s">
        <v>74</v>
      </c>
      <c r="BH771" t="s">
        <v>74</v>
      </c>
      <c r="BI771">
        <v>10</v>
      </c>
      <c r="BJ771" t="s">
        <v>1047</v>
      </c>
      <c r="BK771" t="s">
        <v>101</v>
      </c>
      <c r="BL771" t="s">
        <v>1048</v>
      </c>
      <c r="BM771" t="s">
        <v>14784</v>
      </c>
      <c r="BN771" t="s">
        <v>74</v>
      </c>
      <c r="BO771" t="s">
        <v>1240</v>
      </c>
      <c r="BP771" t="s">
        <v>74</v>
      </c>
      <c r="BQ771" t="s">
        <v>74</v>
      </c>
      <c r="BR771" t="s">
        <v>105</v>
      </c>
      <c r="BS771" t="s">
        <v>14785</v>
      </c>
      <c r="BT771" t="str">
        <f>HYPERLINK("https%3A%2F%2Fwww.webofscience.com%2Fwos%2Fwoscc%2Ffull-record%2FWOS:000402345800012","View Full Record in Web of Science")</f>
        <v>View Full Record in Web of Science</v>
      </c>
    </row>
    <row r="772" spans="1:72" x14ac:dyDescent="0.15">
      <c r="A772" t="s">
        <v>72</v>
      </c>
      <c r="B772" t="s">
        <v>14786</v>
      </c>
      <c r="C772" t="s">
        <v>74</v>
      </c>
      <c r="D772" t="s">
        <v>74</v>
      </c>
      <c r="E772" t="s">
        <v>74</v>
      </c>
      <c r="F772" t="s">
        <v>14787</v>
      </c>
      <c r="G772" t="s">
        <v>74</v>
      </c>
      <c r="H772" t="s">
        <v>74</v>
      </c>
      <c r="I772" t="s">
        <v>14788</v>
      </c>
      <c r="J772" t="s">
        <v>4425</v>
      </c>
      <c r="K772" t="s">
        <v>74</v>
      </c>
      <c r="L772" t="s">
        <v>74</v>
      </c>
      <c r="M772" t="s">
        <v>78</v>
      </c>
      <c r="N772" t="s">
        <v>79</v>
      </c>
      <c r="O772" t="s">
        <v>74</v>
      </c>
      <c r="P772" t="s">
        <v>74</v>
      </c>
      <c r="Q772" t="s">
        <v>74</v>
      </c>
      <c r="R772" t="s">
        <v>74</v>
      </c>
      <c r="S772" t="s">
        <v>74</v>
      </c>
      <c r="T772" t="s">
        <v>74</v>
      </c>
      <c r="U772" t="s">
        <v>14789</v>
      </c>
      <c r="V772" t="s">
        <v>14790</v>
      </c>
      <c r="W772" t="s">
        <v>14791</v>
      </c>
      <c r="X772" t="s">
        <v>14792</v>
      </c>
      <c r="Y772" t="s">
        <v>14793</v>
      </c>
      <c r="Z772" t="s">
        <v>14794</v>
      </c>
      <c r="AA772" t="s">
        <v>14795</v>
      </c>
      <c r="AB772" t="s">
        <v>14796</v>
      </c>
      <c r="AC772" t="s">
        <v>14797</v>
      </c>
      <c r="AD772" t="s">
        <v>14798</v>
      </c>
      <c r="AE772" t="s">
        <v>14799</v>
      </c>
      <c r="AF772" t="s">
        <v>74</v>
      </c>
      <c r="AG772">
        <v>19</v>
      </c>
      <c r="AH772">
        <v>2</v>
      </c>
      <c r="AI772">
        <v>2</v>
      </c>
      <c r="AJ772">
        <v>0</v>
      </c>
      <c r="AK772">
        <v>2</v>
      </c>
      <c r="AL772" t="s">
        <v>311</v>
      </c>
      <c r="AM772" t="s">
        <v>312</v>
      </c>
      <c r="AN772" t="s">
        <v>313</v>
      </c>
      <c r="AO772" t="s">
        <v>4434</v>
      </c>
      <c r="AP772" t="s">
        <v>74</v>
      </c>
      <c r="AQ772" t="s">
        <v>74</v>
      </c>
      <c r="AR772" t="s">
        <v>4435</v>
      </c>
      <c r="AS772" t="s">
        <v>4436</v>
      </c>
      <c r="AT772" t="s">
        <v>14800</v>
      </c>
      <c r="AU772">
        <v>2017</v>
      </c>
      <c r="AV772">
        <v>13</v>
      </c>
      <c r="AW772">
        <v>4</v>
      </c>
      <c r="AX772" t="s">
        <v>74</v>
      </c>
      <c r="AY772" t="s">
        <v>74</v>
      </c>
      <c r="AZ772" t="s">
        <v>74</v>
      </c>
      <c r="BA772" t="s">
        <v>74</v>
      </c>
      <c r="BB772">
        <v>577</v>
      </c>
      <c r="BC772">
        <v>587</v>
      </c>
      <c r="BD772" t="s">
        <v>74</v>
      </c>
      <c r="BE772" t="s">
        <v>14801</v>
      </c>
      <c r="BF772" t="str">
        <f>HYPERLINK("http://dx.doi.org/10.5194/os-13-577-2017","http://dx.doi.org/10.5194/os-13-577-2017")</f>
        <v>http://dx.doi.org/10.5194/os-13-577-2017</v>
      </c>
      <c r="BG772" t="s">
        <v>74</v>
      </c>
      <c r="BH772" t="s">
        <v>74</v>
      </c>
      <c r="BI772">
        <v>11</v>
      </c>
      <c r="BJ772" t="s">
        <v>2463</v>
      </c>
      <c r="BK772" t="s">
        <v>101</v>
      </c>
      <c r="BL772" t="s">
        <v>2463</v>
      </c>
      <c r="BM772" t="s">
        <v>14802</v>
      </c>
      <c r="BN772" t="s">
        <v>74</v>
      </c>
      <c r="BO772" t="s">
        <v>837</v>
      </c>
      <c r="BP772" t="s">
        <v>74</v>
      </c>
      <c r="BQ772" t="s">
        <v>74</v>
      </c>
      <c r="BR772" t="s">
        <v>105</v>
      </c>
      <c r="BS772" t="s">
        <v>14803</v>
      </c>
      <c r="BT772" t="str">
        <f>HYPERLINK("https%3A%2F%2Fwww.webofscience.com%2Fwos%2Fwoscc%2Ffull-record%2FWOS:000405321700001","View Full Record in Web of Science")</f>
        <v>View Full Record in Web of Science</v>
      </c>
    </row>
    <row r="773" spans="1:72" x14ac:dyDescent="0.15">
      <c r="A773" t="s">
        <v>72</v>
      </c>
      <c r="B773" t="s">
        <v>14804</v>
      </c>
      <c r="C773" t="s">
        <v>74</v>
      </c>
      <c r="D773" t="s">
        <v>74</v>
      </c>
      <c r="E773" t="s">
        <v>74</v>
      </c>
      <c r="F773" t="s">
        <v>14805</v>
      </c>
      <c r="G773" t="s">
        <v>74</v>
      </c>
      <c r="H773" t="s">
        <v>74</v>
      </c>
      <c r="I773" t="s">
        <v>14806</v>
      </c>
      <c r="J773" t="s">
        <v>14807</v>
      </c>
      <c r="K773" t="s">
        <v>74</v>
      </c>
      <c r="L773" t="s">
        <v>74</v>
      </c>
      <c r="M773" t="s">
        <v>78</v>
      </c>
      <c r="N773" t="s">
        <v>79</v>
      </c>
      <c r="O773" t="s">
        <v>74</v>
      </c>
      <c r="P773" t="s">
        <v>74</v>
      </c>
      <c r="Q773" t="s">
        <v>74</v>
      </c>
      <c r="R773" t="s">
        <v>74</v>
      </c>
      <c r="S773" t="s">
        <v>74</v>
      </c>
      <c r="T773" t="s">
        <v>14808</v>
      </c>
      <c r="U773" t="s">
        <v>14809</v>
      </c>
      <c r="V773" t="s">
        <v>14810</v>
      </c>
      <c r="W773" t="s">
        <v>14811</v>
      </c>
      <c r="X773" t="s">
        <v>14812</v>
      </c>
      <c r="Y773" t="s">
        <v>14813</v>
      </c>
      <c r="Z773" t="s">
        <v>14814</v>
      </c>
      <c r="AA773" t="s">
        <v>74</v>
      </c>
      <c r="AB773" t="s">
        <v>74</v>
      </c>
      <c r="AC773" t="s">
        <v>14815</v>
      </c>
      <c r="AD773" t="s">
        <v>14816</v>
      </c>
      <c r="AE773" t="s">
        <v>14817</v>
      </c>
      <c r="AF773" t="s">
        <v>74</v>
      </c>
      <c r="AG773">
        <v>42</v>
      </c>
      <c r="AH773">
        <v>1</v>
      </c>
      <c r="AI773">
        <v>1</v>
      </c>
      <c r="AJ773">
        <v>0</v>
      </c>
      <c r="AK773">
        <v>4</v>
      </c>
      <c r="AL773" t="s">
        <v>1657</v>
      </c>
      <c r="AM773" t="s">
        <v>182</v>
      </c>
      <c r="AN773" t="s">
        <v>1658</v>
      </c>
      <c r="AO773" t="s">
        <v>14818</v>
      </c>
      <c r="AP773" t="s">
        <v>14819</v>
      </c>
      <c r="AQ773" t="s">
        <v>74</v>
      </c>
      <c r="AR773" t="s">
        <v>14820</v>
      </c>
      <c r="AS773" t="s">
        <v>14821</v>
      </c>
      <c r="AT773" t="s">
        <v>14800</v>
      </c>
      <c r="AU773">
        <v>2017</v>
      </c>
      <c r="AV773">
        <v>424</v>
      </c>
      <c r="AW773" t="s">
        <v>74</v>
      </c>
      <c r="AX773" t="s">
        <v>74</v>
      </c>
      <c r="AY773" t="s">
        <v>74</v>
      </c>
      <c r="AZ773" t="s">
        <v>74</v>
      </c>
      <c r="BA773" t="s">
        <v>74</v>
      </c>
      <c r="BB773">
        <v>1</v>
      </c>
      <c r="BC773">
        <v>10</v>
      </c>
      <c r="BD773" t="s">
        <v>74</v>
      </c>
      <c r="BE773" t="s">
        <v>14822</v>
      </c>
      <c r="BF773" t="str">
        <f>HYPERLINK("http://dx.doi.org/10.1016/j.jtbi.2017.04.022","http://dx.doi.org/10.1016/j.jtbi.2017.04.022")</f>
        <v>http://dx.doi.org/10.1016/j.jtbi.2017.04.022</v>
      </c>
      <c r="BG773" t="s">
        <v>74</v>
      </c>
      <c r="BH773" t="s">
        <v>74</v>
      </c>
      <c r="BI773">
        <v>10</v>
      </c>
      <c r="BJ773" t="s">
        <v>14823</v>
      </c>
      <c r="BK773" t="s">
        <v>101</v>
      </c>
      <c r="BL773" t="s">
        <v>14824</v>
      </c>
      <c r="BM773" t="s">
        <v>14825</v>
      </c>
      <c r="BN773">
        <v>28456460</v>
      </c>
      <c r="BO773" t="s">
        <v>74</v>
      </c>
      <c r="BP773" t="s">
        <v>74</v>
      </c>
      <c r="BQ773" t="s">
        <v>74</v>
      </c>
      <c r="BR773" t="s">
        <v>105</v>
      </c>
      <c r="BS773" t="s">
        <v>14826</v>
      </c>
      <c r="BT773" t="str">
        <f>HYPERLINK("https%3A%2F%2Fwww.webofscience.com%2Fwos%2Fwoscc%2Ffull-record%2FWOS:000403526300001","View Full Record in Web of Science")</f>
        <v>View Full Record in Web of Science</v>
      </c>
    </row>
    <row r="774" spans="1:72" x14ac:dyDescent="0.15">
      <c r="A774" t="s">
        <v>72</v>
      </c>
      <c r="B774" t="s">
        <v>14827</v>
      </c>
      <c r="C774" t="s">
        <v>74</v>
      </c>
      <c r="D774" t="s">
        <v>74</v>
      </c>
      <c r="E774" t="s">
        <v>74</v>
      </c>
      <c r="F774" t="s">
        <v>14828</v>
      </c>
      <c r="G774" t="s">
        <v>74</v>
      </c>
      <c r="H774" t="s">
        <v>74</v>
      </c>
      <c r="I774" t="s">
        <v>14829</v>
      </c>
      <c r="J774" t="s">
        <v>4425</v>
      </c>
      <c r="K774" t="s">
        <v>74</v>
      </c>
      <c r="L774" t="s">
        <v>74</v>
      </c>
      <c r="M774" t="s">
        <v>78</v>
      </c>
      <c r="N774" t="s">
        <v>79</v>
      </c>
      <c r="O774" t="s">
        <v>74</v>
      </c>
      <c r="P774" t="s">
        <v>74</v>
      </c>
      <c r="Q774" t="s">
        <v>74</v>
      </c>
      <c r="R774" t="s">
        <v>74</v>
      </c>
      <c r="S774" t="s">
        <v>74</v>
      </c>
      <c r="T774" t="s">
        <v>74</v>
      </c>
      <c r="U774" t="s">
        <v>14830</v>
      </c>
      <c r="V774" t="s">
        <v>14831</v>
      </c>
      <c r="W774" t="s">
        <v>14832</v>
      </c>
      <c r="X774" t="s">
        <v>14833</v>
      </c>
      <c r="Y774" t="s">
        <v>14834</v>
      </c>
      <c r="Z774" t="s">
        <v>14835</v>
      </c>
      <c r="AA774" t="s">
        <v>14836</v>
      </c>
      <c r="AB774" t="s">
        <v>14837</v>
      </c>
      <c r="AC774" t="s">
        <v>14838</v>
      </c>
      <c r="AD774" t="s">
        <v>14839</v>
      </c>
      <c r="AE774" t="s">
        <v>14840</v>
      </c>
      <c r="AF774" t="s">
        <v>74</v>
      </c>
      <c r="AG774">
        <v>52</v>
      </c>
      <c r="AH774">
        <v>10</v>
      </c>
      <c r="AI774">
        <v>12</v>
      </c>
      <c r="AJ774">
        <v>0</v>
      </c>
      <c r="AK774">
        <v>14</v>
      </c>
      <c r="AL774" t="s">
        <v>311</v>
      </c>
      <c r="AM774" t="s">
        <v>312</v>
      </c>
      <c r="AN774" t="s">
        <v>313</v>
      </c>
      <c r="AO774" t="s">
        <v>4434</v>
      </c>
      <c r="AP774" t="s">
        <v>14841</v>
      </c>
      <c r="AQ774" t="s">
        <v>74</v>
      </c>
      <c r="AR774" t="s">
        <v>4435</v>
      </c>
      <c r="AS774" t="s">
        <v>4436</v>
      </c>
      <c r="AT774" t="s">
        <v>14842</v>
      </c>
      <c r="AU774">
        <v>2017</v>
      </c>
      <c r="AV774">
        <v>13</v>
      </c>
      <c r="AW774">
        <v>4</v>
      </c>
      <c r="AX774" t="s">
        <v>74</v>
      </c>
      <c r="AY774" t="s">
        <v>74</v>
      </c>
      <c r="AZ774" t="s">
        <v>74</v>
      </c>
      <c r="BA774" t="s">
        <v>74</v>
      </c>
      <c r="BB774">
        <v>521</v>
      </c>
      <c r="BC774">
        <v>530</v>
      </c>
      <c r="BD774" t="s">
        <v>74</v>
      </c>
      <c r="BE774" t="s">
        <v>14843</v>
      </c>
      <c r="BF774" t="str">
        <f>HYPERLINK("http://dx.doi.org/10.5194/os-13-521-2017","http://dx.doi.org/10.5194/os-13-521-2017")</f>
        <v>http://dx.doi.org/10.5194/os-13-521-2017</v>
      </c>
      <c r="BG774" t="s">
        <v>74</v>
      </c>
      <c r="BH774" t="s">
        <v>74</v>
      </c>
      <c r="BI774">
        <v>10</v>
      </c>
      <c r="BJ774" t="s">
        <v>2463</v>
      </c>
      <c r="BK774" t="s">
        <v>101</v>
      </c>
      <c r="BL774" t="s">
        <v>2463</v>
      </c>
      <c r="BM774" t="s">
        <v>14844</v>
      </c>
      <c r="BN774" t="s">
        <v>74</v>
      </c>
      <c r="BO774" t="s">
        <v>322</v>
      </c>
      <c r="BP774" t="s">
        <v>74</v>
      </c>
      <c r="BQ774" t="s">
        <v>74</v>
      </c>
      <c r="BR774" t="s">
        <v>105</v>
      </c>
      <c r="BS774" t="s">
        <v>14845</v>
      </c>
      <c r="BT774" t="str">
        <f>HYPERLINK("https%3A%2F%2Fwww.webofscience.com%2Fwos%2Fwoscc%2Ffull-record%2FWOS:000405321300001","View Full Record in Web of Science")</f>
        <v>View Full Record in Web of Science</v>
      </c>
    </row>
    <row r="775" spans="1:72" x14ac:dyDescent="0.15">
      <c r="A775" t="s">
        <v>72</v>
      </c>
      <c r="B775" t="s">
        <v>14846</v>
      </c>
      <c r="C775" t="s">
        <v>74</v>
      </c>
      <c r="D775" t="s">
        <v>74</v>
      </c>
      <c r="E775" t="s">
        <v>74</v>
      </c>
      <c r="F775" t="s">
        <v>14847</v>
      </c>
      <c r="G775" t="s">
        <v>74</v>
      </c>
      <c r="H775" t="s">
        <v>74</v>
      </c>
      <c r="I775" t="s">
        <v>14848</v>
      </c>
      <c r="J775" t="s">
        <v>14849</v>
      </c>
      <c r="K775" t="s">
        <v>74</v>
      </c>
      <c r="L775" t="s">
        <v>74</v>
      </c>
      <c r="M775" t="s">
        <v>78</v>
      </c>
      <c r="N775" t="s">
        <v>79</v>
      </c>
      <c r="O775" t="s">
        <v>74</v>
      </c>
      <c r="P775" t="s">
        <v>74</v>
      </c>
      <c r="Q775" t="s">
        <v>74</v>
      </c>
      <c r="R775" t="s">
        <v>74</v>
      </c>
      <c r="S775" t="s">
        <v>74</v>
      </c>
      <c r="T775" t="s">
        <v>14850</v>
      </c>
      <c r="U775" t="s">
        <v>14851</v>
      </c>
      <c r="V775" t="s">
        <v>14852</v>
      </c>
      <c r="W775" t="s">
        <v>14853</v>
      </c>
      <c r="X775" t="s">
        <v>14854</v>
      </c>
      <c r="Y775" t="s">
        <v>14855</v>
      </c>
      <c r="Z775" t="s">
        <v>14856</v>
      </c>
      <c r="AA775" t="s">
        <v>14857</v>
      </c>
      <c r="AB775" t="s">
        <v>74</v>
      </c>
      <c r="AC775" t="s">
        <v>14858</v>
      </c>
      <c r="AD775" t="s">
        <v>14859</v>
      </c>
      <c r="AE775" t="s">
        <v>14860</v>
      </c>
      <c r="AF775" t="s">
        <v>74</v>
      </c>
      <c r="AG775">
        <v>47</v>
      </c>
      <c r="AH775">
        <v>18</v>
      </c>
      <c r="AI775">
        <v>20</v>
      </c>
      <c r="AJ775">
        <v>1</v>
      </c>
      <c r="AK775">
        <v>25</v>
      </c>
      <c r="AL775" t="s">
        <v>2520</v>
      </c>
      <c r="AM775" t="s">
        <v>2521</v>
      </c>
      <c r="AN775" t="s">
        <v>2522</v>
      </c>
      <c r="AO775" t="s">
        <v>14861</v>
      </c>
      <c r="AP775" t="s">
        <v>74</v>
      </c>
      <c r="AQ775" t="s">
        <v>74</v>
      </c>
      <c r="AR775" t="s">
        <v>14862</v>
      </c>
      <c r="AS775" t="s">
        <v>14863</v>
      </c>
      <c r="AT775" t="s">
        <v>14842</v>
      </c>
      <c r="AU775">
        <v>2017</v>
      </c>
      <c r="AV775">
        <v>69</v>
      </c>
      <c r="AW775" t="s">
        <v>74</v>
      </c>
      <c r="AX775" t="s">
        <v>74</v>
      </c>
      <c r="AY775" t="s">
        <v>74</v>
      </c>
      <c r="AZ775" t="s">
        <v>74</v>
      </c>
      <c r="BA775" t="s">
        <v>74</v>
      </c>
      <c r="BB775">
        <v>1</v>
      </c>
      <c r="BC775">
        <v>9</v>
      </c>
      <c r="BD775">
        <v>93</v>
      </c>
      <c r="BE775" t="s">
        <v>14864</v>
      </c>
      <c r="BF775" t="str">
        <f>HYPERLINK("http://dx.doi.org/10.1186/s40623-017-0678-3","http://dx.doi.org/10.1186/s40623-017-0678-3")</f>
        <v>http://dx.doi.org/10.1186/s40623-017-0678-3</v>
      </c>
      <c r="BG775" t="s">
        <v>74</v>
      </c>
      <c r="BH775" t="s">
        <v>74</v>
      </c>
      <c r="BI775">
        <v>9</v>
      </c>
      <c r="BJ775" t="s">
        <v>100</v>
      </c>
      <c r="BK775" t="s">
        <v>101</v>
      </c>
      <c r="BL775" t="s">
        <v>102</v>
      </c>
      <c r="BM775" t="s">
        <v>14865</v>
      </c>
      <c r="BN775" t="s">
        <v>74</v>
      </c>
      <c r="BO775" t="s">
        <v>1278</v>
      </c>
      <c r="BP775" t="s">
        <v>74</v>
      </c>
      <c r="BQ775" t="s">
        <v>74</v>
      </c>
      <c r="BR775" t="s">
        <v>105</v>
      </c>
      <c r="BS775" t="s">
        <v>14866</v>
      </c>
      <c r="BT775" t="str">
        <f>HYPERLINK("https%3A%2F%2Fwww.webofscience.com%2Fwos%2Fwoscc%2Ffull-record%2FWOS:000405142400001","View Full Record in Web of Science")</f>
        <v>View Full Record in Web of Science</v>
      </c>
    </row>
    <row r="776" spans="1:72" x14ac:dyDescent="0.15">
      <c r="A776" t="s">
        <v>72</v>
      </c>
      <c r="B776" t="s">
        <v>14867</v>
      </c>
      <c r="C776" t="s">
        <v>74</v>
      </c>
      <c r="D776" t="s">
        <v>74</v>
      </c>
      <c r="E776" t="s">
        <v>74</v>
      </c>
      <c r="F776" t="s">
        <v>14868</v>
      </c>
      <c r="G776" t="s">
        <v>74</v>
      </c>
      <c r="H776" t="s">
        <v>74</v>
      </c>
      <c r="I776" t="s">
        <v>14869</v>
      </c>
      <c r="J776" t="s">
        <v>953</v>
      </c>
      <c r="K776" t="s">
        <v>74</v>
      </c>
      <c r="L776" t="s">
        <v>74</v>
      </c>
      <c r="M776" t="s">
        <v>78</v>
      </c>
      <c r="N776" t="s">
        <v>79</v>
      </c>
      <c r="O776" t="s">
        <v>74</v>
      </c>
      <c r="P776" t="s">
        <v>74</v>
      </c>
      <c r="Q776" t="s">
        <v>74</v>
      </c>
      <c r="R776" t="s">
        <v>74</v>
      </c>
      <c r="S776" t="s">
        <v>74</v>
      </c>
      <c r="T776" t="s">
        <v>74</v>
      </c>
      <c r="U776" t="s">
        <v>14870</v>
      </c>
      <c r="V776" t="s">
        <v>14871</v>
      </c>
      <c r="W776" t="s">
        <v>14872</v>
      </c>
      <c r="X776" t="s">
        <v>14873</v>
      </c>
      <c r="Y776" t="s">
        <v>14874</v>
      </c>
      <c r="Z776" t="s">
        <v>14875</v>
      </c>
      <c r="AA776" t="s">
        <v>14876</v>
      </c>
      <c r="AB776" t="s">
        <v>14877</v>
      </c>
      <c r="AC776" t="s">
        <v>14878</v>
      </c>
      <c r="AD776" t="s">
        <v>14878</v>
      </c>
      <c r="AE776" t="s">
        <v>14879</v>
      </c>
      <c r="AF776" t="s">
        <v>74</v>
      </c>
      <c r="AG776">
        <v>70</v>
      </c>
      <c r="AH776">
        <v>27</v>
      </c>
      <c r="AI776">
        <v>28</v>
      </c>
      <c r="AJ776">
        <v>0</v>
      </c>
      <c r="AK776">
        <v>29</v>
      </c>
      <c r="AL776" t="s">
        <v>181</v>
      </c>
      <c r="AM776" t="s">
        <v>182</v>
      </c>
      <c r="AN776" t="s">
        <v>183</v>
      </c>
      <c r="AO776" t="s">
        <v>965</v>
      </c>
      <c r="AP776" t="s">
        <v>74</v>
      </c>
      <c r="AQ776" t="s">
        <v>74</v>
      </c>
      <c r="AR776" t="s">
        <v>966</v>
      </c>
      <c r="AS776" t="s">
        <v>967</v>
      </c>
      <c r="AT776" t="s">
        <v>14842</v>
      </c>
      <c r="AU776">
        <v>2017</v>
      </c>
      <c r="AV776">
        <v>8</v>
      </c>
      <c r="AW776" t="s">
        <v>74</v>
      </c>
      <c r="AX776" t="s">
        <v>74</v>
      </c>
      <c r="AY776" t="s">
        <v>74</v>
      </c>
      <c r="AZ776" t="s">
        <v>74</v>
      </c>
      <c r="BA776" t="s">
        <v>74</v>
      </c>
      <c r="BB776" t="s">
        <v>74</v>
      </c>
      <c r="BC776" t="s">
        <v>74</v>
      </c>
      <c r="BD776">
        <v>15867</v>
      </c>
      <c r="BE776" t="s">
        <v>14880</v>
      </c>
      <c r="BF776" t="str">
        <f>HYPERLINK("http://dx.doi.org/10.1038/ncomms15867","http://dx.doi.org/10.1038/ncomms15867")</f>
        <v>http://dx.doi.org/10.1038/ncomms15867</v>
      </c>
      <c r="BG776" t="s">
        <v>74</v>
      </c>
      <c r="BH776" t="s">
        <v>74</v>
      </c>
      <c r="BI776">
        <v>11</v>
      </c>
      <c r="BJ776" t="s">
        <v>190</v>
      </c>
      <c r="BK776" t="s">
        <v>101</v>
      </c>
      <c r="BL776" t="s">
        <v>191</v>
      </c>
      <c r="BM776" t="s">
        <v>14881</v>
      </c>
      <c r="BN776">
        <v>28681844</v>
      </c>
      <c r="BO776" t="s">
        <v>14882</v>
      </c>
      <c r="BP776" t="s">
        <v>74</v>
      </c>
      <c r="BQ776" t="s">
        <v>74</v>
      </c>
      <c r="BR776" t="s">
        <v>105</v>
      </c>
      <c r="BS776" t="s">
        <v>14883</v>
      </c>
      <c r="BT776" t="str">
        <f>HYPERLINK("https%3A%2F%2Fwww.webofscience.com%2Fwos%2Fwoscc%2Ffull-record%2FWOS:000404837100001","View Full Record in Web of Science")</f>
        <v>View Full Record in Web of Science</v>
      </c>
    </row>
    <row r="777" spans="1:72" x14ac:dyDescent="0.15">
      <c r="A777" t="s">
        <v>72</v>
      </c>
      <c r="B777" t="s">
        <v>14884</v>
      </c>
      <c r="C777" t="s">
        <v>74</v>
      </c>
      <c r="D777" t="s">
        <v>74</v>
      </c>
      <c r="E777" t="s">
        <v>74</v>
      </c>
      <c r="F777" t="s">
        <v>14885</v>
      </c>
      <c r="G777" t="s">
        <v>74</v>
      </c>
      <c r="H777" t="s">
        <v>74</v>
      </c>
      <c r="I777" t="s">
        <v>14886</v>
      </c>
      <c r="J777" t="s">
        <v>169</v>
      </c>
      <c r="K777" t="s">
        <v>74</v>
      </c>
      <c r="L777" t="s">
        <v>74</v>
      </c>
      <c r="M777" t="s">
        <v>78</v>
      </c>
      <c r="N777" t="s">
        <v>2737</v>
      </c>
      <c r="O777" t="s">
        <v>74</v>
      </c>
      <c r="P777" t="s">
        <v>74</v>
      </c>
      <c r="Q777" t="s">
        <v>74</v>
      </c>
      <c r="R777" t="s">
        <v>74</v>
      </c>
      <c r="S777" t="s">
        <v>74</v>
      </c>
      <c r="T777" t="s">
        <v>74</v>
      </c>
      <c r="U777" t="s">
        <v>14887</v>
      </c>
      <c r="V777" t="s">
        <v>14888</v>
      </c>
      <c r="W777" t="s">
        <v>14889</v>
      </c>
      <c r="X777" t="s">
        <v>14890</v>
      </c>
      <c r="Y777" t="s">
        <v>14891</v>
      </c>
      <c r="Z777" t="s">
        <v>14892</v>
      </c>
      <c r="AA777" t="s">
        <v>14893</v>
      </c>
      <c r="AB777" t="s">
        <v>14894</v>
      </c>
      <c r="AC777" t="s">
        <v>74</v>
      </c>
      <c r="AD777" t="s">
        <v>74</v>
      </c>
      <c r="AE777" t="s">
        <v>74</v>
      </c>
      <c r="AF777" t="s">
        <v>74</v>
      </c>
      <c r="AG777">
        <v>9</v>
      </c>
      <c r="AH777">
        <v>2</v>
      </c>
      <c r="AI777">
        <v>3</v>
      </c>
      <c r="AJ777">
        <v>0</v>
      </c>
      <c r="AK777">
        <v>10</v>
      </c>
      <c r="AL777" t="s">
        <v>181</v>
      </c>
      <c r="AM777" t="s">
        <v>182</v>
      </c>
      <c r="AN777" t="s">
        <v>183</v>
      </c>
      <c r="AO777" t="s">
        <v>184</v>
      </c>
      <c r="AP777" t="s">
        <v>185</v>
      </c>
      <c r="AQ777" t="s">
        <v>74</v>
      </c>
      <c r="AR777" t="s">
        <v>169</v>
      </c>
      <c r="AS777" t="s">
        <v>186</v>
      </c>
      <c r="AT777" t="s">
        <v>14842</v>
      </c>
      <c r="AU777">
        <v>2017</v>
      </c>
      <c r="AV777">
        <v>547</v>
      </c>
      <c r="AW777">
        <v>7661</v>
      </c>
      <c r="AX777" t="s">
        <v>74</v>
      </c>
      <c r="AY777" t="s">
        <v>74</v>
      </c>
      <c r="AZ777" t="s">
        <v>74</v>
      </c>
      <c r="BA777" t="s">
        <v>74</v>
      </c>
      <c r="BB777">
        <v>35</v>
      </c>
      <c r="BC777">
        <v>36</v>
      </c>
      <c r="BD777" t="s">
        <v>74</v>
      </c>
      <c r="BE777" t="s">
        <v>14895</v>
      </c>
      <c r="BF777" t="str">
        <f>HYPERLINK("http://dx.doi.org/10.1038/547035a","http://dx.doi.org/10.1038/547035a")</f>
        <v>http://dx.doi.org/10.1038/547035a</v>
      </c>
      <c r="BG777" t="s">
        <v>74</v>
      </c>
      <c r="BH777" t="s">
        <v>74</v>
      </c>
      <c r="BI777">
        <v>2</v>
      </c>
      <c r="BJ777" t="s">
        <v>190</v>
      </c>
      <c r="BK777" t="s">
        <v>101</v>
      </c>
      <c r="BL777" t="s">
        <v>191</v>
      </c>
      <c r="BM777" t="s">
        <v>14896</v>
      </c>
      <c r="BN777">
        <v>28682325</v>
      </c>
      <c r="BO777" t="s">
        <v>74</v>
      </c>
      <c r="BP777" t="s">
        <v>74</v>
      </c>
      <c r="BQ777" t="s">
        <v>74</v>
      </c>
      <c r="BR777" t="s">
        <v>105</v>
      </c>
      <c r="BS777" t="s">
        <v>14897</v>
      </c>
      <c r="BT777" t="str">
        <f>HYPERLINK("https%3A%2F%2Fwww.webofscience.com%2Fwos%2Fwoscc%2Ffull-record%2FWOS:000404839900023","View Full Record in Web of Science")</f>
        <v>View Full Record in Web of Science</v>
      </c>
    </row>
    <row r="778" spans="1:72" x14ac:dyDescent="0.15">
      <c r="A778" t="s">
        <v>72</v>
      </c>
      <c r="B778" t="s">
        <v>14898</v>
      </c>
      <c r="C778" t="s">
        <v>74</v>
      </c>
      <c r="D778" t="s">
        <v>74</v>
      </c>
      <c r="E778" t="s">
        <v>74</v>
      </c>
      <c r="F778" t="s">
        <v>14899</v>
      </c>
      <c r="G778" t="s">
        <v>74</v>
      </c>
      <c r="H778" t="s">
        <v>74</v>
      </c>
      <c r="I778" t="s">
        <v>14900</v>
      </c>
      <c r="J778" t="s">
        <v>169</v>
      </c>
      <c r="K778" t="s">
        <v>74</v>
      </c>
      <c r="L778" t="s">
        <v>74</v>
      </c>
      <c r="M778" t="s">
        <v>78</v>
      </c>
      <c r="N778" t="s">
        <v>79</v>
      </c>
      <c r="O778" t="s">
        <v>74</v>
      </c>
      <c r="P778" t="s">
        <v>74</v>
      </c>
      <c r="Q778" t="s">
        <v>74</v>
      </c>
      <c r="R778" t="s">
        <v>74</v>
      </c>
      <c r="S778" t="s">
        <v>74</v>
      </c>
      <c r="T778" t="s">
        <v>74</v>
      </c>
      <c r="U778" t="s">
        <v>14901</v>
      </c>
      <c r="V778" t="s">
        <v>14902</v>
      </c>
      <c r="W778" t="s">
        <v>14903</v>
      </c>
      <c r="X778" t="s">
        <v>14904</v>
      </c>
      <c r="Y778" t="s">
        <v>14905</v>
      </c>
      <c r="Z778" t="s">
        <v>14906</v>
      </c>
      <c r="AA778" t="s">
        <v>14907</v>
      </c>
      <c r="AB778" t="s">
        <v>14908</v>
      </c>
      <c r="AC778" t="s">
        <v>14909</v>
      </c>
      <c r="AD778" t="s">
        <v>14910</v>
      </c>
      <c r="AE778" t="s">
        <v>14911</v>
      </c>
      <c r="AF778" t="s">
        <v>74</v>
      </c>
      <c r="AG778">
        <v>97</v>
      </c>
      <c r="AH778">
        <v>84</v>
      </c>
      <c r="AI778">
        <v>96</v>
      </c>
      <c r="AJ778">
        <v>4</v>
      </c>
      <c r="AK778">
        <v>84</v>
      </c>
      <c r="AL778" t="s">
        <v>181</v>
      </c>
      <c r="AM778" t="s">
        <v>182</v>
      </c>
      <c r="AN778" t="s">
        <v>183</v>
      </c>
      <c r="AO778" t="s">
        <v>184</v>
      </c>
      <c r="AP778" t="s">
        <v>185</v>
      </c>
      <c r="AQ778" t="s">
        <v>74</v>
      </c>
      <c r="AR778" t="s">
        <v>169</v>
      </c>
      <c r="AS778" t="s">
        <v>186</v>
      </c>
      <c r="AT778" t="s">
        <v>14842</v>
      </c>
      <c r="AU778">
        <v>2017</v>
      </c>
      <c r="AV778">
        <v>547</v>
      </c>
      <c r="AW778">
        <v>7661</v>
      </c>
      <c r="AX778" t="s">
        <v>74</v>
      </c>
      <c r="AY778" t="s">
        <v>74</v>
      </c>
      <c r="AZ778" t="s">
        <v>74</v>
      </c>
      <c r="BA778" t="s">
        <v>74</v>
      </c>
      <c r="BB778">
        <v>43</v>
      </c>
      <c r="BC778" t="s">
        <v>188</v>
      </c>
      <c r="BD778" t="s">
        <v>74</v>
      </c>
      <c r="BE778" t="s">
        <v>14912</v>
      </c>
      <c r="BF778" t="str">
        <f>HYPERLINK("http://dx.doi.org/10.1038/nature22995","http://dx.doi.org/10.1038/nature22995")</f>
        <v>http://dx.doi.org/10.1038/nature22995</v>
      </c>
      <c r="BG778" t="s">
        <v>74</v>
      </c>
      <c r="BH778" t="s">
        <v>74</v>
      </c>
      <c r="BI778">
        <v>19</v>
      </c>
      <c r="BJ778" t="s">
        <v>190</v>
      </c>
      <c r="BK778" t="s">
        <v>101</v>
      </c>
      <c r="BL778" t="s">
        <v>191</v>
      </c>
      <c r="BM778" t="s">
        <v>14896</v>
      </c>
      <c r="BN778">
        <v>28682333</v>
      </c>
      <c r="BO778" t="s">
        <v>786</v>
      </c>
      <c r="BP778" t="s">
        <v>74</v>
      </c>
      <c r="BQ778" t="s">
        <v>74</v>
      </c>
      <c r="BR778" t="s">
        <v>105</v>
      </c>
      <c r="BS778" t="s">
        <v>14913</v>
      </c>
      <c r="BT778" t="str">
        <f>HYPERLINK("https%3A%2F%2Fwww.webofscience.com%2Fwos%2Fwoscc%2Ffull-record%2FWOS:000404839900028","View Full Record in Web of Science")</f>
        <v>View Full Record in Web of Science</v>
      </c>
    </row>
    <row r="779" spans="1:72" x14ac:dyDescent="0.15">
      <c r="A779" t="s">
        <v>72</v>
      </c>
      <c r="B779" t="s">
        <v>14914</v>
      </c>
      <c r="C779" t="s">
        <v>74</v>
      </c>
      <c r="D779" t="s">
        <v>74</v>
      </c>
      <c r="E779" t="s">
        <v>74</v>
      </c>
      <c r="F779" t="s">
        <v>14915</v>
      </c>
      <c r="G779" t="s">
        <v>74</v>
      </c>
      <c r="H779" t="s">
        <v>74</v>
      </c>
      <c r="I779" t="s">
        <v>14916</v>
      </c>
      <c r="J779" t="s">
        <v>169</v>
      </c>
      <c r="K779" t="s">
        <v>74</v>
      </c>
      <c r="L779" t="s">
        <v>74</v>
      </c>
      <c r="M779" t="s">
        <v>78</v>
      </c>
      <c r="N779" t="s">
        <v>79</v>
      </c>
      <c r="O779" t="s">
        <v>74</v>
      </c>
      <c r="P779" t="s">
        <v>74</v>
      </c>
      <c r="Q779" t="s">
        <v>74</v>
      </c>
      <c r="R779" t="s">
        <v>74</v>
      </c>
      <c r="S779" t="s">
        <v>74</v>
      </c>
      <c r="T779" t="s">
        <v>74</v>
      </c>
      <c r="U779" t="s">
        <v>14917</v>
      </c>
      <c r="V779" t="s">
        <v>14918</v>
      </c>
      <c r="W779" t="s">
        <v>14919</v>
      </c>
      <c r="X779" t="s">
        <v>14920</v>
      </c>
      <c r="Y779" t="s">
        <v>14921</v>
      </c>
      <c r="Z779" t="s">
        <v>14922</v>
      </c>
      <c r="AA779" t="s">
        <v>14923</v>
      </c>
      <c r="AB779" t="s">
        <v>14924</v>
      </c>
      <c r="AC779" t="s">
        <v>14925</v>
      </c>
      <c r="AD779" t="s">
        <v>14926</v>
      </c>
      <c r="AE779" t="s">
        <v>14927</v>
      </c>
      <c r="AF779" t="s">
        <v>74</v>
      </c>
      <c r="AG779">
        <v>69</v>
      </c>
      <c r="AH779">
        <v>255</v>
      </c>
      <c r="AI779">
        <v>270</v>
      </c>
      <c r="AJ779">
        <v>9</v>
      </c>
      <c r="AK779">
        <v>186</v>
      </c>
      <c r="AL779" t="s">
        <v>650</v>
      </c>
      <c r="AM779" t="s">
        <v>651</v>
      </c>
      <c r="AN779" t="s">
        <v>652</v>
      </c>
      <c r="AO779" t="s">
        <v>184</v>
      </c>
      <c r="AP779" t="s">
        <v>185</v>
      </c>
      <c r="AQ779" t="s">
        <v>74</v>
      </c>
      <c r="AR779" t="s">
        <v>169</v>
      </c>
      <c r="AS779" t="s">
        <v>186</v>
      </c>
      <c r="AT779" t="s">
        <v>14842</v>
      </c>
      <c r="AU779">
        <v>2017</v>
      </c>
      <c r="AV779">
        <v>547</v>
      </c>
      <c r="AW779">
        <v>7661</v>
      </c>
      <c r="AX779" t="s">
        <v>74</v>
      </c>
      <c r="AY779" t="s">
        <v>74</v>
      </c>
      <c r="AZ779" t="s">
        <v>74</v>
      </c>
      <c r="BA779" t="s">
        <v>74</v>
      </c>
      <c r="BB779">
        <v>49</v>
      </c>
      <c r="BC779" t="s">
        <v>188</v>
      </c>
      <c r="BD779" t="s">
        <v>74</v>
      </c>
      <c r="BE779" t="s">
        <v>14928</v>
      </c>
      <c r="BF779" t="str">
        <f>HYPERLINK("http://dx.doi.org/10.1038/nature22996","http://dx.doi.org/10.1038/nature22996")</f>
        <v>http://dx.doi.org/10.1038/nature22996</v>
      </c>
      <c r="BG779" t="s">
        <v>74</v>
      </c>
      <c r="BH779" t="s">
        <v>74</v>
      </c>
      <c r="BI779">
        <v>19</v>
      </c>
      <c r="BJ779" t="s">
        <v>190</v>
      </c>
      <c r="BK779" t="s">
        <v>101</v>
      </c>
      <c r="BL779" t="s">
        <v>191</v>
      </c>
      <c r="BM779" t="s">
        <v>14896</v>
      </c>
      <c r="BN779">
        <v>28658207</v>
      </c>
      <c r="BO779" t="s">
        <v>1240</v>
      </c>
      <c r="BP779" t="s">
        <v>352</v>
      </c>
      <c r="BQ779" t="s">
        <v>353</v>
      </c>
      <c r="BR779" t="s">
        <v>105</v>
      </c>
      <c r="BS779" t="s">
        <v>14929</v>
      </c>
      <c r="BT779" t="str">
        <f>HYPERLINK("https%3A%2F%2Fwww.webofscience.com%2Fwos%2Fwoscc%2Ffull-record%2FWOS:000404839900029","View Full Record in Web of Science")</f>
        <v>View Full Record in Web of Science</v>
      </c>
    </row>
    <row r="780" spans="1:72" x14ac:dyDescent="0.15">
      <c r="A780" t="s">
        <v>72</v>
      </c>
      <c r="B780" t="s">
        <v>14930</v>
      </c>
      <c r="C780" t="s">
        <v>74</v>
      </c>
      <c r="D780" t="s">
        <v>74</v>
      </c>
      <c r="E780" t="s">
        <v>74</v>
      </c>
      <c r="F780" t="s">
        <v>14931</v>
      </c>
      <c r="G780" t="s">
        <v>74</v>
      </c>
      <c r="H780" t="s">
        <v>74</v>
      </c>
      <c r="I780" t="s">
        <v>14932</v>
      </c>
      <c r="J780" t="s">
        <v>14933</v>
      </c>
      <c r="K780" t="s">
        <v>74</v>
      </c>
      <c r="L780" t="s">
        <v>74</v>
      </c>
      <c r="M780" t="s">
        <v>78</v>
      </c>
      <c r="N780" t="s">
        <v>79</v>
      </c>
      <c r="O780" t="s">
        <v>74</v>
      </c>
      <c r="P780" t="s">
        <v>74</v>
      </c>
      <c r="Q780" t="s">
        <v>74</v>
      </c>
      <c r="R780" t="s">
        <v>74</v>
      </c>
      <c r="S780" t="s">
        <v>74</v>
      </c>
      <c r="T780" t="s">
        <v>14934</v>
      </c>
      <c r="U780" t="s">
        <v>14935</v>
      </c>
      <c r="V780" t="s">
        <v>14936</v>
      </c>
      <c r="W780" t="s">
        <v>14937</v>
      </c>
      <c r="X780" t="s">
        <v>14938</v>
      </c>
      <c r="Y780" t="s">
        <v>14939</v>
      </c>
      <c r="Z780" t="s">
        <v>14940</v>
      </c>
      <c r="AA780" t="s">
        <v>14941</v>
      </c>
      <c r="AB780" t="s">
        <v>14942</v>
      </c>
      <c r="AC780" t="s">
        <v>14943</v>
      </c>
      <c r="AD780" t="s">
        <v>14944</v>
      </c>
      <c r="AE780" t="s">
        <v>14945</v>
      </c>
      <c r="AF780" t="s">
        <v>74</v>
      </c>
      <c r="AG780">
        <v>37</v>
      </c>
      <c r="AH780">
        <v>29</v>
      </c>
      <c r="AI780">
        <v>33</v>
      </c>
      <c r="AJ780">
        <v>1</v>
      </c>
      <c r="AK780">
        <v>36</v>
      </c>
      <c r="AL780" t="s">
        <v>1981</v>
      </c>
      <c r="AM780" t="s">
        <v>729</v>
      </c>
      <c r="AN780" t="s">
        <v>1982</v>
      </c>
      <c r="AO780" t="s">
        <v>14946</v>
      </c>
      <c r="AP780" t="s">
        <v>74</v>
      </c>
      <c r="AQ780" t="s">
        <v>74</v>
      </c>
      <c r="AR780" t="s">
        <v>14933</v>
      </c>
      <c r="AS780" t="s">
        <v>14947</v>
      </c>
      <c r="AT780" t="s">
        <v>14842</v>
      </c>
      <c r="AU780">
        <v>2017</v>
      </c>
      <c r="AV780">
        <v>73</v>
      </c>
      <c r="AW780" t="s">
        <v>14948</v>
      </c>
      <c r="AX780" t="s">
        <v>74</v>
      </c>
      <c r="AY780" t="s">
        <v>74</v>
      </c>
      <c r="AZ780" t="s">
        <v>74</v>
      </c>
      <c r="BA780" t="s">
        <v>74</v>
      </c>
      <c r="BB780">
        <v>3905</v>
      </c>
      <c r="BC780">
        <v>3912</v>
      </c>
      <c r="BD780" t="s">
        <v>74</v>
      </c>
      <c r="BE780" t="s">
        <v>14949</v>
      </c>
      <c r="BF780" t="str">
        <f>HYPERLINK("http://dx.doi.org/10.1016/j.tet.2017.05.060","http://dx.doi.org/10.1016/j.tet.2017.05.060")</f>
        <v>http://dx.doi.org/10.1016/j.tet.2017.05.060</v>
      </c>
      <c r="BG780" t="s">
        <v>74</v>
      </c>
      <c r="BH780" t="s">
        <v>74</v>
      </c>
      <c r="BI780">
        <v>8</v>
      </c>
      <c r="BJ780" t="s">
        <v>14950</v>
      </c>
      <c r="BK780" t="s">
        <v>12930</v>
      </c>
      <c r="BL780" t="s">
        <v>218</v>
      </c>
      <c r="BM780" t="s">
        <v>14951</v>
      </c>
      <c r="BN780" t="s">
        <v>74</v>
      </c>
      <c r="BO780" t="s">
        <v>74</v>
      </c>
      <c r="BP780" t="s">
        <v>74</v>
      </c>
      <c r="BQ780" t="s">
        <v>74</v>
      </c>
      <c r="BR780" t="s">
        <v>105</v>
      </c>
      <c r="BS780" t="s">
        <v>14952</v>
      </c>
      <c r="BT780" t="str">
        <f>HYPERLINK("https%3A%2F%2Fwww.webofscience.com%2Fwos%2Fwoscc%2Ffull-record%2FWOS:000403998200014","View Full Record in Web of Science")</f>
        <v>View Full Record in Web of Science</v>
      </c>
    </row>
    <row r="781" spans="1:72" x14ac:dyDescent="0.15">
      <c r="A781" t="s">
        <v>72</v>
      </c>
      <c r="B781" t="s">
        <v>14953</v>
      </c>
      <c r="C781" t="s">
        <v>74</v>
      </c>
      <c r="D781" t="s">
        <v>74</v>
      </c>
      <c r="E781" t="s">
        <v>74</v>
      </c>
      <c r="F781" t="s">
        <v>14954</v>
      </c>
      <c r="G781" t="s">
        <v>74</v>
      </c>
      <c r="H781" t="s">
        <v>74</v>
      </c>
      <c r="I781" t="s">
        <v>14955</v>
      </c>
      <c r="J781" t="s">
        <v>9686</v>
      </c>
      <c r="K781" t="s">
        <v>74</v>
      </c>
      <c r="L781" t="s">
        <v>74</v>
      </c>
      <c r="M781" t="s">
        <v>78</v>
      </c>
      <c r="N781" t="s">
        <v>79</v>
      </c>
      <c r="O781" t="s">
        <v>74</v>
      </c>
      <c r="P781" t="s">
        <v>74</v>
      </c>
      <c r="Q781" t="s">
        <v>74</v>
      </c>
      <c r="R781" t="s">
        <v>74</v>
      </c>
      <c r="S781" t="s">
        <v>74</v>
      </c>
      <c r="T781" t="s">
        <v>14956</v>
      </c>
      <c r="U781" t="s">
        <v>14957</v>
      </c>
      <c r="V781" t="s">
        <v>14958</v>
      </c>
      <c r="W781" t="s">
        <v>14959</v>
      </c>
      <c r="X781" t="s">
        <v>14960</v>
      </c>
      <c r="Y781" t="s">
        <v>14961</v>
      </c>
      <c r="Z781" t="s">
        <v>8385</v>
      </c>
      <c r="AA781" t="s">
        <v>14962</v>
      </c>
      <c r="AB781" t="s">
        <v>14963</v>
      </c>
      <c r="AC781" t="s">
        <v>14964</v>
      </c>
      <c r="AD781" t="s">
        <v>14965</v>
      </c>
      <c r="AE781" t="s">
        <v>14966</v>
      </c>
      <c r="AF781" t="s">
        <v>74</v>
      </c>
      <c r="AG781">
        <v>69</v>
      </c>
      <c r="AH781">
        <v>25</v>
      </c>
      <c r="AI781">
        <v>26</v>
      </c>
      <c r="AJ781">
        <v>2</v>
      </c>
      <c r="AK781">
        <v>27</v>
      </c>
      <c r="AL781" t="s">
        <v>259</v>
      </c>
      <c r="AM781" t="s">
        <v>182</v>
      </c>
      <c r="AN781" t="s">
        <v>260</v>
      </c>
      <c r="AO781" t="s">
        <v>9699</v>
      </c>
      <c r="AP781" t="s">
        <v>74</v>
      </c>
      <c r="AQ781" t="s">
        <v>74</v>
      </c>
      <c r="AR781" t="s">
        <v>9700</v>
      </c>
      <c r="AS781" t="s">
        <v>9701</v>
      </c>
      <c r="AT781" t="s">
        <v>14967</v>
      </c>
      <c r="AU781">
        <v>2017</v>
      </c>
      <c r="AV781">
        <v>17</v>
      </c>
      <c r="AW781" t="s">
        <v>74</v>
      </c>
      <c r="AX781" t="s">
        <v>74</v>
      </c>
      <c r="AY781" t="s">
        <v>74</v>
      </c>
      <c r="AZ781" t="s">
        <v>74</v>
      </c>
      <c r="BA781" t="s">
        <v>74</v>
      </c>
      <c r="BB781" t="s">
        <v>74</v>
      </c>
      <c r="BC781" t="s">
        <v>74</v>
      </c>
      <c r="BD781">
        <v>160</v>
      </c>
      <c r="BE781" t="s">
        <v>14968</v>
      </c>
      <c r="BF781" t="str">
        <f>HYPERLINK("http://dx.doi.org/10.1186/s12862-017-1008-x","http://dx.doi.org/10.1186/s12862-017-1008-x")</f>
        <v>http://dx.doi.org/10.1186/s12862-017-1008-x</v>
      </c>
      <c r="BG781" t="s">
        <v>74</v>
      </c>
      <c r="BH781" t="s">
        <v>74</v>
      </c>
      <c r="BI781">
        <v>11</v>
      </c>
      <c r="BJ781" t="s">
        <v>9703</v>
      </c>
      <c r="BK781" t="s">
        <v>101</v>
      </c>
      <c r="BL781" t="s">
        <v>9703</v>
      </c>
      <c r="BM781" t="s">
        <v>14969</v>
      </c>
      <c r="BN781">
        <v>28679381</v>
      </c>
      <c r="BO781" t="s">
        <v>3746</v>
      </c>
      <c r="BP781" t="s">
        <v>74</v>
      </c>
      <c r="BQ781" t="s">
        <v>74</v>
      </c>
      <c r="BR781" t="s">
        <v>105</v>
      </c>
      <c r="BS781" t="s">
        <v>14970</v>
      </c>
      <c r="BT781" t="str">
        <f>HYPERLINK("https%3A%2F%2Fwww.webofscience.com%2Fwos%2Fwoscc%2Ffull-record%2FWOS:000404927000002","View Full Record in Web of Science")</f>
        <v>View Full Record in Web of Science</v>
      </c>
    </row>
    <row r="782" spans="1:72" x14ac:dyDescent="0.15">
      <c r="A782" t="s">
        <v>72</v>
      </c>
      <c r="B782" t="s">
        <v>14971</v>
      </c>
      <c r="C782" t="s">
        <v>74</v>
      </c>
      <c r="D782" t="s">
        <v>74</v>
      </c>
      <c r="E782" t="s">
        <v>74</v>
      </c>
      <c r="F782" t="s">
        <v>14972</v>
      </c>
      <c r="G782" t="s">
        <v>74</v>
      </c>
      <c r="H782" t="s">
        <v>74</v>
      </c>
      <c r="I782" t="s">
        <v>14973</v>
      </c>
      <c r="J782" t="s">
        <v>638</v>
      </c>
      <c r="K782" t="s">
        <v>74</v>
      </c>
      <c r="L782" t="s">
        <v>74</v>
      </c>
      <c r="M782" t="s">
        <v>78</v>
      </c>
      <c r="N782" t="s">
        <v>79</v>
      </c>
      <c r="O782" t="s">
        <v>74</v>
      </c>
      <c r="P782" t="s">
        <v>74</v>
      </c>
      <c r="Q782" t="s">
        <v>74</v>
      </c>
      <c r="R782" t="s">
        <v>74</v>
      </c>
      <c r="S782" t="s">
        <v>74</v>
      </c>
      <c r="T782" t="s">
        <v>74</v>
      </c>
      <c r="U782" t="s">
        <v>14974</v>
      </c>
      <c r="V782" t="s">
        <v>14975</v>
      </c>
      <c r="W782" t="s">
        <v>14976</v>
      </c>
      <c r="X782" t="s">
        <v>14977</v>
      </c>
      <c r="Y782" t="s">
        <v>14978</v>
      </c>
      <c r="Z782" t="s">
        <v>14979</v>
      </c>
      <c r="AA782" t="s">
        <v>14980</v>
      </c>
      <c r="AB782" t="s">
        <v>14981</v>
      </c>
      <c r="AC782" t="s">
        <v>14982</v>
      </c>
      <c r="AD782" t="s">
        <v>14983</v>
      </c>
      <c r="AE782" t="s">
        <v>14984</v>
      </c>
      <c r="AF782" t="s">
        <v>74</v>
      </c>
      <c r="AG782">
        <v>52</v>
      </c>
      <c r="AH782">
        <v>31</v>
      </c>
      <c r="AI782">
        <v>33</v>
      </c>
      <c r="AJ782">
        <v>2</v>
      </c>
      <c r="AK782">
        <v>19</v>
      </c>
      <c r="AL782" t="s">
        <v>650</v>
      </c>
      <c r="AM782" t="s">
        <v>651</v>
      </c>
      <c r="AN782" t="s">
        <v>652</v>
      </c>
      <c r="AO782" t="s">
        <v>653</v>
      </c>
      <c r="AP782" t="s">
        <v>74</v>
      </c>
      <c r="AQ782" t="s">
        <v>74</v>
      </c>
      <c r="AR782" t="s">
        <v>654</v>
      </c>
      <c r="AS782" t="s">
        <v>655</v>
      </c>
      <c r="AT782" t="s">
        <v>14985</v>
      </c>
      <c r="AU782">
        <v>2017</v>
      </c>
      <c r="AV782">
        <v>7</v>
      </c>
      <c r="AW782" t="s">
        <v>74</v>
      </c>
      <c r="AX782" t="s">
        <v>74</v>
      </c>
      <c r="AY782" t="s">
        <v>74</v>
      </c>
      <c r="AZ782" t="s">
        <v>74</v>
      </c>
      <c r="BA782" t="s">
        <v>74</v>
      </c>
      <c r="BB782" t="s">
        <v>74</v>
      </c>
      <c r="BC782" t="s">
        <v>74</v>
      </c>
      <c r="BD782">
        <v>4618</v>
      </c>
      <c r="BE782" t="s">
        <v>14986</v>
      </c>
      <c r="BF782" t="str">
        <f>HYPERLINK("http://dx.doi.org/10.1038/s41598-017-04573-0","http://dx.doi.org/10.1038/s41598-017-04573-0")</f>
        <v>http://dx.doi.org/10.1038/s41598-017-04573-0</v>
      </c>
      <c r="BG782" t="s">
        <v>74</v>
      </c>
      <c r="BH782" t="s">
        <v>74</v>
      </c>
      <c r="BI782">
        <v>9</v>
      </c>
      <c r="BJ782" t="s">
        <v>190</v>
      </c>
      <c r="BK782" t="s">
        <v>101</v>
      </c>
      <c r="BL782" t="s">
        <v>191</v>
      </c>
      <c r="BM782" t="s">
        <v>14987</v>
      </c>
      <c r="BN782">
        <v>28676671</v>
      </c>
      <c r="BO782" t="s">
        <v>14882</v>
      </c>
      <c r="BP782" t="s">
        <v>74</v>
      </c>
      <c r="BQ782" t="s">
        <v>74</v>
      </c>
      <c r="BR782" t="s">
        <v>105</v>
      </c>
      <c r="BS782" t="s">
        <v>14988</v>
      </c>
      <c r="BT782" t="str">
        <f>HYPERLINK("https%3A%2F%2Fwww.webofscience.com%2Fwos%2Fwoscc%2Ffull-record%2FWOS:000425968700001","View Full Record in Web of Science")</f>
        <v>View Full Record in Web of Science</v>
      </c>
    </row>
    <row r="783" spans="1:72" x14ac:dyDescent="0.15">
      <c r="A783" t="s">
        <v>72</v>
      </c>
      <c r="B783" t="s">
        <v>14989</v>
      </c>
      <c r="C783" t="s">
        <v>74</v>
      </c>
      <c r="D783" t="s">
        <v>74</v>
      </c>
      <c r="E783" t="s">
        <v>74</v>
      </c>
      <c r="F783" t="s">
        <v>14990</v>
      </c>
      <c r="G783" t="s">
        <v>74</v>
      </c>
      <c r="H783" t="s">
        <v>74</v>
      </c>
      <c r="I783" t="s">
        <v>14991</v>
      </c>
      <c r="J783" t="s">
        <v>817</v>
      </c>
      <c r="K783" t="s">
        <v>74</v>
      </c>
      <c r="L783" t="s">
        <v>74</v>
      </c>
      <c r="M783" t="s">
        <v>78</v>
      </c>
      <c r="N783" t="s">
        <v>79</v>
      </c>
      <c r="O783" t="s">
        <v>74</v>
      </c>
      <c r="P783" t="s">
        <v>74</v>
      </c>
      <c r="Q783" t="s">
        <v>74</v>
      </c>
      <c r="R783" t="s">
        <v>74</v>
      </c>
      <c r="S783" t="s">
        <v>74</v>
      </c>
      <c r="T783" t="s">
        <v>74</v>
      </c>
      <c r="U783" t="s">
        <v>14992</v>
      </c>
      <c r="V783" t="s">
        <v>14993</v>
      </c>
      <c r="W783" t="s">
        <v>14994</v>
      </c>
      <c r="X783" t="s">
        <v>14995</v>
      </c>
      <c r="Y783" t="s">
        <v>14996</v>
      </c>
      <c r="Z783" t="s">
        <v>14997</v>
      </c>
      <c r="AA783" t="s">
        <v>14998</v>
      </c>
      <c r="AB783" t="s">
        <v>14999</v>
      </c>
      <c r="AC783" t="s">
        <v>15000</v>
      </c>
      <c r="AD783" t="s">
        <v>15001</v>
      </c>
      <c r="AE783" t="s">
        <v>15002</v>
      </c>
      <c r="AF783" t="s">
        <v>74</v>
      </c>
      <c r="AG783">
        <v>62</v>
      </c>
      <c r="AH783">
        <v>19</v>
      </c>
      <c r="AI783">
        <v>19</v>
      </c>
      <c r="AJ783">
        <v>0</v>
      </c>
      <c r="AK783">
        <v>11</v>
      </c>
      <c r="AL783" t="s">
        <v>311</v>
      </c>
      <c r="AM783" t="s">
        <v>312</v>
      </c>
      <c r="AN783" t="s">
        <v>313</v>
      </c>
      <c r="AO783" t="s">
        <v>829</v>
      </c>
      <c r="AP783" t="s">
        <v>830</v>
      </c>
      <c r="AQ783" t="s">
        <v>74</v>
      </c>
      <c r="AR783" t="s">
        <v>831</v>
      </c>
      <c r="AS783" t="s">
        <v>832</v>
      </c>
      <c r="AT783" t="s">
        <v>14985</v>
      </c>
      <c r="AU783">
        <v>2017</v>
      </c>
      <c r="AV783">
        <v>17</v>
      </c>
      <c r="AW783">
        <v>13</v>
      </c>
      <c r="AX783" t="s">
        <v>74</v>
      </c>
      <c r="AY783" t="s">
        <v>74</v>
      </c>
      <c r="AZ783" t="s">
        <v>74</v>
      </c>
      <c r="BA783" t="s">
        <v>74</v>
      </c>
      <c r="BB783">
        <v>8045</v>
      </c>
      <c r="BC783">
        <v>8061</v>
      </c>
      <c r="BD783" t="s">
        <v>74</v>
      </c>
      <c r="BE783" t="s">
        <v>15003</v>
      </c>
      <c r="BF783" t="str">
        <f>HYPERLINK("http://dx.doi.org/10.5194/acp-17-8045-2017","http://dx.doi.org/10.5194/acp-17-8045-2017")</f>
        <v>http://dx.doi.org/10.5194/acp-17-8045-2017</v>
      </c>
      <c r="BG783" t="s">
        <v>74</v>
      </c>
      <c r="BH783" t="s">
        <v>74</v>
      </c>
      <c r="BI783">
        <v>17</v>
      </c>
      <c r="BJ783" t="s">
        <v>834</v>
      </c>
      <c r="BK783" t="s">
        <v>101</v>
      </c>
      <c r="BL783" t="s">
        <v>835</v>
      </c>
      <c r="BM783" t="s">
        <v>15004</v>
      </c>
      <c r="BN783" t="s">
        <v>74</v>
      </c>
      <c r="BO783" t="s">
        <v>322</v>
      </c>
      <c r="BP783" t="s">
        <v>74</v>
      </c>
      <c r="BQ783" t="s">
        <v>74</v>
      </c>
      <c r="BR783" t="s">
        <v>105</v>
      </c>
      <c r="BS783" t="s">
        <v>15005</v>
      </c>
      <c r="BT783" t="str">
        <f>HYPERLINK("https%3A%2F%2Fwww.webofscience.com%2Fwos%2Fwoscc%2Ffull-record%2FWOS:000404773700002","View Full Record in Web of Science")</f>
        <v>View Full Record in Web of Science</v>
      </c>
    </row>
    <row r="784" spans="1:72" x14ac:dyDescent="0.15">
      <c r="A784" t="s">
        <v>72</v>
      </c>
      <c r="B784" t="s">
        <v>15006</v>
      </c>
      <c r="C784" t="s">
        <v>74</v>
      </c>
      <c r="D784" t="s">
        <v>74</v>
      </c>
      <c r="E784" t="s">
        <v>74</v>
      </c>
      <c r="F784" t="s">
        <v>15007</v>
      </c>
      <c r="G784" t="s">
        <v>74</v>
      </c>
      <c r="H784" t="s">
        <v>74</v>
      </c>
      <c r="I784" t="s">
        <v>15008</v>
      </c>
      <c r="J784" t="s">
        <v>299</v>
      </c>
      <c r="K784" t="s">
        <v>74</v>
      </c>
      <c r="L784" t="s">
        <v>74</v>
      </c>
      <c r="M784" t="s">
        <v>78</v>
      </c>
      <c r="N784" t="s">
        <v>79</v>
      </c>
      <c r="O784" t="s">
        <v>74</v>
      </c>
      <c r="P784" t="s">
        <v>74</v>
      </c>
      <c r="Q784" t="s">
        <v>74</v>
      </c>
      <c r="R784" t="s">
        <v>74</v>
      </c>
      <c r="S784" t="s">
        <v>74</v>
      </c>
      <c r="T784" t="s">
        <v>74</v>
      </c>
      <c r="U784" t="s">
        <v>15009</v>
      </c>
      <c r="V784" t="s">
        <v>15010</v>
      </c>
      <c r="W784" t="s">
        <v>15011</v>
      </c>
      <c r="X784" t="s">
        <v>15012</v>
      </c>
      <c r="Y784" t="s">
        <v>15013</v>
      </c>
      <c r="Z784" t="s">
        <v>15014</v>
      </c>
      <c r="AA784" t="s">
        <v>15015</v>
      </c>
      <c r="AB784" t="s">
        <v>15016</v>
      </c>
      <c r="AC784" t="s">
        <v>15017</v>
      </c>
      <c r="AD784" t="s">
        <v>15018</v>
      </c>
      <c r="AE784" t="s">
        <v>15019</v>
      </c>
      <c r="AF784" t="s">
        <v>74</v>
      </c>
      <c r="AG784">
        <v>96</v>
      </c>
      <c r="AH784">
        <v>12</v>
      </c>
      <c r="AI784">
        <v>16</v>
      </c>
      <c r="AJ784">
        <v>1</v>
      </c>
      <c r="AK784">
        <v>18</v>
      </c>
      <c r="AL784" t="s">
        <v>311</v>
      </c>
      <c r="AM784" t="s">
        <v>312</v>
      </c>
      <c r="AN784" t="s">
        <v>313</v>
      </c>
      <c r="AO784" t="s">
        <v>314</v>
      </c>
      <c r="AP784" t="s">
        <v>315</v>
      </c>
      <c r="AQ784" t="s">
        <v>74</v>
      </c>
      <c r="AR784" t="s">
        <v>299</v>
      </c>
      <c r="AS784" t="s">
        <v>316</v>
      </c>
      <c r="AT784" t="s">
        <v>14985</v>
      </c>
      <c r="AU784">
        <v>2017</v>
      </c>
      <c r="AV784">
        <v>11</v>
      </c>
      <c r="AW784">
        <v>4</v>
      </c>
      <c r="AX784" t="s">
        <v>74</v>
      </c>
      <c r="AY784" t="s">
        <v>74</v>
      </c>
      <c r="AZ784" t="s">
        <v>74</v>
      </c>
      <c r="BA784" t="s">
        <v>74</v>
      </c>
      <c r="BB784">
        <v>1537</v>
      </c>
      <c r="BC784">
        <v>1552</v>
      </c>
      <c r="BD784" t="s">
        <v>74</v>
      </c>
      <c r="BE784" t="s">
        <v>15020</v>
      </c>
      <c r="BF784" t="str">
        <f>HYPERLINK("http://dx.doi.org/10.5194/tc-11-1537-2017","http://dx.doi.org/10.5194/tc-11-1537-2017")</f>
        <v>http://dx.doi.org/10.5194/tc-11-1537-2017</v>
      </c>
      <c r="BG784" t="s">
        <v>74</v>
      </c>
      <c r="BH784" t="s">
        <v>74</v>
      </c>
      <c r="BI784">
        <v>16</v>
      </c>
      <c r="BJ784" t="s">
        <v>319</v>
      </c>
      <c r="BK784" t="s">
        <v>101</v>
      </c>
      <c r="BL784" t="s">
        <v>320</v>
      </c>
      <c r="BM784" t="s">
        <v>15021</v>
      </c>
      <c r="BN784" t="s">
        <v>74</v>
      </c>
      <c r="BO784" t="s">
        <v>322</v>
      </c>
      <c r="BP784" t="s">
        <v>74</v>
      </c>
      <c r="BQ784" t="s">
        <v>74</v>
      </c>
      <c r="BR784" t="s">
        <v>105</v>
      </c>
      <c r="BS784" t="s">
        <v>15022</v>
      </c>
      <c r="BT784" t="str">
        <f>HYPERLINK("https%3A%2F%2Fwww.webofscience.com%2Fwos%2Fwoscc%2Ffull-record%2FWOS:000404803100001","View Full Record in Web of Science")</f>
        <v>View Full Record in Web of Science</v>
      </c>
    </row>
    <row r="785" spans="1:72" x14ac:dyDescent="0.15">
      <c r="A785" t="s">
        <v>72</v>
      </c>
      <c r="B785" t="s">
        <v>15023</v>
      </c>
      <c r="C785" t="s">
        <v>74</v>
      </c>
      <c r="D785" t="s">
        <v>74</v>
      </c>
      <c r="E785" t="s">
        <v>74</v>
      </c>
      <c r="F785" t="s">
        <v>15024</v>
      </c>
      <c r="G785" t="s">
        <v>74</v>
      </c>
      <c r="H785" t="s">
        <v>74</v>
      </c>
      <c r="I785" t="s">
        <v>15025</v>
      </c>
      <c r="J785" t="s">
        <v>638</v>
      </c>
      <c r="K785" t="s">
        <v>74</v>
      </c>
      <c r="L785" t="s">
        <v>74</v>
      </c>
      <c r="M785" t="s">
        <v>78</v>
      </c>
      <c r="N785" t="s">
        <v>79</v>
      </c>
      <c r="O785" t="s">
        <v>74</v>
      </c>
      <c r="P785" t="s">
        <v>74</v>
      </c>
      <c r="Q785" t="s">
        <v>74</v>
      </c>
      <c r="R785" t="s">
        <v>74</v>
      </c>
      <c r="S785" t="s">
        <v>74</v>
      </c>
      <c r="T785" t="s">
        <v>74</v>
      </c>
      <c r="U785" t="s">
        <v>15026</v>
      </c>
      <c r="V785" t="s">
        <v>15027</v>
      </c>
      <c r="W785" t="s">
        <v>15028</v>
      </c>
      <c r="X785" t="s">
        <v>15029</v>
      </c>
      <c r="Y785" t="s">
        <v>15030</v>
      </c>
      <c r="Z785" t="s">
        <v>15031</v>
      </c>
      <c r="AA785" t="s">
        <v>15032</v>
      </c>
      <c r="AB785" t="s">
        <v>15033</v>
      </c>
      <c r="AC785" t="s">
        <v>15034</v>
      </c>
      <c r="AD785" t="s">
        <v>15035</v>
      </c>
      <c r="AE785" t="s">
        <v>15036</v>
      </c>
      <c r="AF785" t="s">
        <v>74</v>
      </c>
      <c r="AG785">
        <v>40</v>
      </c>
      <c r="AH785">
        <v>21</v>
      </c>
      <c r="AI785">
        <v>22</v>
      </c>
      <c r="AJ785">
        <v>1</v>
      </c>
      <c r="AK785">
        <v>7</v>
      </c>
      <c r="AL785" t="s">
        <v>650</v>
      </c>
      <c r="AM785" t="s">
        <v>651</v>
      </c>
      <c r="AN785" t="s">
        <v>652</v>
      </c>
      <c r="AO785" t="s">
        <v>653</v>
      </c>
      <c r="AP785" t="s">
        <v>74</v>
      </c>
      <c r="AQ785" t="s">
        <v>74</v>
      </c>
      <c r="AR785" t="s">
        <v>654</v>
      </c>
      <c r="AS785" t="s">
        <v>655</v>
      </c>
      <c r="AT785" t="s">
        <v>14985</v>
      </c>
      <c r="AU785">
        <v>2017</v>
      </c>
      <c r="AV785">
        <v>7</v>
      </c>
      <c r="AW785" t="s">
        <v>74</v>
      </c>
      <c r="AX785" t="s">
        <v>74</v>
      </c>
      <c r="AY785" t="s">
        <v>74</v>
      </c>
      <c r="AZ785" t="s">
        <v>74</v>
      </c>
      <c r="BA785" t="s">
        <v>74</v>
      </c>
      <c r="BB785" t="s">
        <v>74</v>
      </c>
      <c r="BC785" t="s">
        <v>74</v>
      </c>
      <c r="BD785">
        <v>4626</v>
      </c>
      <c r="BE785" t="s">
        <v>15037</v>
      </c>
      <c r="BF785" t="str">
        <f>HYPERLINK("http://dx.doi.org/10.1038/s41598-017-04031-x","http://dx.doi.org/10.1038/s41598-017-04031-x")</f>
        <v>http://dx.doi.org/10.1038/s41598-017-04031-x</v>
      </c>
      <c r="BG785" t="s">
        <v>74</v>
      </c>
      <c r="BH785" t="s">
        <v>74</v>
      </c>
      <c r="BI785">
        <v>7</v>
      </c>
      <c r="BJ785" t="s">
        <v>190</v>
      </c>
      <c r="BK785" t="s">
        <v>101</v>
      </c>
      <c r="BL785" t="s">
        <v>191</v>
      </c>
      <c r="BM785" t="s">
        <v>14987</v>
      </c>
      <c r="BN785">
        <v>28676721</v>
      </c>
      <c r="BO785" t="s">
        <v>658</v>
      </c>
      <c r="BP785" t="s">
        <v>74</v>
      </c>
      <c r="BQ785" t="s">
        <v>74</v>
      </c>
      <c r="BR785" t="s">
        <v>105</v>
      </c>
      <c r="BS785" t="s">
        <v>15038</v>
      </c>
      <c r="BT785" t="str">
        <f>HYPERLINK("https%3A%2F%2Fwww.webofscience.com%2Fwos%2Fwoscc%2Ffull-record%2FWOS:000425968700009","View Full Record in Web of Science")</f>
        <v>View Full Record in Web of Science</v>
      </c>
    </row>
    <row r="786" spans="1:72" x14ac:dyDescent="0.15">
      <c r="A786" t="s">
        <v>72</v>
      </c>
      <c r="B786" t="s">
        <v>15039</v>
      </c>
      <c r="C786" t="s">
        <v>74</v>
      </c>
      <c r="D786" t="s">
        <v>74</v>
      </c>
      <c r="E786" t="s">
        <v>74</v>
      </c>
      <c r="F786" t="s">
        <v>15040</v>
      </c>
      <c r="G786" t="s">
        <v>74</v>
      </c>
      <c r="H786" t="s">
        <v>74</v>
      </c>
      <c r="I786" t="s">
        <v>15041</v>
      </c>
      <c r="J786" t="s">
        <v>638</v>
      </c>
      <c r="K786" t="s">
        <v>74</v>
      </c>
      <c r="L786" t="s">
        <v>74</v>
      </c>
      <c r="M786" t="s">
        <v>78</v>
      </c>
      <c r="N786" t="s">
        <v>79</v>
      </c>
      <c r="O786" t="s">
        <v>74</v>
      </c>
      <c r="P786" t="s">
        <v>74</v>
      </c>
      <c r="Q786" t="s">
        <v>74</v>
      </c>
      <c r="R786" t="s">
        <v>74</v>
      </c>
      <c r="S786" t="s">
        <v>74</v>
      </c>
      <c r="T786" t="s">
        <v>74</v>
      </c>
      <c r="U786" t="s">
        <v>15042</v>
      </c>
      <c r="V786" t="s">
        <v>15043</v>
      </c>
      <c r="W786" t="s">
        <v>15044</v>
      </c>
      <c r="X786" t="s">
        <v>1308</v>
      </c>
      <c r="Y786" t="s">
        <v>15045</v>
      </c>
      <c r="Z786" t="s">
        <v>15046</v>
      </c>
      <c r="AA786" t="s">
        <v>15047</v>
      </c>
      <c r="AB786" t="s">
        <v>15048</v>
      </c>
      <c r="AC786" t="s">
        <v>15049</v>
      </c>
      <c r="AD786" t="s">
        <v>15050</v>
      </c>
      <c r="AE786" t="s">
        <v>15051</v>
      </c>
      <c r="AF786" t="s">
        <v>74</v>
      </c>
      <c r="AG786">
        <v>48</v>
      </c>
      <c r="AH786">
        <v>83</v>
      </c>
      <c r="AI786">
        <v>84</v>
      </c>
      <c r="AJ786">
        <v>2</v>
      </c>
      <c r="AK786">
        <v>55</v>
      </c>
      <c r="AL786" t="s">
        <v>650</v>
      </c>
      <c r="AM786" t="s">
        <v>651</v>
      </c>
      <c r="AN786" t="s">
        <v>652</v>
      </c>
      <c r="AO786" t="s">
        <v>653</v>
      </c>
      <c r="AP786" t="s">
        <v>74</v>
      </c>
      <c r="AQ786" t="s">
        <v>74</v>
      </c>
      <c r="AR786" t="s">
        <v>654</v>
      </c>
      <c r="AS786" t="s">
        <v>655</v>
      </c>
      <c r="AT786" t="s">
        <v>15052</v>
      </c>
      <c r="AU786">
        <v>2017</v>
      </c>
      <c r="AV786">
        <v>7</v>
      </c>
      <c r="AW786" t="s">
        <v>74</v>
      </c>
      <c r="AX786" t="s">
        <v>74</v>
      </c>
      <c r="AY786" t="s">
        <v>74</v>
      </c>
      <c r="AZ786" t="s">
        <v>74</v>
      </c>
      <c r="BA786" t="s">
        <v>74</v>
      </c>
      <c r="BB786" t="s">
        <v>74</v>
      </c>
      <c r="BC786" t="s">
        <v>74</v>
      </c>
      <c r="BD786">
        <v>4545</v>
      </c>
      <c r="BE786" t="s">
        <v>15053</v>
      </c>
      <c r="BF786" t="str">
        <f>HYPERLINK("http://dx.doi.org/10.1038/s41598-017-04806-2","http://dx.doi.org/10.1038/s41598-017-04806-2")</f>
        <v>http://dx.doi.org/10.1038/s41598-017-04806-2</v>
      </c>
      <c r="BG786" t="s">
        <v>74</v>
      </c>
      <c r="BH786" t="s">
        <v>74</v>
      </c>
      <c r="BI786">
        <v>10</v>
      </c>
      <c r="BJ786" t="s">
        <v>190</v>
      </c>
      <c r="BK786" t="s">
        <v>101</v>
      </c>
      <c r="BL786" t="s">
        <v>191</v>
      </c>
      <c r="BM786" t="s">
        <v>15054</v>
      </c>
      <c r="BN786">
        <v>28674437</v>
      </c>
      <c r="BO786" t="s">
        <v>3746</v>
      </c>
      <c r="BP786" t="s">
        <v>74</v>
      </c>
      <c r="BQ786" t="s">
        <v>74</v>
      </c>
      <c r="BR786" t="s">
        <v>105</v>
      </c>
      <c r="BS786" t="s">
        <v>15055</v>
      </c>
      <c r="BT786" t="str">
        <f>HYPERLINK("https%3A%2F%2Fwww.webofscience.com%2Fwos%2Fwoscc%2Ffull-record%2FWOS:000404618400059","View Full Record in Web of Science")</f>
        <v>View Full Record in Web of Science</v>
      </c>
    </row>
    <row r="787" spans="1:72" x14ac:dyDescent="0.15">
      <c r="A787" t="s">
        <v>72</v>
      </c>
      <c r="B787" t="s">
        <v>15056</v>
      </c>
      <c r="C787" t="s">
        <v>74</v>
      </c>
      <c r="D787" t="s">
        <v>74</v>
      </c>
      <c r="E787" t="s">
        <v>74</v>
      </c>
      <c r="F787" t="s">
        <v>15057</v>
      </c>
      <c r="G787" t="s">
        <v>74</v>
      </c>
      <c r="H787" t="s">
        <v>74</v>
      </c>
      <c r="I787" t="s">
        <v>15058</v>
      </c>
      <c r="J787" t="s">
        <v>15059</v>
      </c>
      <c r="K787" t="s">
        <v>74</v>
      </c>
      <c r="L787" t="s">
        <v>74</v>
      </c>
      <c r="M787" t="s">
        <v>78</v>
      </c>
      <c r="N787" t="s">
        <v>79</v>
      </c>
      <c r="O787" t="s">
        <v>74</v>
      </c>
      <c r="P787" t="s">
        <v>74</v>
      </c>
      <c r="Q787" t="s">
        <v>74</v>
      </c>
      <c r="R787" t="s">
        <v>74</v>
      </c>
      <c r="S787" t="s">
        <v>74</v>
      </c>
      <c r="T787" t="s">
        <v>15060</v>
      </c>
      <c r="U787" t="s">
        <v>15061</v>
      </c>
      <c r="V787" t="s">
        <v>15062</v>
      </c>
      <c r="W787" t="s">
        <v>15063</v>
      </c>
      <c r="X787" t="s">
        <v>15064</v>
      </c>
      <c r="Y787" t="s">
        <v>15065</v>
      </c>
      <c r="Z787" t="s">
        <v>15066</v>
      </c>
      <c r="AA787" t="s">
        <v>15067</v>
      </c>
      <c r="AB787" t="s">
        <v>15068</v>
      </c>
      <c r="AC787" t="s">
        <v>15069</v>
      </c>
      <c r="AD787" t="s">
        <v>15070</v>
      </c>
      <c r="AE787" t="s">
        <v>15071</v>
      </c>
      <c r="AF787" t="s">
        <v>74</v>
      </c>
      <c r="AG787">
        <v>31</v>
      </c>
      <c r="AH787">
        <v>15</v>
      </c>
      <c r="AI787">
        <v>15</v>
      </c>
      <c r="AJ787">
        <v>2</v>
      </c>
      <c r="AK787">
        <v>10</v>
      </c>
      <c r="AL787" t="s">
        <v>1270</v>
      </c>
      <c r="AM787" t="s">
        <v>286</v>
      </c>
      <c r="AN787" t="s">
        <v>1271</v>
      </c>
      <c r="AO787" t="s">
        <v>15072</v>
      </c>
      <c r="AP787" t="s">
        <v>15073</v>
      </c>
      <c r="AQ787" t="s">
        <v>74</v>
      </c>
      <c r="AR787" t="s">
        <v>15074</v>
      </c>
      <c r="AS787" t="s">
        <v>15075</v>
      </c>
      <c r="AT787" t="s">
        <v>15076</v>
      </c>
      <c r="AU787">
        <v>2017</v>
      </c>
      <c r="AV787">
        <v>58</v>
      </c>
      <c r="AW787">
        <v>75</v>
      </c>
      <c r="AX787">
        <v>1</v>
      </c>
      <c r="AY787" t="s">
        <v>74</v>
      </c>
      <c r="AZ787" t="s">
        <v>74</v>
      </c>
      <c r="BA787" t="s">
        <v>74</v>
      </c>
      <c r="BB787">
        <v>59</v>
      </c>
      <c r="BC787">
        <v>67</v>
      </c>
      <c r="BD787" t="s">
        <v>74</v>
      </c>
      <c r="BE787" t="s">
        <v>15077</v>
      </c>
      <c r="BF787" t="str">
        <f>HYPERLINK("http://dx.doi.org/10.1017/aog.2017.33","http://dx.doi.org/10.1017/aog.2017.33")</f>
        <v>http://dx.doi.org/10.1017/aog.2017.33</v>
      </c>
      <c r="BG787" t="s">
        <v>74</v>
      </c>
      <c r="BH787" t="s">
        <v>74</v>
      </c>
      <c r="BI787">
        <v>9</v>
      </c>
      <c r="BJ787" t="s">
        <v>319</v>
      </c>
      <c r="BK787" t="s">
        <v>101</v>
      </c>
      <c r="BL787" t="s">
        <v>320</v>
      </c>
      <c r="BM787" t="s">
        <v>15078</v>
      </c>
      <c r="BN787" t="s">
        <v>74</v>
      </c>
      <c r="BO787" t="s">
        <v>1278</v>
      </c>
      <c r="BP787" t="s">
        <v>74</v>
      </c>
      <c r="BQ787" t="s">
        <v>74</v>
      </c>
      <c r="BR787" t="s">
        <v>105</v>
      </c>
      <c r="BS787" t="s">
        <v>15079</v>
      </c>
      <c r="BT787" t="str">
        <f>HYPERLINK("https%3A%2F%2Fwww.webofscience.com%2Fwos%2Fwoscc%2Ffull-record%2FWOS:000425012400007","View Full Record in Web of Science")</f>
        <v>View Full Record in Web of Science</v>
      </c>
    </row>
    <row r="788" spans="1:72" x14ac:dyDescent="0.15">
      <c r="A788" t="s">
        <v>72</v>
      </c>
      <c r="B788" t="s">
        <v>15080</v>
      </c>
      <c r="C788" t="s">
        <v>74</v>
      </c>
      <c r="D788" t="s">
        <v>74</v>
      </c>
      <c r="E788" t="s">
        <v>74</v>
      </c>
      <c r="F788" t="s">
        <v>15081</v>
      </c>
      <c r="G788" t="s">
        <v>74</v>
      </c>
      <c r="H788" t="s">
        <v>74</v>
      </c>
      <c r="I788" t="s">
        <v>15082</v>
      </c>
      <c r="J788" t="s">
        <v>15059</v>
      </c>
      <c r="K788" t="s">
        <v>74</v>
      </c>
      <c r="L788" t="s">
        <v>74</v>
      </c>
      <c r="M788" t="s">
        <v>78</v>
      </c>
      <c r="N788" t="s">
        <v>79</v>
      </c>
      <c r="O788" t="s">
        <v>74</v>
      </c>
      <c r="P788" t="s">
        <v>74</v>
      </c>
      <c r="Q788" t="s">
        <v>74</v>
      </c>
      <c r="R788" t="s">
        <v>74</v>
      </c>
      <c r="S788" t="s">
        <v>74</v>
      </c>
      <c r="T788" t="s">
        <v>15083</v>
      </c>
      <c r="U788" t="s">
        <v>15084</v>
      </c>
      <c r="V788" t="s">
        <v>15085</v>
      </c>
      <c r="W788" t="s">
        <v>15086</v>
      </c>
      <c r="X788" t="s">
        <v>15087</v>
      </c>
      <c r="Y788" t="s">
        <v>15088</v>
      </c>
      <c r="Z788" t="s">
        <v>15089</v>
      </c>
      <c r="AA788" t="s">
        <v>15090</v>
      </c>
      <c r="AB788" t="s">
        <v>15091</v>
      </c>
      <c r="AC788" t="s">
        <v>15092</v>
      </c>
      <c r="AD788" t="s">
        <v>15093</v>
      </c>
      <c r="AE788" t="s">
        <v>15094</v>
      </c>
      <c r="AF788" t="s">
        <v>74</v>
      </c>
      <c r="AG788">
        <v>52</v>
      </c>
      <c r="AH788">
        <v>10</v>
      </c>
      <c r="AI788">
        <v>12</v>
      </c>
      <c r="AJ788">
        <v>0</v>
      </c>
      <c r="AK788">
        <v>8</v>
      </c>
      <c r="AL788" t="s">
        <v>1270</v>
      </c>
      <c r="AM788" t="s">
        <v>286</v>
      </c>
      <c r="AN788" t="s">
        <v>1271</v>
      </c>
      <c r="AO788" t="s">
        <v>15072</v>
      </c>
      <c r="AP788" t="s">
        <v>15073</v>
      </c>
      <c r="AQ788" t="s">
        <v>74</v>
      </c>
      <c r="AR788" t="s">
        <v>15074</v>
      </c>
      <c r="AS788" t="s">
        <v>15075</v>
      </c>
      <c r="AT788" t="s">
        <v>15076</v>
      </c>
      <c r="AU788">
        <v>2017</v>
      </c>
      <c r="AV788">
        <v>58</v>
      </c>
      <c r="AW788">
        <v>75</v>
      </c>
      <c r="AX788">
        <v>1</v>
      </c>
      <c r="AY788" t="s">
        <v>74</v>
      </c>
      <c r="AZ788" t="s">
        <v>74</v>
      </c>
      <c r="BA788" t="s">
        <v>74</v>
      </c>
      <c r="BB788">
        <v>68</v>
      </c>
      <c r="BC788">
        <v>77</v>
      </c>
      <c r="BD788" t="s">
        <v>74</v>
      </c>
      <c r="BE788" t="s">
        <v>15095</v>
      </c>
      <c r="BF788" t="str">
        <f>HYPERLINK("http://dx.doi.org/10.1017/aog.2017.6","http://dx.doi.org/10.1017/aog.2017.6")</f>
        <v>http://dx.doi.org/10.1017/aog.2017.6</v>
      </c>
      <c r="BG788" t="s">
        <v>74</v>
      </c>
      <c r="BH788" t="s">
        <v>74</v>
      </c>
      <c r="BI788">
        <v>10</v>
      </c>
      <c r="BJ788" t="s">
        <v>319</v>
      </c>
      <c r="BK788" t="s">
        <v>101</v>
      </c>
      <c r="BL788" t="s">
        <v>320</v>
      </c>
      <c r="BM788" t="s">
        <v>15078</v>
      </c>
      <c r="BN788" t="s">
        <v>74</v>
      </c>
      <c r="BO788" t="s">
        <v>6500</v>
      </c>
      <c r="BP788" t="s">
        <v>74</v>
      </c>
      <c r="BQ788" t="s">
        <v>74</v>
      </c>
      <c r="BR788" t="s">
        <v>105</v>
      </c>
      <c r="BS788" t="s">
        <v>15096</v>
      </c>
      <c r="BT788" t="str">
        <f>HYPERLINK("https%3A%2F%2Fwww.webofscience.com%2Fwos%2Fwoscc%2Ffull-record%2FWOS:000425012400008","View Full Record in Web of Science")</f>
        <v>View Full Record in Web of Science</v>
      </c>
    </row>
    <row r="789" spans="1:72" x14ac:dyDescent="0.15">
      <c r="A789" t="s">
        <v>72</v>
      </c>
      <c r="B789" t="s">
        <v>15097</v>
      </c>
      <c r="C789" t="s">
        <v>74</v>
      </c>
      <c r="D789" t="s">
        <v>74</v>
      </c>
      <c r="E789" t="s">
        <v>74</v>
      </c>
      <c r="F789" t="s">
        <v>15098</v>
      </c>
      <c r="G789" t="s">
        <v>74</v>
      </c>
      <c r="H789" t="s">
        <v>74</v>
      </c>
      <c r="I789" t="s">
        <v>15099</v>
      </c>
      <c r="J789" t="s">
        <v>15059</v>
      </c>
      <c r="K789" t="s">
        <v>74</v>
      </c>
      <c r="L789" t="s">
        <v>74</v>
      </c>
      <c r="M789" t="s">
        <v>78</v>
      </c>
      <c r="N789" t="s">
        <v>79</v>
      </c>
      <c r="O789" t="s">
        <v>74</v>
      </c>
      <c r="P789" t="s">
        <v>74</v>
      </c>
      <c r="Q789" t="s">
        <v>74</v>
      </c>
      <c r="R789" t="s">
        <v>74</v>
      </c>
      <c r="S789" t="s">
        <v>74</v>
      </c>
      <c r="T789" t="s">
        <v>15100</v>
      </c>
      <c r="U789" t="s">
        <v>15101</v>
      </c>
      <c r="V789" t="s">
        <v>15102</v>
      </c>
      <c r="W789" t="s">
        <v>15103</v>
      </c>
      <c r="X789" t="s">
        <v>15104</v>
      </c>
      <c r="Y789" t="s">
        <v>15105</v>
      </c>
      <c r="Z789" t="s">
        <v>15106</v>
      </c>
      <c r="AA789" t="s">
        <v>15107</v>
      </c>
      <c r="AB789" t="s">
        <v>15108</v>
      </c>
      <c r="AC789" t="s">
        <v>15109</v>
      </c>
      <c r="AD789" t="s">
        <v>15110</v>
      </c>
      <c r="AE789" t="s">
        <v>15111</v>
      </c>
      <c r="AF789" t="s">
        <v>74</v>
      </c>
      <c r="AG789">
        <v>29</v>
      </c>
      <c r="AH789">
        <v>23</v>
      </c>
      <c r="AI789">
        <v>30</v>
      </c>
      <c r="AJ789">
        <v>1</v>
      </c>
      <c r="AK789">
        <v>17</v>
      </c>
      <c r="AL789" t="s">
        <v>1270</v>
      </c>
      <c r="AM789" t="s">
        <v>286</v>
      </c>
      <c r="AN789" t="s">
        <v>1271</v>
      </c>
      <c r="AO789" t="s">
        <v>15072</v>
      </c>
      <c r="AP789" t="s">
        <v>15073</v>
      </c>
      <c r="AQ789" t="s">
        <v>74</v>
      </c>
      <c r="AR789" t="s">
        <v>15074</v>
      </c>
      <c r="AS789" t="s">
        <v>15075</v>
      </c>
      <c r="AT789" t="s">
        <v>15076</v>
      </c>
      <c r="AU789">
        <v>2017</v>
      </c>
      <c r="AV789">
        <v>58</v>
      </c>
      <c r="AW789">
        <v>75</v>
      </c>
      <c r="AX789">
        <v>1</v>
      </c>
      <c r="AY789" t="s">
        <v>74</v>
      </c>
      <c r="AZ789" t="s">
        <v>74</v>
      </c>
      <c r="BA789" t="s">
        <v>74</v>
      </c>
      <c r="BB789">
        <v>78</v>
      </c>
      <c r="BC789">
        <v>87</v>
      </c>
      <c r="BD789" t="s">
        <v>74</v>
      </c>
      <c r="BE789" t="s">
        <v>15112</v>
      </c>
      <c r="BF789" t="str">
        <f>HYPERLINK("http://dx.doi.org/10.1017/aog.2017.12","http://dx.doi.org/10.1017/aog.2017.12")</f>
        <v>http://dx.doi.org/10.1017/aog.2017.12</v>
      </c>
      <c r="BG789" t="s">
        <v>74</v>
      </c>
      <c r="BH789" t="s">
        <v>74</v>
      </c>
      <c r="BI789">
        <v>10</v>
      </c>
      <c r="BJ789" t="s">
        <v>319</v>
      </c>
      <c r="BK789" t="s">
        <v>101</v>
      </c>
      <c r="BL789" t="s">
        <v>320</v>
      </c>
      <c r="BM789" t="s">
        <v>15078</v>
      </c>
      <c r="BN789" t="s">
        <v>74</v>
      </c>
      <c r="BO789" t="s">
        <v>1131</v>
      </c>
      <c r="BP789" t="s">
        <v>74</v>
      </c>
      <c r="BQ789" t="s">
        <v>74</v>
      </c>
      <c r="BR789" t="s">
        <v>105</v>
      </c>
      <c r="BS789" t="s">
        <v>15113</v>
      </c>
      <c r="BT789" t="str">
        <f>HYPERLINK("https%3A%2F%2Fwww.webofscience.com%2Fwos%2Fwoscc%2Ffull-record%2FWOS:000425012400009","View Full Record in Web of Science")</f>
        <v>View Full Record in Web of Science</v>
      </c>
    </row>
    <row r="790" spans="1:72" x14ac:dyDescent="0.15">
      <c r="A790" t="s">
        <v>72</v>
      </c>
      <c r="B790" t="s">
        <v>15114</v>
      </c>
      <c r="C790" t="s">
        <v>74</v>
      </c>
      <c r="D790" t="s">
        <v>74</v>
      </c>
      <c r="E790" t="s">
        <v>74</v>
      </c>
      <c r="F790" t="s">
        <v>15115</v>
      </c>
      <c r="G790" t="s">
        <v>74</v>
      </c>
      <c r="H790" t="s">
        <v>74</v>
      </c>
      <c r="I790" t="s">
        <v>15116</v>
      </c>
      <c r="J790" t="s">
        <v>15059</v>
      </c>
      <c r="K790" t="s">
        <v>74</v>
      </c>
      <c r="L790" t="s">
        <v>74</v>
      </c>
      <c r="M790" t="s">
        <v>78</v>
      </c>
      <c r="N790" t="s">
        <v>79</v>
      </c>
      <c r="O790" t="s">
        <v>74</v>
      </c>
      <c r="P790" t="s">
        <v>74</v>
      </c>
      <c r="Q790" t="s">
        <v>74</v>
      </c>
      <c r="R790" t="s">
        <v>74</v>
      </c>
      <c r="S790" t="s">
        <v>74</v>
      </c>
      <c r="T790" t="s">
        <v>15117</v>
      </c>
      <c r="U790" t="s">
        <v>15118</v>
      </c>
      <c r="V790" t="s">
        <v>15119</v>
      </c>
      <c r="W790" t="s">
        <v>15120</v>
      </c>
      <c r="X790" t="s">
        <v>15121</v>
      </c>
      <c r="Y790" t="s">
        <v>15122</v>
      </c>
      <c r="Z790" t="s">
        <v>15123</v>
      </c>
      <c r="AA790" t="s">
        <v>15124</v>
      </c>
      <c r="AB790" t="s">
        <v>15125</v>
      </c>
      <c r="AC790" t="s">
        <v>15126</v>
      </c>
      <c r="AD790" t="s">
        <v>15127</v>
      </c>
      <c r="AE790" t="s">
        <v>15128</v>
      </c>
      <c r="AF790" t="s">
        <v>74</v>
      </c>
      <c r="AG790">
        <v>41</v>
      </c>
      <c r="AH790">
        <v>16</v>
      </c>
      <c r="AI790">
        <v>20</v>
      </c>
      <c r="AJ790">
        <v>4</v>
      </c>
      <c r="AK790">
        <v>11</v>
      </c>
      <c r="AL790" t="s">
        <v>1270</v>
      </c>
      <c r="AM790" t="s">
        <v>286</v>
      </c>
      <c r="AN790" t="s">
        <v>1271</v>
      </c>
      <c r="AO790" t="s">
        <v>15072</v>
      </c>
      <c r="AP790" t="s">
        <v>15073</v>
      </c>
      <c r="AQ790" t="s">
        <v>74</v>
      </c>
      <c r="AR790" t="s">
        <v>15074</v>
      </c>
      <c r="AS790" t="s">
        <v>15075</v>
      </c>
      <c r="AT790" t="s">
        <v>15076</v>
      </c>
      <c r="AU790">
        <v>2017</v>
      </c>
      <c r="AV790">
        <v>58</v>
      </c>
      <c r="AW790">
        <v>75</v>
      </c>
      <c r="AX790">
        <v>1</v>
      </c>
      <c r="AY790" t="s">
        <v>74</v>
      </c>
      <c r="AZ790" t="s">
        <v>74</v>
      </c>
      <c r="BA790" t="s">
        <v>74</v>
      </c>
      <c r="BB790">
        <v>88</v>
      </c>
      <c r="BC790">
        <v>98</v>
      </c>
      <c r="BD790" t="s">
        <v>74</v>
      </c>
      <c r="BE790" t="s">
        <v>15129</v>
      </c>
      <c r="BF790" t="str">
        <f>HYPERLINK("http://dx.doi.org/10.1017/aog.2017.24","http://dx.doi.org/10.1017/aog.2017.24")</f>
        <v>http://dx.doi.org/10.1017/aog.2017.24</v>
      </c>
      <c r="BG790" t="s">
        <v>74</v>
      </c>
      <c r="BH790" t="s">
        <v>74</v>
      </c>
      <c r="BI790">
        <v>11</v>
      </c>
      <c r="BJ790" t="s">
        <v>319</v>
      </c>
      <c r="BK790" t="s">
        <v>101</v>
      </c>
      <c r="BL790" t="s">
        <v>320</v>
      </c>
      <c r="BM790" t="s">
        <v>15078</v>
      </c>
      <c r="BN790" t="s">
        <v>74</v>
      </c>
      <c r="BO790" t="s">
        <v>1278</v>
      </c>
      <c r="BP790" t="s">
        <v>74</v>
      </c>
      <c r="BQ790" t="s">
        <v>74</v>
      </c>
      <c r="BR790" t="s">
        <v>105</v>
      </c>
      <c r="BS790" t="s">
        <v>15130</v>
      </c>
      <c r="BT790" t="str">
        <f>HYPERLINK("https%3A%2F%2Fwww.webofscience.com%2Fwos%2Fwoscc%2Ffull-record%2FWOS:000425012400010","View Full Record in Web of Science")</f>
        <v>View Full Record in Web of Science</v>
      </c>
    </row>
    <row r="791" spans="1:72" x14ac:dyDescent="0.15">
      <c r="A791" t="s">
        <v>72</v>
      </c>
      <c r="B791" t="s">
        <v>15131</v>
      </c>
      <c r="C791" t="s">
        <v>74</v>
      </c>
      <c r="D791" t="s">
        <v>74</v>
      </c>
      <c r="E791" t="s">
        <v>74</v>
      </c>
      <c r="F791" t="s">
        <v>15132</v>
      </c>
      <c r="G791" t="s">
        <v>74</v>
      </c>
      <c r="H791" t="s">
        <v>74</v>
      </c>
      <c r="I791" t="s">
        <v>15133</v>
      </c>
      <c r="J791" t="s">
        <v>15059</v>
      </c>
      <c r="K791" t="s">
        <v>74</v>
      </c>
      <c r="L791" t="s">
        <v>74</v>
      </c>
      <c r="M791" t="s">
        <v>78</v>
      </c>
      <c r="N791" t="s">
        <v>79</v>
      </c>
      <c r="O791" t="s">
        <v>74</v>
      </c>
      <c r="P791" t="s">
        <v>74</v>
      </c>
      <c r="Q791" t="s">
        <v>74</v>
      </c>
      <c r="R791" t="s">
        <v>74</v>
      </c>
      <c r="S791" t="s">
        <v>74</v>
      </c>
      <c r="T791" t="s">
        <v>15134</v>
      </c>
      <c r="U791" t="s">
        <v>15135</v>
      </c>
      <c r="V791" t="s">
        <v>15136</v>
      </c>
      <c r="W791" t="s">
        <v>15137</v>
      </c>
      <c r="X791" t="s">
        <v>15138</v>
      </c>
      <c r="Y791" t="s">
        <v>15139</v>
      </c>
      <c r="Z791" t="s">
        <v>15140</v>
      </c>
      <c r="AA791" t="s">
        <v>74</v>
      </c>
      <c r="AB791" t="s">
        <v>15141</v>
      </c>
      <c r="AC791" t="s">
        <v>15142</v>
      </c>
      <c r="AD791" t="s">
        <v>2673</v>
      </c>
      <c r="AE791" t="s">
        <v>15143</v>
      </c>
      <c r="AF791" t="s">
        <v>74</v>
      </c>
      <c r="AG791">
        <v>40</v>
      </c>
      <c r="AH791">
        <v>3</v>
      </c>
      <c r="AI791">
        <v>3</v>
      </c>
      <c r="AJ791">
        <v>0</v>
      </c>
      <c r="AK791">
        <v>1</v>
      </c>
      <c r="AL791" t="s">
        <v>1270</v>
      </c>
      <c r="AM791" t="s">
        <v>286</v>
      </c>
      <c r="AN791" t="s">
        <v>1271</v>
      </c>
      <c r="AO791" t="s">
        <v>15072</v>
      </c>
      <c r="AP791" t="s">
        <v>15073</v>
      </c>
      <c r="AQ791" t="s">
        <v>74</v>
      </c>
      <c r="AR791" t="s">
        <v>15074</v>
      </c>
      <c r="AS791" t="s">
        <v>15075</v>
      </c>
      <c r="AT791" t="s">
        <v>15076</v>
      </c>
      <c r="AU791">
        <v>2017</v>
      </c>
      <c r="AV791">
        <v>58</v>
      </c>
      <c r="AW791">
        <v>75</v>
      </c>
      <c r="AX791">
        <v>2</v>
      </c>
      <c r="AY791" t="s">
        <v>74</v>
      </c>
      <c r="AZ791" t="s">
        <v>74</v>
      </c>
      <c r="BA791" t="s">
        <v>74</v>
      </c>
      <c r="BB791">
        <v>193</v>
      </c>
      <c r="BC791">
        <v>198</v>
      </c>
      <c r="BD791" t="s">
        <v>74</v>
      </c>
      <c r="BE791" t="s">
        <v>15144</v>
      </c>
      <c r="BF791" t="str">
        <f>HYPERLINK("http://dx.doi.org/10.1017/aog.2017.9","http://dx.doi.org/10.1017/aog.2017.9")</f>
        <v>http://dx.doi.org/10.1017/aog.2017.9</v>
      </c>
      <c r="BG791" t="s">
        <v>74</v>
      </c>
      <c r="BH791" t="s">
        <v>74</v>
      </c>
      <c r="BI791">
        <v>6</v>
      </c>
      <c r="BJ791" t="s">
        <v>319</v>
      </c>
      <c r="BK791" t="s">
        <v>101</v>
      </c>
      <c r="BL791" t="s">
        <v>320</v>
      </c>
      <c r="BM791" t="s">
        <v>15145</v>
      </c>
      <c r="BN791" t="s">
        <v>74</v>
      </c>
      <c r="BO791" t="s">
        <v>1278</v>
      </c>
      <c r="BP791" t="s">
        <v>74</v>
      </c>
      <c r="BQ791" t="s">
        <v>74</v>
      </c>
      <c r="BR791" t="s">
        <v>105</v>
      </c>
      <c r="BS791" t="s">
        <v>15146</v>
      </c>
      <c r="BT791" t="str">
        <f>HYPERLINK("https%3A%2F%2Fwww.webofscience.com%2Fwos%2Fwoscc%2Ffull-record%2FWOS:000425012900011","View Full Record in Web of Science")</f>
        <v>View Full Record in Web of Science</v>
      </c>
    </row>
    <row r="792" spans="1:72" x14ac:dyDescent="0.15">
      <c r="A792" t="s">
        <v>72</v>
      </c>
      <c r="B792" t="s">
        <v>15147</v>
      </c>
      <c r="C792" t="s">
        <v>74</v>
      </c>
      <c r="D792" t="s">
        <v>74</v>
      </c>
      <c r="E792" t="s">
        <v>74</v>
      </c>
      <c r="F792" t="s">
        <v>15148</v>
      </c>
      <c r="G792" t="s">
        <v>74</v>
      </c>
      <c r="H792" t="s">
        <v>74</v>
      </c>
      <c r="I792" t="s">
        <v>15149</v>
      </c>
      <c r="J792" t="s">
        <v>15150</v>
      </c>
      <c r="K792" t="s">
        <v>74</v>
      </c>
      <c r="L792" t="s">
        <v>74</v>
      </c>
      <c r="M792" t="s">
        <v>78</v>
      </c>
      <c r="N792" t="s">
        <v>79</v>
      </c>
      <c r="O792" t="s">
        <v>74</v>
      </c>
      <c r="P792" t="s">
        <v>74</v>
      </c>
      <c r="Q792" t="s">
        <v>74</v>
      </c>
      <c r="R792" t="s">
        <v>74</v>
      </c>
      <c r="S792" t="s">
        <v>74</v>
      </c>
      <c r="T792" t="s">
        <v>15151</v>
      </c>
      <c r="U792" t="s">
        <v>15152</v>
      </c>
      <c r="V792" t="s">
        <v>15153</v>
      </c>
      <c r="W792" t="s">
        <v>15154</v>
      </c>
      <c r="X792" t="s">
        <v>15155</v>
      </c>
      <c r="Y792" t="s">
        <v>15156</v>
      </c>
      <c r="Z792" t="s">
        <v>15157</v>
      </c>
      <c r="AA792" t="s">
        <v>15158</v>
      </c>
      <c r="AB792" t="s">
        <v>15159</v>
      </c>
      <c r="AC792" t="s">
        <v>74</v>
      </c>
      <c r="AD792" t="s">
        <v>74</v>
      </c>
      <c r="AE792" t="s">
        <v>74</v>
      </c>
      <c r="AF792" t="s">
        <v>74</v>
      </c>
      <c r="AG792">
        <v>27</v>
      </c>
      <c r="AH792">
        <v>11</v>
      </c>
      <c r="AI792">
        <v>12</v>
      </c>
      <c r="AJ792">
        <v>1</v>
      </c>
      <c r="AK792">
        <v>5</v>
      </c>
      <c r="AL792" t="s">
        <v>15160</v>
      </c>
      <c r="AM792" t="s">
        <v>15161</v>
      </c>
      <c r="AN792" t="s">
        <v>15162</v>
      </c>
      <c r="AO792" t="s">
        <v>15163</v>
      </c>
      <c r="AP792" t="s">
        <v>15164</v>
      </c>
      <c r="AQ792" t="s">
        <v>74</v>
      </c>
      <c r="AR792" t="s">
        <v>15165</v>
      </c>
      <c r="AS792" t="s">
        <v>15166</v>
      </c>
      <c r="AT792" t="s">
        <v>15167</v>
      </c>
      <c r="AU792">
        <v>2017</v>
      </c>
      <c r="AV792">
        <v>59</v>
      </c>
      <c r="AW792">
        <v>3</v>
      </c>
      <c r="AX792" t="s">
        <v>74</v>
      </c>
      <c r="AY792" t="s">
        <v>74</v>
      </c>
      <c r="AZ792" t="s">
        <v>74</v>
      </c>
      <c r="BA792" t="s">
        <v>74</v>
      </c>
      <c r="BB792">
        <v>313</v>
      </c>
      <c r="BC792">
        <v>319</v>
      </c>
      <c r="BD792" t="s">
        <v>74</v>
      </c>
      <c r="BE792" t="s">
        <v>15168</v>
      </c>
      <c r="BF792" t="str">
        <f>HYPERLINK("http://dx.doi.org/10.4103/psychiatry.IndianJPsychiatry_296_16","http://dx.doi.org/10.4103/psychiatry.IndianJPsychiatry_296_16")</f>
        <v>http://dx.doi.org/10.4103/psychiatry.IndianJPsychiatry_296_16</v>
      </c>
      <c r="BG792" t="s">
        <v>74</v>
      </c>
      <c r="BH792" t="s">
        <v>74</v>
      </c>
      <c r="BI792">
        <v>7</v>
      </c>
      <c r="BJ792" t="s">
        <v>15169</v>
      </c>
      <c r="BK792" t="s">
        <v>765</v>
      </c>
      <c r="BL792" t="s">
        <v>15169</v>
      </c>
      <c r="BM792" t="s">
        <v>15170</v>
      </c>
      <c r="BN792">
        <v>29085090</v>
      </c>
      <c r="BO792" t="s">
        <v>267</v>
      </c>
      <c r="BP792" t="s">
        <v>74</v>
      </c>
      <c r="BQ792" t="s">
        <v>74</v>
      </c>
      <c r="BR792" t="s">
        <v>105</v>
      </c>
      <c r="BS792" t="s">
        <v>15171</v>
      </c>
      <c r="BT792" t="str">
        <f>HYPERLINK("https%3A%2F%2Fwww.webofscience.com%2Fwos%2Fwoscc%2Ffull-record%2FWOS:000423808200009","View Full Record in Web of Science")</f>
        <v>View Full Record in Web of Science</v>
      </c>
    </row>
    <row r="793" spans="1:72" x14ac:dyDescent="0.15">
      <c r="A793" t="s">
        <v>72</v>
      </c>
      <c r="B793" t="s">
        <v>15172</v>
      </c>
      <c r="C793" t="s">
        <v>74</v>
      </c>
      <c r="D793" t="s">
        <v>74</v>
      </c>
      <c r="E793" t="s">
        <v>74</v>
      </c>
      <c r="F793" t="s">
        <v>15173</v>
      </c>
      <c r="G793" t="s">
        <v>74</v>
      </c>
      <c r="H793" t="s">
        <v>74</v>
      </c>
      <c r="I793" t="s">
        <v>15174</v>
      </c>
      <c r="J793" t="s">
        <v>5588</v>
      </c>
      <c r="K793" t="s">
        <v>74</v>
      </c>
      <c r="L793" t="s">
        <v>74</v>
      </c>
      <c r="M793" t="s">
        <v>78</v>
      </c>
      <c r="N793" t="s">
        <v>79</v>
      </c>
      <c r="O793" t="s">
        <v>74</v>
      </c>
      <c r="P793" t="s">
        <v>74</v>
      </c>
      <c r="Q793" t="s">
        <v>74</v>
      </c>
      <c r="R793" t="s">
        <v>74</v>
      </c>
      <c r="S793" t="s">
        <v>74</v>
      </c>
      <c r="T793" t="s">
        <v>74</v>
      </c>
      <c r="U793" t="s">
        <v>74</v>
      </c>
      <c r="V793" t="s">
        <v>15175</v>
      </c>
      <c r="W793" t="s">
        <v>15176</v>
      </c>
      <c r="X793" t="s">
        <v>15177</v>
      </c>
      <c r="Y793" t="s">
        <v>15178</v>
      </c>
      <c r="Z793" t="s">
        <v>15179</v>
      </c>
      <c r="AA793" t="s">
        <v>15180</v>
      </c>
      <c r="AB793" t="s">
        <v>15181</v>
      </c>
      <c r="AC793" t="s">
        <v>15182</v>
      </c>
      <c r="AD793" t="s">
        <v>15183</v>
      </c>
      <c r="AE793" t="s">
        <v>15184</v>
      </c>
      <c r="AF793" t="s">
        <v>74</v>
      </c>
      <c r="AG793">
        <v>33</v>
      </c>
      <c r="AH793">
        <v>49</v>
      </c>
      <c r="AI793">
        <v>55</v>
      </c>
      <c r="AJ793">
        <v>6</v>
      </c>
      <c r="AK793">
        <v>41</v>
      </c>
      <c r="AL793" t="s">
        <v>181</v>
      </c>
      <c r="AM793" t="s">
        <v>182</v>
      </c>
      <c r="AN793" t="s">
        <v>183</v>
      </c>
      <c r="AO793" t="s">
        <v>5600</v>
      </c>
      <c r="AP793" t="s">
        <v>74</v>
      </c>
      <c r="AQ793" t="s">
        <v>74</v>
      </c>
      <c r="AR793" t="s">
        <v>5601</v>
      </c>
      <c r="AS793" t="s">
        <v>5602</v>
      </c>
      <c r="AT793" t="s">
        <v>15076</v>
      </c>
      <c r="AU793">
        <v>2017</v>
      </c>
      <c r="AV793">
        <v>1</v>
      </c>
      <c r="AW793">
        <v>7</v>
      </c>
      <c r="AX793" t="s">
        <v>74</v>
      </c>
      <c r="AY793" t="s">
        <v>74</v>
      </c>
      <c r="AZ793" t="s">
        <v>74</v>
      </c>
      <c r="BA793" t="s">
        <v>74</v>
      </c>
      <c r="BB793" t="s">
        <v>74</v>
      </c>
      <c r="BC793" t="s">
        <v>74</v>
      </c>
      <c r="BD793">
        <v>188</v>
      </c>
      <c r="BE793" t="s">
        <v>15185</v>
      </c>
      <c r="BF793" t="str">
        <f>HYPERLINK("http://dx.doi.org/10.1038/s41559-017-0188","http://dx.doi.org/10.1038/s41559-017-0188")</f>
        <v>http://dx.doi.org/10.1038/s41559-017-0188</v>
      </c>
      <c r="BG793" t="s">
        <v>74</v>
      </c>
      <c r="BH793" t="s">
        <v>74</v>
      </c>
      <c r="BI793">
        <v>6</v>
      </c>
      <c r="BJ793" t="s">
        <v>3034</v>
      </c>
      <c r="BK793" t="s">
        <v>101</v>
      </c>
      <c r="BL793" t="s">
        <v>3035</v>
      </c>
      <c r="BM793" t="s">
        <v>15186</v>
      </c>
      <c r="BN793">
        <v>28812591</v>
      </c>
      <c r="BO793" t="s">
        <v>74</v>
      </c>
      <c r="BP793" t="s">
        <v>74</v>
      </c>
      <c r="BQ793" t="s">
        <v>74</v>
      </c>
      <c r="BR793" t="s">
        <v>105</v>
      </c>
      <c r="BS793" t="s">
        <v>15187</v>
      </c>
      <c r="BT793" t="str">
        <f>HYPERLINK("https%3A%2F%2Fwww.webofscience.com%2Fwos%2Fwoscc%2Ffull-record%2FWOS:000417179000016","View Full Record in Web of Science")</f>
        <v>View Full Record in Web of Science</v>
      </c>
    </row>
    <row r="794" spans="1:72" x14ac:dyDescent="0.15">
      <c r="A794" t="s">
        <v>72</v>
      </c>
      <c r="B794" t="s">
        <v>15188</v>
      </c>
      <c r="C794" t="s">
        <v>74</v>
      </c>
      <c r="D794" t="s">
        <v>74</v>
      </c>
      <c r="E794" t="s">
        <v>74</v>
      </c>
      <c r="F794" t="s">
        <v>15189</v>
      </c>
      <c r="G794" t="s">
        <v>74</v>
      </c>
      <c r="H794" t="s">
        <v>74</v>
      </c>
      <c r="I794" t="s">
        <v>15190</v>
      </c>
      <c r="J794" t="s">
        <v>7843</v>
      </c>
      <c r="K794" t="s">
        <v>74</v>
      </c>
      <c r="L794" t="s">
        <v>74</v>
      </c>
      <c r="M794" t="s">
        <v>78</v>
      </c>
      <c r="N794" t="s">
        <v>79</v>
      </c>
      <c r="O794" t="s">
        <v>74</v>
      </c>
      <c r="P794" t="s">
        <v>74</v>
      </c>
      <c r="Q794" t="s">
        <v>74</v>
      </c>
      <c r="R794" t="s">
        <v>74</v>
      </c>
      <c r="S794" t="s">
        <v>74</v>
      </c>
      <c r="T794" t="s">
        <v>15191</v>
      </c>
      <c r="U794" t="s">
        <v>15192</v>
      </c>
      <c r="V794" t="s">
        <v>15193</v>
      </c>
      <c r="W794" t="s">
        <v>15194</v>
      </c>
      <c r="X794" t="s">
        <v>15195</v>
      </c>
      <c r="Y794" t="s">
        <v>15196</v>
      </c>
      <c r="Z794" t="s">
        <v>15197</v>
      </c>
      <c r="AA794" t="s">
        <v>15198</v>
      </c>
      <c r="AB794" t="s">
        <v>15199</v>
      </c>
      <c r="AC794" t="s">
        <v>15200</v>
      </c>
      <c r="AD794" t="s">
        <v>15201</v>
      </c>
      <c r="AE794" t="s">
        <v>15202</v>
      </c>
      <c r="AF794" t="s">
        <v>74</v>
      </c>
      <c r="AG794">
        <v>68</v>
      </c>
      <c r="AH794">
        <v>46</v>
      </c>
      <c r="AI794">
        <v>51</v>
      </c>
      <c r="AJ794">
        <v>0</v>
      </c>
      <c r="AK794">
        <v>40</v>
      </c>
      <c r="AL794" t="s">
        <v>1338</v>
      </c>
      <c r="AM794" t="s">
        <v>1339</v>
      </c>
      <c r="AN794" t="s">
        <v>1340</v>
      </c>
      <c r="AO794" t="s">
        <v>7856</v>
      </c>
      <c r="AP794" t="s">
        <v>7857</v>
      </c>
      <c r="AQ794" t="s">
        <v>74</v>
      </c>
      <c r="AR794" t="s">
        <v>7843</v>
      </c>
      <c r="AS794" t="s">
        <v>1047</v>
      </c>
      <c r="AT794" t="s">
        <v>15076</v>
      </c>
      <c r="AU794">
        <v>2017</v>
      </c>
      <c r="AV794">
        <v>98</v>
      </c>
      <c r="AW794">
        <v>7</v>
      </c>
      <c r="AX794" t="s">
        <v>74</v>
      </c>
      <c r="AY794" t="s">
        <v>74</v>
      </c>
      <c r="AZ794" t="s">
        <v>74</v>
      </c>
      <c r="BA794" t="s">
        <v>74</v>
      </c>
      <c r="BB794">
        <v>1932</v>
      </c>
      <c r="BC794">
        <v>1944</v>
      </c>
      <c r="BD794" t="s">
        <v>74</v>
      </c>
      <c r="BE794" t="s">
        <v>15203</v>
      </c>
      <c r="BF794" t="str">
        <f>HYPERLINK("http://dx.doi.org/10.1002/ecy.1880","http://dx.doi.org/10.1002/ecy.1880")</f>
        <v>http://dx.doi.org/10.1002/ecy.1880</v>
      </c>
      <c r="BG794" t="s">
        <v>74</v>
      </c>
      <c r="BH794" t="s">
        <v>74</v>
      </c>
      <c r="BI794">
        <v>13</v>
      </c>
      <c r="BJ794" t="s">
        <v>1047</v>
      </c>
      <c r="BK794" t="s">
        <v>101</v>
      </c>
      <c r="BL794" t="s">
        <v>1048</v>
      </c>
      <c r="BM794" t="s">
        <v>15204</v>
      </c>
      <c r="BN794">
        <v>28470722</v>
      </c>
      <c r="BO794" t="s">
        <v>15205</v>
      </c>
      <c r="BP794" t="s">
        <v>74</v>
      </c>
      <c r="BQ794" t="s">
        <v>74</v>
      </c>
      <c r="BR794" t="s">
        <v>105</v>
      </c>
      <c r="BS794" t="s">
        <v>15206</v>
      </c>
      <c r="BT794" t="str">
        <f>HYPERLINK("https%3A%2F%2Fwww.webofscience.com%2Fwos%2Fwoscc%2Ffull-record%2FWOS:000404875100019","View Full Record in Web of Science")</f>
        <v>View Full Record in Web of Science</v>
      </c>
    </row>
    <row r="795" spans="1:72" x14ac:dyDescent="0.15">
      <c r="A795" t="s">
        <v>72</v>
      </c>
      <c r="B795" t="s">
        <v>15207</v>
      </c>
      <c r="C795" t="s">
        <v>74</v>
      </c>
      <c r="D795" t="s">
        <v>74</v>
      </c>
      <c r="E795" t="s">
        <v>74</v>
      </c>
      <c r="F795" t="s">
        <v>15208</v>
      </c>
      <c r="G795" t="s">
        <v>74</v>
      </c>
      <c r="H795" t="s">
        <v>74</v>
      </c>
      <c r="I795" t="s">
        <v>15209</v>
      </c>
      <c r="J795" t="s">
        <v>1562</v>
      </c>
      <c r="K795" t="s">
        <v>74</v>
      </c>
      <c r="L795" t="s">
        <v>74</v>
      </c>
      <c r="M795" t="s">
        <v>78</v>
      </c>
      <c r="N795" t="s">
        <v>79</v>
      </c>
      <c r="O795" t="s">
        <v>74</v>
      </c>
      <c r="P795" t="s">
        <v>74</v>
      </c>
      <c r="Q795" t="s">
        <v>74</v>
      </c>
      <c r="R795" t="s">
        <v>74</v>
      </c>
      <c r="S795" t="s">
        <v>74</v>
      </c>
      <c r="T795" t="s">
        <v>74</v>
      </c>
      <c r="U795" t="s">
        <v>15210</v>
      </c>
      <c r="V795" t="s">
        <v>15211</v>
      </c>
      <c r="W795" t="s">
        <v>15212</v>
      </c>
      <c r="X795" t="s">
        <v>15213</v>
      </c>
      <c r="Y795" t="s">
        <v>15214</v>
      </c>
      <c r="Z795" t="s">
        <v>6729</v>
      </c>
      <c r="AA795" t="s">
        <v>6730</v>
      </c>
      <c r="AB795" t="s">
        <v>6731</v>
      </c>
      <c r="AC795" t="s">
        <v>15215</v>
      </c>
      <c r="AD795" t="s">
        <v>2456</v>
      </c>
      <c r="AE795" t="s">
        <v>15216</v>
      </c>
      <c r="AF795" t="s">
        <v>74</v>
      </c>
      <c r="AG795">
        <v>53</v>
      </c>
      <c r="AH795">
        <v>36</v>
      </c>
      <c r="AI795">
        <v>37</v>
      </c>
      <c r="AJ795">
        <v>1</v>
      </c>
      <c r="AK795">
        <v>18</v>
      </c>
      <c r="AL795" t="s">
        <v>1366</v>
      </c>
      <c r="AM795" t="s">
        <v>1367</v>
      </c>
      <c r="AN795" t="s">
        <v>1368</v>
      </c>
      <c r="AO795" t="s">
        <v>1575</v>
      </c>
      <c r="AP795" t="s">
        <v>1576</v>
      </c>
      <c r="AQ795" t="s">
        <v>74</v>
      </c>
      <c r="AR795" t="s">
        <v>1577</v>
      </c>
      <c r="AS795" t="s">
        <v>1578</v>
      </c>
      <c r="AT795" t="s">
        <v>15076</v>
      </c>
      <c r="AU795">
        <v>2017</v>
      </c>
      <c r="AV795">
        <v>47</v>
      </c>
      <c r="AW795">
        <v>7</v>
      </c>
      <c r="AX795" t="s">
        <v>74</v>
      </c>
      <c r="AY795" t="s">
        <v>74</v>
      </c>
      <c r="AZ795" t="s">
        <v>74</v>
      </c>
      <c r="BA795" t="s">
        <v>74</v>
      </c>
      <c r="BB795">
        <v>1605</v>
      </c>
      <c r="BC795">
        <v>1616</v>
      </c>
      <c r="BD795" t="s">
        <v>74</v>
      </c>
      <c r="BE795" t="s">
        <v>15217</v>
      </c>
      <c r="BF795" t="str">
        <f>HYPERLINK("http://dx.doi.org/10.1175/JPO-D-16-0262.1","http://dx.doi.org/10.1175/JPO-D-16-0262.1")</f>
        <v>http://dx.doi.org/10.1175/JPO-D-16-0262.1</v>
      </c>
      <c r="BG795" t="s">
        <v>74</v>
      </c>
      <c r="BH795" t="s">
        <v>74</v>
      </c>
      <c r="BI795">
        <v>12</v>
      </c>
      <c r="BJ795" t="s">
        <v>1459</v>
      </c>
      <c r="BK795" t="s">
        <v>101</v>
      </c>
      <c r="BL795" t="s">
        <v>1459</v>
      </c>
      <c r="BM795" t="s">
        <v>15218</v>
      </c>
      <c r="BN795" t="s">
        <v>74</v>
      </c>
      <c r="BO795" t="s">
        <v>4873</v>
      </c>
      <c r="BP795" t="s">
        <v>74</v>
      </c>
      <c r="BQ795" t="s">
        <v>74</v>
      </c>
      <c r="BR795" t="s">
        <v>105</v>
      </c>
      <c r="BS795" t="s">
        <v>15219</v>
      </c>
      <c r="BT795" t="str">
        <f>HYPERLINK("https%3A%2F%2Fwww.webofscience.com%2Fwos%2Fwoscc%2Ffull-record%2FWOS:000405111400006","View Full Record in Web of Science")</f>
        <v>View Full Record in Web of Science</v>
      </c>
    </row>
    <row r="796" spans="1:72" x14ac:dyDescent="0.15">
      <c r="A796" t="s">
        <v>72</v>
      </c>
      <c r="B796" t="s">
        <v>15220</v>
      </c>
      <c r="C796" t="s">
        <v>74</v>
      </c>
      <c r="D796" t="s">
        <v>74</v>
      </c>
      <c r="E796" t="s">
        <v>74</v>
      </c>
      <c r="F796" t="s">
        <v>15221</v>
      </c>
      <c r="G796" t="s">
        <v>74</v>
      </c>
      <c r="H796" t="s">
        <v>74</v>
      </c>
      <c r="I796" t="s">
        <v>15222</v>
      </c>
      <c r="J796" t="s">
        <v>3704</v>
      </c>
      <c r="K796" t="s">
        <v>74</v>
      </c>
      <c r="L796" t="s">
        <v>74</v>
      </c>
      <c r="M796" t="s">
        <v>78</v>
      </c>
      <c r="N796" t="s">
        <v>79</v>
      </c>
      <c r="O796" t="s">
        <v>74</v>
      </c>
      <c r="P796" t="s">
        <v>74</v>
      </c>
      <c r="Q796" t="s">
        <v>74</v>
      </c>
      <c r="R796" t="s">
        <v>74</v>
      </c>
      <c r="S796" t="s">
        <v>74</v>
      </c>
      <c r="T796" t="s">
        <v>15223</v>
      </c>
      <c r="U796" t="s">
        <v>15224</v>
      </c>
      <c r="V796" t="s">
        <v>15225</v>
      </c>
      <c r="W796" t="s">
        <v>15226</v>
      </c>
      <c r="X796" t="s">
        <v>748</v>
      </c>
      <c r="Y796" t="s">
        <v>15227</v>
      </c>
      <c r="Z796" t="s">
        <v>15228</v>
      </c>
      <c r="AA796" t="s">
        <v>74</v>
      </c>
      <c r="AB796" t="s">
        <v>74</v>
      </c>
      <c r="AC796" t="s">
        <v>15229</v>
      </c>
      <c r="AD796" t="s">
        <v>15230</v>
      </c>
      <c r="AE796" t="s">
        <v>15231</v>
      </c>
      <c r="AF796" t="s">
        <v>74</v>
      </c>
      <c r="AG796">
        <v>40</v>
      </c>
      <c r="AH796">
        <v>9</v>
      </c>
      <c r="AI796">
        <v>9</v>
      </c>
      <c r="AJ796">
        <v>0</v>
      </c>
      <c r="AK796">
        <v>5</v>
      </c>
      <c r="AL796" t="s">
        <v>1338</v>
      </c>
      <c r="AM796" t="s">
        <v>1339</v>
      </c>
      <c r="AN796" t="s">
        <v>1340</v>
      </c>
      <c r="AO796" t="s">
        <v>3717</v>
      </c>
      <c r="AP796" t="s">
        <v>3718</v>
      </c>
      <c r="AQ796" t="s">
        <v>74</v>
      </c>
      <c r="AR796" t="s">
        <v>3719</v>
      </c>
      <c r="AS796" t="s">
        <v>3720</v>
      </c>
      <c r="AT796" t="s">
        <v>15076</v>
      </c>
      <c r="AU796">
        <v>2017</v>
      </c>
      <c r="AV796">
        <v>143</v>
      </c>
      <c r="AW796">
        <v>706</v>
      </c>
      <c r="AX796" t="s">
        <v>12037</v>
      </c>
      <c r="AY796" t="s">
        <v>74</v>
      </c>
      <c r="AZ796" t="s">
        <v>74</v>
      </c>
      <c r="BA796" t="s">
        <v>74</v>
      </c>
      <c r="BB796">
        <v>2157</v>
      </c>
      <c r="BC796">
        <v>2167</v>
      </c>
      <c r="BD796" t="s">
        <v>74</v>
      </c>
      <c r="BE796" t="s">
        <v>15232</v>
      </c>
      <c r="BF796" t="str">
        <f>HYPERLINK("http://dx.doi.org/10.1002/qj.3074","http://dx.doi.org/10.1002/qj.3074")</f>
        <v>http://dx.doi.org/10.1002/qj.3074</v>
      </c>
      <c r="BG796" t="s">
        <v>74</v>
      </c>
      <c r="BH796" t="s">
        <v>74</v>
      </c>
      <c r="BI796">
        <v>11</v>
      </c>
      <c r="BJ796" t="s">
        <v>162</v>
      </c>
      <c r="BK796" t="s">
        <v>101</v>
      </c>
      <c r="BL796" t="s">
        <v>162</v>
      </c>
      <c r="BM796" t="s">
        <v>15233</v>
      </c>
      <c r="BN796" t="s">
        <v>74</v>
      </c>
      <c r="BO796" t="s">
        <v>164</v>
      </c>
      <c r="BP796" t="s">
        <v>74</v>
      </c>
      <c r="BQ796" t="s">
        <v>74</v>
      </c>
      <c r="BR796" t="s">
        <v>105</v>
      </c>
      <c r="BS796" t="s">
        <v>15234</v>
      </c>
      <c r="BT796" t="str">
        <f>HYPERLINK("https%3A%2F%2Fwww.webofscience.com%2Fwos%2Fwoscc%2Ffull-record%2FWOS:000414549800009","View Full Record in Web of Science")</f>
        <v>View Full Record in Web of Science</v>
      </c>
    </row>
    <row r="797" spans="1:72" x14ac:dyDescent="0.15">
      <c r="A797" t="s">
        <v>72</v>
      </c>
      <c r="B797" t="s">
        <v>15235</v>
      </c>
      <c r="C797" t="s">
        <v>74</v>
      </c>
      <c r="D797" t="s">
        <v>74</v>
      </c>
      <c r="E797" t="s">
        <v>74</v>
      </c>
      <c r="F797" t="s">
        <v>15236</v>
      </c>
      <c r="G797" t="s">
        <v>74</v>
      </c>
      <c r="H797" t="s">
        <v>74</v>
      </c>
      <c r="I797" t="s">
        <v>15237</v>
      </c>
      <c r="J797" t="s">
        <v>15238</v>
      </c>
      <c r="K797" t="s">
        <v>74</v>
      </c>
      <c r="L797" t="s">
        <v>74</v>
      </c>
      <c r="M797" t="s">
        <v>78</v>
      </c>
      <c r="N797" t="s">
        <v>79</v>
      </c>
      <c r="O797" t="s">
        <v>74</v>
      </c>
      <c r="P797" t="s">
        <v>74</v>
      </c>
      <c r="Q797" t="s">
        <v>74</v>
      </c>
      <c r="R797" t="s">
        <v>74</v>
      </c>
      <c r="S797" t="s">
        <v>74</v>
      </c>
      <c r="T797" t="s">
        <v>15239</v>
      </c>
      <c r="U797" t="s">
        <v>15240</v>
      </c>
      <c r="V797" t="s">
        <v>15241</v>
      </c>
      <c r="W797" t="s">
        <v>15242</v>
      </c>
      <c r="X797" t="s">
        <v>15243</v>
      </c>
      <c r="Y797" t="s">
        <v>15244</v>
      </c>
      <c r="Z797" t="s">
        <v>15245</v>
      </c>
      <c r="AA797" t="s">
        <v>15246</v>
      </c>
      <c r="AB797" t="s">
        <v>15247</v>
      </c>
      <c r="AC797" t="s">
        <v>15248</v>
      </c>
      <c r="AD797" t="s">
        <v>15249</v>
      </c>
      <c r="AE797" t="s">
        <v>15250</v>
      </c>
      <c r="AF797" t="s">
        <v>74</v>
      </c>
      <c r="AG797">
        <v>28</v>
      </c>
      <c r="AH797">
        <v>6</v>
      </c>
      <c r="AI797">
        <v>7</v>
      </c>
      <c r="AJ797">
        <v>0</v>
      </c>
      <c r="AK797">
        <v>12</v>
      </c>
      <c r="AL797" t="s">
        <v>15251</v>
      </c>
      <c r="AM797" t="s">
        <v>15252</v>
      </c>
      <c r="AN797" t="s">
        <v>15253</v>
      </c>
      <c r="AO797" t="s">
        <v>15254</v>
      </c>
      <c r="AP797" t="s">
        <v>15255</v>
      </c>
      <c r="AQ797" t="s">
        <v>74</v>
      </c>
      <c r="AR797" t="s">
        <v>15256</v>
      </c>
      <c r="AS797" t="s">
        <v>15257</v>
      </c>
      <c r="AT797" t="s">
        <v>15167</v>
      </c>
      <c r="AU797">
        <v>2017</v>
      </c>
      <c r="AV797">
        <v>89</v>
      </c>
      <c r="AW797">
        <v>3</v>
      </c>
      <c r="AX797" t="s">
        <v>74</v>
      </c>
      <c r="AY797" t="s">
        <v>74</v>
      </c>
      <c r="AZ797" t="s">
        <v>74</v>
      </c>
      <c r="BA797" t="s">
        <v>74</v>
      </c>
      <c r="BB797">
        <v>1737</v>
      </c>
      <c r="BC797">
        <v>1743</v>
      </c>
      <c r="BD797" t="s">
        <v>74</v>
      </c>
      <c r="BE797" t="s">
        <v>15258</v>
      </c>
      <c r="BF797" t="str">
        <f>HYPERLINK("http://dx.doi.org/10.1590/0001-3765201720170119","http://dx.doi.org/10.1590/0001-3765201720170119")</f>
        <v>http://dx.doi.org/10.1590/0001-3765201720170119</v>
      </c>
      <c r="BG797" t="s">
        <v>74</v>
      </c>
      <c r="BH797" t="s">
        <v>74</v>
      </c>
      <c r="BI797">
        <v>7</v>
      </c>
      <c r="BJ797" t="s">
        <v>190</v>
      </c>
      <c r="BK797" t="s">
        <v>101</v>
      </c>
      <c r="BL797" t="s">
        <v>191</v>
      </c>
      <c r="BM797" t="s">
        <v>15259</v>
      </c>
      <c r="BN797">
        <v>28832727</v>
      </c>
      <c r="BO797" t="s">
        <v>923</v>
      </c>
      <c r="BP797" t="s">
        <v>74</v>
      </c>
      <c r="BQ797" t="s">
        <v>74</v>
      </c>
      <c r="BR797" t="s">
        <v>105</v>
      </c>
      <c r="BS797" t="s">
        <v>15260</v>
      </c>
      <c r="BT797" t="str">
        <f>HYPERLINK("https%3A%2F%2Fwww.webofscience.com%2Fwos%2Fwoscc%2Ffull-record%2FWOS:000411569900033","View Full Record in Web of Science")</f>
        <v>View Full Record in Web of Science</v>
      </c>
    </row>
    <row r="798" spans="1:72" x14ac:dyDescent="0.15">
      <c r="A798" t="s">
        <v>72</v>
      </c>
      <c r="B798" t="s">
        <v>15261</v>
      </c>
      <c r="C798" t="s">
        <v>74</v>
      </c>
      <c r="D798" t="s">
        <v>74</v>
      </c>
      <c r="E798" t="s">
        <v>74</v>
      </c>
      <c r="F798" t="s">
        <v>15262</v>
      </c>
      <c r="G798" t="s">
        <v>74</v>
      </c>
      <c r="H798" t="s">
        <v>74</v>
      </c>
      <c r="I798" t="s">
        <v>15263</v>
      </c>
      <c r="J798" t="s">
        <v>15264</v>
      </c>
      <c r="K798" t="s">
        <v>74</v>
      </c>
      <c r="L798" t="s">
        <v>74</v>
      </c>
      <c r="M798" t="s">
        <v>78</v>
      </c>
      <c r="N798" t="s">
        <v>79</v>
      </c>
      <c r="O798" t="s">
        <v>74</v>
      </c>
      <c r="P798" t="s">
        <v>74</v>
      </c>
      <c r="Q798" t="s">
        <v>74</v>
      </c>
      <c r="R798" t="s">
        <v>74</v>
      </c>
      <c r="S798" t="s">
        <v>74</v>
      </c>
      <c r="T798" t="s">
        <v>74</v>
      </c>
      <c r="U798" t="s">
        <v>15265</v>
      </c>
      <c r="V798" t="s">
        <v>15266</v>
      </c>
      <c r="W798" t="s">
        <v>15267</v>
      </c>
      <c r="X798" t="s">
        <v>15268</v>
      </c>
      <c r="Y798" t="s">
        <v>15269</v>
      </c>
      <c r="Z798" t="s">
        <v>15270</v>
      </c>
      <c r="AA798" t="s">
        <v>15271</v>
      </c>
      <c r="AB798" t="s">
        <v>15272</v>
      </c>
      <c r="AC798" t="s">
        <v>15273</v>
      </c>
      <c r="AD798" t="s">
        <v>15274</v>
      </c>
      <c r="AE798" t="s">
        <v>15275</v>
      </c>
      <c r="AF798" t="s">
        <v>74</v>
      </c>
      <c r="AG798">
        <v>63</v>
      </c>
      <c r="AH798">
        <v>11</v>
      </c>
      <c r="AI798">
        <v>14</v>
      </c>
      <c r="AJ798">
        <v>0</v>
      </c>
      <c r="AK798">
        <v>42</v>
      </c>
      <c r="AL798" t="s">
        <v>15276</v>
      </c>
      <c r="AM798" t="s">
        <v>15277</v>
      </c>
      <c r="AN798" t="s">
        <v>15278</v>
      </c>
      <c r="AO798" t="s">
        <v>15279</v>
      </c>
      <c r="AP798" t="s">
        <v>15280</v>
      </c>
      <c r="AQ798" t="s">
        <v>74</v>
      </c>
      <c r="AR798" t="s">
        <v>15281</v>
      </c>
      <c r="AS798" t="s">
        <v>15282</v>
      </c>
      <c r="AT798" t="s">
        <v>15076</v>
      </c>
      <c r="AU798">
        <v>2017</v>
      </c>
      <c r="AV798">
        <v>83</v>
      </c>
      <c r="AW798">
        <v>7</v>
      </c>
      <c r="AX798" t="s">
        <v>74</v>
      </c>
      <c r="AY798" t="s">
        <v>74</v>
      </c>
      <c r="AZ798" t="s">
        <v>74</v>
      </c>
      <c r="BA798" t="s">
        <v>74</v>
      </c>
      <c r="BB798">
        <v>477</v>
      </c>
      <c r="BC798">
        <v>491</v>
      </c>
      <c r="BD798" t="s">
        <v>74</v>
      </c>
      <c r="BE798" t="s">
        <v>15283</v>
      </c>
      <c r="BF798" t="str">
        <f>HYPERLINK("http://dx.doi.org/10.14358/PERS.83.7.477","http://dx.doi.org/10.14358/PERS.83.7.477")</f>
        <v>http://dx.doi.org/10.14358/PERS.83.7.477</v>
      </c>
      <c r="BG798" t="s">
        <v>74</v>
      </c>
      <c r="BH798" t="s">
        <v>74</v>
      </c>
      <c r="BI798">
        <v>15</v>
      </c>
      <c r="BJ798" t="s">
        <v>15284</v>
      </c>
      <c r="BK798" t="s">
        <v>101</v>
      </c>
      <c r="BL798" t="s">
        <v>15285</v>
      </c>
      <c r="BM798" t="s">
        <v>15286</v>
      </c>
      <c r="BN798" t="s">
        <v>74</v>
      </c>
      <c r="BO798" t="s">
        <v>74</v>
      </c>
      <c r="BP798" t="s">
        <v>74</v>
      </c>
      <c r="BQ798" t="s">
        <v>74</v>
      </c>
      <c r="BR798" t="s">
        <v>105</v>
      </c>
      <c r="BS798" t="s">
        <v>15287</v>
      </c>
      <c r="BT798" t="str">
        <f>HYPERLINK("https%3A%2F%2Fwww.webofscience.com%2Fwos%2Fwoscc%2Ffull-record%2FWOS:000411210500004","View Full Record in Web of Science")</f>
        <v>View Full Record in Web of Science</v>
      </c>
    </row>
    <row r="799" spans="1:72" x14ac:dyDescent="0.15">
      <c r="A799" t="s">
        <v>72</v>
      </c>
      <c r="B799" t="s">
        <v>15288</v>
      </c>
      <c r="C799" t="s">
        <v>74</v>
      </c>
      <c r="D799" t="s">
        <v>74</v>
      </c>
      <c r="E799" t="s">
        <v>74</v>
      </c>
      <c r="F799" t="s">
        <v>15289</v>
      </c>
      <c r="G799" t="s">
        <v>74</v>
      </c>
      <c r="H799" t="s">
        <v>74</v>
      </c>
      <c r="I799" t="s">
        <v>15290</v>
      </c>
      <c r="J799" t="s">
        <v>15291</v>
      </c>
      <c r="K799" t="s">
        <v>74</v>
      </c>
      <c r="L799" t="s">
        <v>74</v>
      </c>
      <c r="M799" t="s">
        <v>78</v>
      </c>
      <c r="N799" t="s">
        <v>79</v>
      </c>
      <c r="O799" t="s">
        <v>74</v>
      </c>
      <c r="P799" t="s">
        <v>74</v>
      </c>
      <c r="Q799" t="s">
        <v>74</v>
      </c>
      <c r="R799" t="s">
        <v>74</v>
      </c>
      <c r="S799" t="s">
        <v>74</v>
      </c>
      <c r="T799" t="s">
        <v>15292</v>
      </c>
      <c r="U799" t="s">
        <v>15293</v>
      </c>
      <c r="V799" t="s">
        <v>15294</v>
      </c>
      <c r="W799" t="s">
        <v>15295</v>
      </c>
      <c r="X799" t="s">
        <v>15296</v>
      </c>
      <c r="Y799" t="s">
        <v>15297</v>
      </c>
      <c r="Z799" t="s">
        <v>15298</v>
      </c>
      <c r="AA799" t="s">
        <v>15299</v>
      </c>
      <c r="AB799" t="s">
        <v>15300</v>
      </c>
      <c r="AC799" t="s">
        <v>15301</v>
      </c>
      <c r="AD799" t="s">
        <v>15302</v>
      </c>
      <c r="AE799" t="s">
        <v>15303</v>
      </c>
      <c r="AF799" t="s">
        <v>74</v>
      </c>
      <c r="AG799">
        <v>33</v>
      </c>
      <c r="AH799">
        <v>2</v>
      </c>
      <c r="AI799">
        <v>2</v>
      </c>
      <c r="AJ799">
        <v>0</v>
      </c>
      <c r="AK799">
        <v>3</v>
      </c>
      <c r="AL799" t="s">
        <v>15304</v>
      </c>
      <c r="AM799" t="s">
        <v>15305</v>
      </c>
      <c r="AN799" t="s">
        <v>15306</v>
      </c>
      <c r="AO799" t="s">
        <v>15307</v>
      </c>
      <c r="AP799" t="s">
        <v>15308</v>
      </c>
      <c r="AQ799" t="s">
        <v>74</v>
      </c>
      <c r="AR799" t="s">
        <v>15309</v>
      </c>
      <c r="AS799" t="s">
        <v>15310</v>
      </c>
      <c r="AT799" t="s">
        <v>15167</v>
      </c>
      <c r="AU799">
        <v>2017</v>
      </c>
      <c r="AV799">
        <v>18</v>
      </c>
      <c r="AW799">
        <v>3</v>
      </c>
      <c r="AX799" t="s">
        <v>74</v>
      </c>
      <c r="AY799" t="s">
        <v>74</v>
      </c>
      <c r="AZ799" t="s">
        <v>74</v>
      </c>
      <c r="BA799" t="s">
        <v>74</v>
      </c>
      <c r="BB799">
        <v>579</v>
      </c>
      <c r="BC799">
        <v>594</v>
      </c>
      <c r="BD799" t="s">
        <v>74</v>
      </c>
      <c r="BE799" t="s">
        <v>15311</v>
      </c>
      <c r="BF799" t="str">
        <f>HYPERLINK("http://dx.doi.org/10.20502/rbg.v18i3.1246","http://dx.doi.org/10.20502/rbg.v18i3.1246")</f>
        <v>http://dx.doi.org/10.20502/rbg.v18i3.1246</v>
      </c>
      <c r="BG799" t="s">
        <v>74</v>
      </c>
      <c r="BH799" t="s">
        <v>74</v>
      </c>
      <c r="BI799">
        <v>16</v>
      </c>
      <c r="BJ799" t="s">
        <v>15312</v>
      </c>
      <c r="BK799" t="s">
        <v>3172</v>
      </c>
      <c r="BL799" t="s">
        <v>15313</v>
      </c>
      <c r="BM799" t="s">
        <v>15314</v>
      </c>
      <c r="BN799" t="s">
        <v>74</v>
      </c>
      <c r="BO799" t="s">
        <v>1278</v>
      </c>
      <c r="BP799" t="s">
        <v>74</v>
      </c>
      <c r="BQ799" t="s">
        <v>74</v>
      </c>
      <c r="BR799" t="s">
        <v>105</v>
      </c>
      <c r="BS799" t="s">
        <v>15315</v>
      </c>
      <c r="BT799" t="str">
        <f>HYPERLINK("https%3A%2F%2Fwww.webofscience.com%2Fwos%2Fwoscc%2Ffull-record%2FWOS:000411522100008","View Full Record in Web of Science")</f>
        <v>View Full Record in Web of Science</v>
      </c>
    </row>
    <row r="800" spans="1:72" x14ac:dyDescent="0.15">
      <c r="A800" t="s">
        <v>72</v>
      </c>
      <c r="B800" t="s">
        <v>15316</v>
      </c>
      <c r="C800" t="s">
        <v>74</v>
      </c>
      <c r="D800" t="s">
        <v>74</v>
      </c>
      <c r="E800" t="s">
        <v>74</v>
      </c>
      <c r="F800" t="s">
        <v>15317</v>
      </c>
      <c r="G800" t="s">
        <v>74</v>
      </c>
      <c r="H800" t="s">
        <v>74</v>
      </c>
      <c r="I800" t="s">
        <v>15318</v>
      </c>
      <c r="J800" t="s">
        <v>15319</v>
      </c>
      <c r="K800" t="s">
        <v>74</v>
      </c>
      <c r="L800" t="s">
        <v>74</v>
      </c>
      <c r="M800" t="s">
        <v>78</v>
      </c>
      <c r="N800" t="s">
        <v>79</v>
      </c>
      <c r="O800" t="s">
        <v>74</v>
      </c>
      <c r="P800" t="s">
        <v>74</v>
      </c>
      <c r="Q800" t="s">
        <v>74</v>
      </c>
      <c r="R800" t="s">
        <v>74</v>
      </c>
      <c r="S800" t="s">
        <v>74</v>
      </c>
      <c r="T800" t="s">
        <v>15320</v>
      </c>
      <c r="U800" t="s">
        <v>15321</v>
      </c>
      <c r="V800" t="s">
        <v>15322</v>
      </c>
      <c r="W800" t="s">
        <v>15323</v>
      </c>
      <c r="X800" t="s">
        <v>15324</v>
      </c>
      <c r="Y800" t="s">
        <v>15325</v>
      </c>
      <c r="Z800" t="s">
        <v>15326</v>
      </c>
      <c r="AA800" t="s">
        <v>15327</v>
      </c>
      <c r="AB800" t="s">
        <v>15328</v>
      </c>
      <c r="AC800" t="s">
        <v>15329</v>
      </c>
      <c r="AD800" t="s">
        <v>15330</v>
      </c>
      <c r="AE800" t="s">
        <v>15331</v>
      </c>
      <c r="AF800" t="s">
        <v>74</v>
      </c>
      <c r="AG800">
        <v>64</v>
      </c>
      <c r="AH800">
        <v>8</v>
      </c>
      <c r="AI800">
        <v>9</v>
      </c>
      <c r="AJ800">
        <v>0</v>
      </c>
      <c r="AK800">
        <v>21</v>
      </c>
      <c r="AL800" t="s">
        <v>15332</v>
      </c>
      <c r="AM800" t="s">
        <v>15333</v>
      </c>
      <c r="AN800" t="s">
        <v>15334</v>
      </c>
      <c r="AO800" t="s">
        <v>15335</v>
      </c>
      <c r="AP800" t="s">
        <v>15336</v>
      </c>
      <c r="AQ800" t="s">
        <v>74</v>
      </c>
      <c r="AR800" t="s">
        <v>15337</v>
      </c>
      <c r="AS800" t="s">
        <v>15338</v>
      </c>
      <c r="AT800" t="s">
        <v>15167</v>
      </c>
      <c r="AU800">
        <v>2017</v>
      </c>
      <c r="AV800">
        <v>40</v>
      </c>
      <c r="AW800">
        <v>3</v>
      </c>
      <c r="AX800" t="s">
        <v>74</v>
      </c>
      <c r="AY800" t="s">
        <v>74</v>
      </c>
      <c r="AZ800" t="s">
        <v>74</v>
      </c>
      <c r="BA800" t="s">
        <v>74</v>
      </c>
      <c r="BB800">
        <v>676</v>
      </c>
      <c r="BC800">
        <v>687</v>
      </c>
      <c r="BD800" t="s">
        <v>74</v>
      </c>
      <c r="BE800" t="s">
        <v>15339</v>
      </c>
      <c r="BF800" t="str">
        <f>HYPERLINK("http://dx.doi.org/10.1590/1678-4685-GMB-2016-0224","http://dx.doi.org/10.1590/1678-4685-GMB-2016-0224")</f>
        <v>http://dx.doi.org/10.1590/1678-4685-GMB-2016-0224</v>
      </c>
      <c r="BG800" t="s">
        <v>74</v>
      </c>
      <c r="BH800" t="s">
        <v>74</v>
      </c>
      <c r="BI800">
        <v>12</v>
      </c>
      <c r="BJ800" t="s">
        <v>9625</v>
      </c>
      <c r="BK800" t="s">
        <v>101</v>
      </c>
      <c r="BL800" t="s">
        <v>9625</v>
      </c>
      <c r="BM800" t="s">
        <v>15340</v>
      </c>
      <c r="BN800">
        <v>28898354</v>
      </c>
      <c r="BO800" t="s">
        <v>1112</v>
      </c>
      <c r="BP800" t="s">
        <v>74</v>
      </c>
      <c r="BQ800" t="s">
        <v>74</v>
      </c>
      <c r="BR800" t="s">
        <v>105</v>
      </c>
      <c r="BS800" t="s">
        <v>15341</v>
      </c>
      <c r="BT800" t="str">
        <f>HYPERLINK("https%3A%2F%2Fwww.webofscience.com%2Fwos%2Fwoscc%2Ffull-record%2FWOS:000409372000014","View Full Record in Web of Science")</f>
        <v>View Full Record in Web of Science</v>
      </c>
    </row>
    <row r="801" spans="1:72" x14ac:dyDescent="0.15">
      <c r="A801" t="s">
        <v>72</v>
      </c>
      <c r="B801" t="s">
        <v>15342</v>
      </c>
      <c r="C801" t="s">
        <v>74</v>
      </c>
      <c r="D801" t="s">
        <v>74</v>
      </c>
      <c r="E801" t="s">
        <v>74</v>
      </c>
      <c r="F801" t="s">
        <v>15343</v>
      </c>
      <c r="G801" t="s">
        <v>74</v>
      </c>
      <c r="H801" t="s">
        <v>74</v>
      </c>
      <c r="I801" t="s">
        <v>15344</v>
      </c>
      <c r="J801" t="s">
        <v>5568</v>
      </c>
      <c r="K801" t="s">
        <v>74</v>
      </c>
      <c r="L801" t="s">
        <v>74</v>
      </c>
      <c r="M801" t="s">
        <v>78</v>
      </c>
      <c r="N801" t="s">
        <v>79</v>
      </c>
      <c r="O801" t="s">
        <v>74</v>
      </c>
      <c r="P801" t="s">
        <v>74</v>
      </c>
      <c r="Q801" t="s">
        <v>74</v>
      </c>
      <c r="R801" t="s">
        <v>74</v>
      </c>
      <c r="S801" t="s">
        <v>74</v>
      </c>
      <c r="T801" t="s">
        <v>15345</v>
      </c>
      <c r="U801" t="s">
        <v>15346</v>
      </c>
      <c r="V801" t="s">
        <v>15347</v>
      </c>
      <c r="W801" t="s">
        <v>15348</v>
      </c>
      <c r="X801" t="s">
        <v>15349</v>
      </c>
      <c r="Y801" t="s">
        <v>15350</v>
      </c>
      <c r="Z801" t="s">
        <v>15351</v>
      </c>
      <c r="AA801" t="s">
        <v>15352</v>
      </c>
      <c r="AB801" t="s">
        <v>15353</v>
      </c>
      <c r="AC801" t="s">
        <v>15354</v>
      </c>
      <c r="AD801" t="s">
        <v>15355</v>
      </c>
      <c r="AE801" t="s">
        <v>15356</v>
      </c>
      <c r="AF801" t="s">
        <v>74</v>
      </c>
      <c r="AG801">
        <v>61</v>
      </c>
      <c r="AH801">
        <v>0</v>
      </c>
      <c r="AI801">
        <v>1</v>
      </c>
      <c r="AJ801">
        <v>0</v>
      </c>
      <c r="AK801">
        <v>9</v>
      </c>
      <c r="AL801" t="s">
        <v>5576</v>
      </c>
      <c r="AM801" t="s">
        <v>5577</v>
      </c>
      <c r="AN801" t="s">
        <v>5578</v>
      </c>
      <c r="AO801" t="s">
        <v>5579</v>
      </c>
      <c r="AP801" t="s">
        <v>74</v>
      </c>
      <c r="AQ801" t="s">
        <v>74</v>
      </c>
      <c r="AR801" t="s">
        <v>5580</v>
      </c>
      <c r="AS801" t="s">
        <v>5581</v>
      </c>
      <c r="AT801" t="s">
        <v>15076</v>
      </c>
      <c r="AU801">
        <v>2017</v>
      </c>
      <c r="AV801">
        <v>285</v>
      </c>
      <c r="AW801">
        <v>1</v>
      </c>
      <c r="AX801" t="s">
        <v>74</v>
      </c>
      <c r="AY801" t="s">
        <v>74</v>
      </c>
      <c r="AZ801" t="s">
        <v>74</v>
      </c>
      <c r="BA801" t="s">
        <v>74</v>
      </c>
      <c r="BB801">
        <v>39</v>
      </c>
      <c r="BC801">
        <v>52</v>
      </c>
      <c r="BD801" t="s">
        <v>74</v>
      </c>
      <c r="BE801" t="s">
        <v>15357</v>
      </c>
      <c r="BF801" t="str">
        <f>HYPERLINK("http://dx.doi.org/10.1127/njgpa/2017/0668","http://dx.doi.org/10.1127/njgpa/2017/0668")</f>
        <v>http://dx.doi.org/10.1127/njgpa/2017/0668</v>
      </c>
      <c r="BG801" t="s">
        <v>74</v>
      </c>
      <c r="BH801" t="s">
        <v>74</v>
      </c>
      <c r="BI801">
        <v>14</v>
      </c>
      <c r="BJ801" t="s">
        <v>3515</v>
      </c>
      <c r="BK801" t="s">
        <v>101</v>
      </c>
      <c r="BL801" t="s">
        <v>3515</v>
      </c>
      <c r="BM801" t="s">
        <v>15358</v>
      </c>
      <c r="BN801" t="s">
        <v>74</v>
      </c>
      <c r="BO801" t="s">
        <v>164</v>
      </c>
      <c r="BP801" t="s">
        <v>74</v>
      </c>
      <c r="BQ801" t="s">
        <v>74</v>
      </c>
      <c r="BR801" t="s">
        <v>105</v>
      </c>
      <c r="BS801" t="s">
        <v>15359</v>
      </c>
      <c r="BT801" t="str">
        <f>HYPERLINK("https%3A%2F%2Fwww.webofscience.com%2Fwos%2Fwoscc%2Ffull-record%2FWOS:000410461900003","View Full Record in Web of Science")</f>
        <v>View Full Record in Web of Science</v>
      </c>
    </row>
    <row r="802" spans="1:72" x14ac:dyDescent="0.15">
      <c r="A802" t="s">
        <v>72</v>
      </c>
      <c r="B802" t="s">
        <v>15360</v>
      </c>
      <c r="C802" t="s">
        <v>74</v>
      </c>
      <c r="D802" t="s">
        <v>74</v>
      </c>
      <c r="E802" t="s">
        <v>74</v>
      </c>
      <c r="F802" t="s">
        <v>15361</v>
      </c>
      <c r="G802" t="s">
        <v>74</v>
      </c>
      <c r="H802" t="s">
        <v>74</v>
      </c>
      <c r="I802" t="s">
        <v>15362</v>
      </c>
      <c r="J802" t="s">
        <v>1441</v>
      </c>
      <c r="K802" t="s">
        <v>74</v>
      </c>
      <c r="L802" t="s">
        <v>74</v>
      </c>
      <c r="M802" t="s">
        <v>78</v>
      </c>
      <c r="N802" t="s">
        <v>79</v>
      </c>
      <c r="O802" t="s">
        <v>74</v>
      </c>
      <c r="P802" t="s">
        <v>74</v>
      </c>
      <c r="Q802" t="s">
        <v>74</v>
      </c>
      <c r="R802" t="s">
        <v>74</v>
      </c>
      <c r="S802" t="s">
        <v>74</v>
      </c>
      <c r="T802" t="s">
        <v>74</v>
      </c>
      <c r="U802" t="s">
        <v>15363</v>
      </c>
      <c r="V802" t="s">
        <v>15364</v>
      </c>
      <c r="W802" t="s">
        <v>15365</v>
      </c>
      <c r="X802" t="s">
        <v>15366</v>
      </c>
      <c r="Y802" t="s">
        <v>15367</v>
      </c>
      <c r="Z802" t="s">
        <v>15368</v>
      </c>
      <c r="AA802" t="s">
        <v>74</v>
      </c>
      <c r="AB802" t="s">
        <v>74</v>
      </c>
      <c r="AC802" t="s">
        <v>15369</v>
      </c>
      <c r="AD802" t="s">
        <v>15370</v>
      </c>
      <c r="AE802" t="s">
        <v>15371</v>
      </c>
      <c r="AF802" t="s">
        <v>74</v>
      </c>
      <c r="AG802">
        <v>52</v>
      </c>
      <c r="AH802">
        <v>27</v>
      </c>
      <c r="AI802">
        <v>37</v>
      </c>
      <c r="AJ802">
        <v>3</v>
      </c>
      <c r="AK802">
        <v>38</v>
      </c>
      <c r="AL802" t="s">
        <v>91</v>
      </c>
      <c r="AM802" t="s">
        <v>92</v>
      </c>
      <c r="AN802" t="s">
        <v>93</v>
      </c>
      <c r="AO802" t="s">
        <v>1454</v>
      </c>
      <c r="AP802" t="s">
        <v>1455</v>
      </c>
      <c r="AQ802" t="s">
        <v>74</v>
      </c>
      <c r="AR802" t="s">
        <v>1456</v>
      </c>
      <c r="AS802" t="s">
        <v>1457</v>
      </c>
      <c r="AT802" t="s">
        <v>15076</v>
      </c>
      <c r="AU802">
        <v>2017</v>
      </c>
      <c r="AV802">
        <v>122</v>
      </c>
      <c r="AW802">
        <v>7</v>
      </c>
      <c r="AX802" t="s">
        <v>74</v>
      </c>
      <c r="AY802" t="s">
        <v>74</v>
      </c>
      <c r="AZ802" t="s">
        <v>74</v>
      </c>
      <c r="BA802" t="s">
        <v>74</v>
      </c>
      <c r="BB802">
        <v>5198</v>
      </c>
      <c r="BC802">
        <v>5217</v>
      </c>
      <c r="BD802" t="s">
        <v>74</v>
      </c>
      <c r="BE802" t="s">
        <v>15372</v>
      </c>
      <c r="BF802" t="str">
        <f>HYPERLINK("http://dx.doi.org/10.1002/2016JC012336","http://dx.doi.org/10.1002/2016JC012336")</f>
        <v>http://dx.doi.org/10.1002/2016JC012336</v>
      </c>
      <c r="BG802" t="s">
        <v>74</v>
      </c>
      <c r="BH802" t="s">
        <v>74</v>
      </c>
      <c r="BI802">
        <v>20</v>
      </c>
      <c r="BJ802" t="s">
        <v>1459</v>
      </c>
      <c r="BK802" t="s">
        <v>101</v>
      </c>
      <c r="BL802" t="s">
        <v>1459</v>
      </c>
      <c r="BM802" t="s">
        <v>15373</v>
      </c>
      <c r="BN802" t="s">
        <v>74</v>
      </c>
      <c r="BO802" t="s">
        <v>74</v>
      </c>
      <c r="BP802" t="s">
        <v>74</v>
      </c>
      <c r="BQ802" t="s">
        <v>74</v>
      </c>
      <c r="BR802" t="s">
        <v>105</v>
      </c>
      <c r="BS802" t="s">
        <v>15374</v>
      </c>
      <c r="BT802" t="str">
        <f>HYPERLINK("https%3A%2F%2Fwww.webofscience.com%2Fwos%2Fwoscc%2Ffull-record%2FWOS:000409893600001","View Full Record in Web of Science")</f>
        <v>View Full Record in Web of Science</v>
      </c>
    </row>
    <row r="803" spans="1:72" x14ac:dyDescent="0.15">
      <c r="A803" t="s">
        <v>72</v>
      </c>
      <c r="B803" t="s">
        <v>15375</v>
      </c>
      <c r="C803" t="s">
        <v>74</v>
      </c>
      <c r="D803" t="s">
        <v>74</v>
      </c>
      <c r="E803" t="s">
        <v>74</v>
      </c>
      <c r="F803" t="s">
        <v>15376</v>
      </c>
      <c r="G803" t="s">
        <v>74</v>
      </c>
      <c r="H803" t="s">
        <v>74</v>
      </c>
      <c r="I803" t="s">
        <v>15377</v>
      </c>
      <c r="J803" t="s">
        <v>1441</v>
      </c>
      <c r="K803" t="s">
        <v>74</v>
      </c>
      <c r="L803" t="s">
        <v>74</v>
      </c>
      <c r="M803" t="s">
        <v>78</v>
      </c>
      <c r="N803" t="s">
        <v>79</v>
      </c>
      <c r="O803" t="s">
        <v>74</v>
      </c>
      <c r="P803" t="s">
        <v>74</v>
      </c>
      <c r="Q803" t="s">
        <v>74</v>
      </c>
      <c r="R803" t="s">
        <v>74</v>
      </c>
      <c r="S803" t="s">
        <v>74</v>
      </c>
      <c r="T803" t="s">
        <v>74</v>
      </c>
      <c r="U803" t="s">
        <v>15378</v>
      </c>
      <c r="V803" t="s">
        <v>15379</v>
      </c>
      <c r="W803" t="s">
        <v>15380</v>
      </c>
      <c r="X803" t="s">
        <v>15381</v>
      </c>
      <c r="Y803" t="s">
        <v>15382</v>
      </c>
      <c r="Z803" t="s">
        <v>15383</v>
      </c>
      <c r="AA803" t="s">
        <v>15384</v>
      </c>
      <c r="AB803" t="s">
        <v>15385</v>
      </c>
      <c r="AC803" t="s">
        <v>15386</v>
      </c>
      <c r="AD803" t="s">
        <v>15387</v>
      </c>
      <c r="AE803" t="s">
        <v>15388</v>
      </c>
      <c r="AF803" t="s">
        <v>74</v>
      </c>
      <c r="AG803">
        <v>41</v>
      </c>
      <c r="AH803">
        <v>43</v>
      </c>
      <c r="AI803">
        <v>47</v>
      </c>
      <c r="AJ803">
        <v>3</v>
      </c>
      <c r="AK803">
        <v>25</v>
      </c>
      <c r="AL803" t="s">
        <v>91</v>
      </c>
      <c r="AM803" t="s">
        <v>92</v>
      </c>
      <c r="AN803" t="s">
        <v>93</v>
      </c>
      <c r="AO803" t="s">
        <v>1454</v>
      </c>
      <c r="AP803" t="s">
        <v>1455</v>
      </c>
      <c r="AQ803" t="s">
        <v>74</v>
      </c>
      <c r="AR803" t="s">
        <v>1456</v>
      </c>
      <c r="AS803" t="s">
        <v>1457</v>
      </c>
      <c r="AT803" t="s">
        <v>15076</v>
      </c>
      <c r="AU803">
        <v>2017</v>
      </c>
      <c r="AV803">
        <v>122</v>
      </c>
      <c r="AW803">
        <v>7</v>
      </c>
      <c r="AX803" t="s">
        <v>74</v>
      </c>
      <c r="AY803" t="s">
        <v>74</v>
      </c>
      <c r="AZ803" t="s">
        <v>74</v>
      </c>
      <c r="BA803" t="s">
        <v>74</v>
      </c>
      <c r="BB803">
        <v>5306</v>
      </c>
      <c r="BC803">
        <v>5315</v>
      </c>
      <c r="BD803" t="s">
        <v>74</v>
      </c>
      <c r="BE803" t="s">
        <v>15389</v>
      </c>
      <c r="BF803" t="str">
        <f>HYPERLINK("http://dx.doi.org/10.1002/2017JC012840","http://dx.doi.org/10.1002/2017JC012840")</f>
        <v>http://dx.doi.org/10.1002/2017JC012840</v>
      </c>
      <c r="BG803" t="s">
        <v>74</v>
      </c>
      <c r="BH803" t="s">
        <v>74</v>
      </c>
      <c r="BI803">
        <v>10</v>
      </c>
      <c r="BJ803" t="s">
        <v>1459</v>
      </c>
      <c r="BK803" t="s">
        <v>101</v>
      </c>
      <c r="BL803" t="s">
        <v>1459</v>
      </c>
      <c r="BM803" t="s">
        <v>15373</v>
      </c>
      <c r="BN803" t="s">
        <v>74</v>
      </c>
      <c r="BO803" t="s">
        <v>104</v>
      </c>
      <c r="BP803" t="s">
        <v>74</v>
      </c>
      <c r="BQ803" t="s">
        <v>74</v>
      </c>
      <c r="BR803" t="s">
        <v>105</v>
      </c>
      <c r="BS803" t="s">
        <v>15390</v>
      </c>
      <c r="BT803" t="str">
        <f>HYPERLINK("https%3A%2F%2Fwww.webofscience.com%2Fwos%2Fwoscc%2Ffull-record%2FWOS:000409893600006","View Full Record in Web of Science")</f>
        <v>View Full Record in Web of Science</v>
      </c>
    </row>
    <row r="804" spans="1:72" x14ac:dyDescent="0.15">
      <c r="A804" t="s">
        <v>72</v>
      </c>
      <c r="B804" t="s">
        <v>15391</v>
      </c>
      <c r="C804" t="s">
        <v>74</v>
      </c>
      <c r="D804" t="s">
        <v>74</v>
      </c>
      <c r="E804" t="s">
        <v>74</v>
      </c>
      <c r="F804" t="s">
        <v>15392</v>
      </c>
      <c r="G804" t="s">
        <v>74</v>
      </c>
      <c r="H804" t="s">
        <v>74</v>
      </c>
      <c r="I804" t="s">
        <v>15393</v>
      </c>
      <c r="J804" t="s">
        <v>1441</v>
      </c>
      <c r="K804" t="s">
        <v>74</v>
      </c>
      <c r="L804" t="s">
        <v>74</v>
      </c>
      <c r="M804" t="s">
        <v>78</v>
      </c>
      <c r="N804" t="s">
        <v>79</v>
      </c>
      <c r="O804" t="s">
        <v>74</v>
      </c>
      <c r="P804" t="s">
        <v>74</v>
      </c>
      <c r="Q804" t="s">
        <v>74</v>
      </c>
      <c r="R804" t="s">
        <v>74</v>
      </c>
      <c r="S804" t="s">
        <v>74</v>
      </c>
      <c r="T804" t="s">
        <v>74</v>
      </c>
      <c r="U804" t="s">
        <v>15394</v>
      </c>
      <c r="V804" t="s">
        <v>15395</v>
      </c>
      <c r="W804" t="s">
        <v>15396</v>
      </c>
      <c r="X804" t="s">
        <v>15397</v>
      </c>
      <c r="Y804" t="s">
        <v>15398</v>
      </c>
      <c r="Z804" t="s">
        <v>15399</v>
      </c>
      <c r="AA804" t="s">
        <v>15400</v>
      </c>
      <c r="AB804" t="s">
        <v>15401</v>
      </c>
      <c r="AC804" t="s">
        <v>15402</v>
      </c>
      <c r="AD804" t="s">
        <v>15403</v>
      </c>
      <c r="AE804" t="s">
        <v>15404</v>
      </c>
      <c r="AF804" t="s">
        <v>74</v>
      </c>
      <c r="AG804">
        <v>45</v>
      </c>
      <c r="AH804">
        <v>10</v>
      </c>
      <c r="AI804">
        <v>11</v>
      </c>
      <c r="AJ804">
        <v>0</v>
      </c>
      <c r="AK804">
        <v>13</v>
      </c>
      <c r="AL804" t="s">
        <v>91</v>
      </c>
      <c r="AM804" t="s">
        <v>92</v>
      </c>
      <c r="AN804" t="s">
        <v>93</v>
      </c>
      <c r="AO804" t="s">
        <v>1454</v>
      </c>
      <c r="AP804" t="s">
        <v>1455</v>
      </c>
      <c r="AQ804" t="s">
        <v>74</v>
      </c>
      <c r="AR804" t="s">
        <v>1456</v>
      </c>
      <c r="AS804" t="s">
        <v>1457</v>
      </c>
      <c r="AT804" t="s">
        <v>15076</v>
      </c>
      <c r="AU804">
        <v>2017</v>
      </c>
      <c r="AV804">
        <v>122</v>
      </c>
      <c r="AW804">
        <v>7</v>
      </c>
      <c r="AX804" t="s">
        <v>74</v>
      </c>
      <c r="AY804" t="s">
        <v>74</v>
      </c>
      <c r="AZ804" t="s">
        <v>74</v>
      </c>
      <c r="BA804" t="s">
        <v>74</v>
      </c>
      <c r="BB804">
        <v>5611</v>
      </c>
      <c r="BC804">
        <v>5623</v>
      </c>
      <c r="BD804" t="s">
        <v>74</v>
      </c>
      <c r="BE804" t="s">
        <v>15405</v>
      </c>
      <c r="BF804" t="str">
        <f>HYPERLINK("http://dx.doi.org/10.1002/2017JC012706","http://dx.doi.org/10.1002/2017JC012706")</f>
        <v>http://dx.doi.org/10.1002/2017JC012706</v>
      </c>
      <c r="BG804" t="s">
        <v>74</v>
      </c>
      <c r="BH804" t="s">
        <v>74</v>
      </c>
      <c r="BI804">
        <v>13</v>
      </c>
      <c r="BJ804" t="s">
        <v>1459</v>
      </c>
      <c r="BK804" t="s">
        <v>101</v>
      </c>
      <c r="BL804" t="s">
        <v>1459</v>
      </c>
      <c r="BM804" t="s">
        <v>15373</v>
      </c>
      <c r="BN804" t="s">
        <v>74</v>
      </c>
      <c r="BO804" t="s">
        <v>104</v>
      </c>
      <c r="BP804" t="s">
        <v>74</v>
      </c>
      <c r="BQ804" t="s">
        <v>74</v>
      </c>
      <c r="BR804" t="s">
        <v>105</v>
      </c>
      <c r="BS804" t="s">
        <v>15406</v>
      </c>
      <c r="BT804" t="str">
        <f>HYPERLINK("https%3A%2F%2Fwww.webofscience.com%2Fwos%2Fwoscc%2Ffull-record%2FWOS:000409893600023","View Full Record in Web of Science")</f>
        <v>View Full Record in Web of Science</v>
      </c>
    </row>
    <row r="805" spans="1:72" x14ac:dyDescent="0.15">
      <c r="A805" t="s">
        <v>72</v>
      </c>
      <c r="B805" t="s">
        <v>15407</v>
      </c>
      <c r="C805" t="s">
        <v>74</v>
      </c>
      <c r="D805" t="s">
        <v>74</v>
      </c>
      <c r="E805" t="s">
        <v>74</v>
      </c>
      <c r="F805" t="s">
        <v>15408</v>
      </c>
      <c r="G805" t="s">
        <v>74</v>
      </c>
      <c r="H805" t="s">
        <v>74</v>
      </c>
      <c r="I805" t="s">
        <v>15409</v>
      </c>
      <c r="J805" t="s">
        <v>1441</v>
      </c>
      <c r="K805" t="s">
        <v>74</v>
      </c>
      <c r="L805" t="s">
        <v>74</v>
      </c>
      <c r="M805" t="s">
        <v>78</v>
      </c>
      <c r="N805" t="s">
        <v>79</v>
      </c>
      <c r="O805" t="s">
        <v>74</v>
      </c>
      <c r="P805" t="s">
        <v>74</v>
      </c>
      <c r="Q805" t="s">
        <v>74</v>
      </c>
      <c r="R805" t="s">
        <v>74</v>
      </c>
      <c r="S805" t="s">
        <v>74</v>
      </c>
      <c r="T805" t="s">
        <v>74</v>
      </c>
      <c r="U805" t="s">
        <v>15410</v>
      </c>
      <c r="V805" t="s">
        <v>15411</v>
      </c>
      <c r="W805" t="s">
        <v>15412</v>
      </c>
      <c r="X805" t="s">
        <v>3617</v>
      </c>
      <c r="Y805" t="s">
        <v>15413</v>
      </c>
      <c r="Z805" t="s">
        <v>15414</v>
      </c>
      <c r="AA805" t="s">
        <v>15415</v>
      </c>
      <c r="AB805" t="s">
        <v>15416</v>
      </c>
      <c r="AC805" t="s">
        <v>15417</v>
      </c>
      <c r="AD805" t="s">
        <v>15418</v>
      </c>
      <c r="AE805" t="s">
        <v>15419</v>
      </c>
      <c r="AF805" t="s">
        <v>74</v>
      </c>
      <c r="AG805">
        <v>25</v>
      </c>
      <c r="AH805">
        <v>4</v>
      </c>
      <c r="AI805">
        <v>4</v>
      </c>
      <c r="AJ805">
        <v>1</v>
      </c>
      <c r="AK805">
        <v>5</v>
      </c>
      <c r="AL805" t="s">
        <v>91</v>
      </c>
      <c r="AM805" t="s">
        <v>92</v>
      </c>
      <c r="AN805" t="s">
        <v>93</v>
      </c>
      <c r="AO805" t="s">
        <v>1454</v>
      </c>
      <c r="AP805" t="s">
        <v>1455</v>
      </c>
      <c r="AQ805" t="s">
        <v>74</v>
      </c>
      <c r="AR805" t="s">
        <v>1456</v>
      </c>
      <c r="AS805" t="s">
        <v>1457</v>
      </c>
      <c r="AT805" t="s">
        <v>15076</v>
      </c>
      <c r="AU805">
        <v>2017</v>
      </c>
      <c r="AV805">
        <v>122</v>
      </c>
      <c r="AW805">
        <v>7</v>
      </c>
      <c r="AX805" t="s">
        <v>74</v>
      </c>
      <c r="AY805" t="s">
        <v>74</v>
      </c>
      <c r="AZ805" t="s">
        <v>74</v>
      </c>
      <c r="BA805" t="s">
        <v>74</v>
      </c>
      <c r="BB805">
        <v>5708</v>
      </c>
      <c r="BC805">
        <v>5728</v>
      </c>
      <c r="BD805" t="s">
        <v>74</v>
      </c>
      <c r="BE805" t="s">
        <v>15420</v>
      </c>
      <c r="BF805" t="str">
        <f>HYPERLINK("http://dx.doi.org/10.1002/2017JC012708","http://dx.doi.org/10.1002/2017JC012708")</f>
        <v>http://dx.doi.org/10.1002/2017JC012708</v>
      </c>
      <c r="BG805" t="s">
        <v>74</v>
      </c>
      <c r="BH805" t="s">
        <v>74</v>
      </c>
      <c r="BI805">
        <v>21</v>
      </c>
      <c r="BJ805" t="s">
        <v>1459</v>
      </c>
      <c r="BK805" t="s">
        <v>101</v>
      </c>
      <c r="BL805" t="s">
        <v>1459</v>
      </c>
      <c r="BM805" t="s">
        <v>15373</v>
      </c>
      <c r="BN805" t="s">
        <v>74</v>
      </c>
      <c r="BO805" t="s">
        <v>5215</v>
      </c>
      <c r="BP805" t="s">
        <v>74</v>
      </c>
      <c r="BQ805" t="s">
        <v>74</v>
      </c>
      <c r="BR805" t="s">
        <v>105</v>
      </c>
      <c r="BS805" t="s">
        <v>15421</v>
      </c>
      <c r="BT805" t="str">
        <f>HYPERLINK("https%3A%2F%2Fwww.webofscience.com%2Fwos%2Fwoscc%2Ffull-record%2FWOS:000409893600029","View Full Record in Web of Science")</f>
        <v>View Full Record in Web of Science</v>
      </c>
    </row>
    <row r="806" spans="1:72" x14ac:dyDescent="0.15">
      <c r="A806" t="s">
        <v>72</v>
      </c>
      <c r="B806" t="s">
        <v>15422</v>
      </c>
      <c r="C806" t="s">
        <v>74</v>
      </c>
      <c r="D806" t="s">
        <v>74</v>
      </c>
      <c r="E806" t="s">
        <v>74</v>
      </c>
      <c r="F806" t="s">
        <v>15423</v>
      </c>
      <c r="G806" t="s">
        <v>74</v>
      </c>
      <c r="H806" t="s">
        <v>74</v>
      </c>
      <c r="I806" t="s">
        <v>15424</v>
      </c>
      <c r="J806" t="s">
        <v>1441</v>
      </c>
      <c r="K806" t="s">
        <v>74</v>
      </c>
      <c r="L806" t="s">
        <v>74</v>
      </c>
      <c r="M806" t="s">
        <v>78</v>
      </c>
      <c r="N806" t="s">
        <v>79</v>
      </c>
      <c r="O806" t="s">
        <v>74</v>
      </c>
      <c r="P806" t="s">
        <v>74</v>
      </c>
      <c r="Q806" t="s">
        <v>74</v>
      </c>
      <c r="R806" t="s">
        <v>74</v>
      </c>
      <c r="S806" t="s">
        <v>74</v>
      </c>
      <c r="T806" t="s">
        <v>74</v>
      </c>
      <c r="U806" t="s">
        <v>15425</v>
      </c>
      <c r="V806" t="s">
        <v>15426</v>
      </c>
      <c r="W806" t="s">
        <v>15427</v>
      </c>
      <c r="X806" t="s">
        <v>15428</v>
      </c>
      <c r="Y806" t="s">
        <v>15429</v>
      </c>
      <c r="Z806" t="s">
        <v>15430</v>
      </c>
      <c r="AA806" t="s">
        <v>15431</v>
      </c>
      <c r="AB806" t="s">
        <v>15432</v>
      </c>
      <c r="AC806" t="s">
        <v>15433</v>
      </c>
      <c r="AD806" t="s">
        <v>15434</v>
      </c>
      <c r="AE806" t="s">
        <v>15435</v>
      </c>
      <c r="AF806" t="s">
        <v>74</v>
      </c>
      <c r="AG806">
        <v>52</v>
      </c>
      <c r="AH806">
        <v>31</v>
      </c>
      <c r="AI806">
        <v>33</v>
      </c>
      <c r="AJ806">
        <v>0</v>
      </c>
      <c r="AK806">
        <v>13</v>
      </c>
      <c r="AL806" t="s">
        <v>91</v>
      </c>
      <c r="AM806" t="s">
        <v>92</v>
      </c>
      <c r="AN806" t="s">
        <v>93</v>
      </c>
      <c r="AO806" t="s">
        <v>1454</v>
      </c>
      <c r="AP806" t="s">
        <v>1455</v>
      </c>
      <c r="AQ806" t="s">
        <v>74</v>
      </c>
      <c r="AR806" t="s">
        <v>1456</v>
      </c>
      <c r="AS806" t="s">
        <v>1457</v>
      </c>
      <c r="AT806" t="s">
        <v>15076</v>
      </c>
      <c r="AU806">
        <v>2017</v>
      </c>
      <c r="AV806">
        <v>122</v>
      </c>
      <c r="AW806">
        <v>7</v>
      </c>
      <c r="AX806" t="s">
        <v>74</v>
      </c>
      <c r="AY806" t="s">
        <v>74</v>
      </c>
      <c r="AZ806" t="s">
        <v>74</v>
      </c>
      <c r="BA806" t="s">
        <v>74</v>
      </c>
      <c r="BB806">
        <v>5786</v>
      </c>
      <c r="BC806">
        <v>5801</v>
      </c>
      <c r="BD806" t="s">
        <v>74</v>
      </c>
      <c r="BE806" t="s">
        <v>15436</v>
      </c>
      <c r="BF806" t="str">
        <f>HYPERLINK("http://dx.doi.org/10.1002/2017JC012913","http://dx.doi.org/10.1002/2017JC012913")</f>
        <v>http://dx.doi.org/10.1002/2017JC012913</v>
      </c>
      <c r="BG806" t="s">
        <v>74</v>
      </c>
      <c r="BH806" t="s">
        <v>74</v>
      </c>
      <c r="BI806">
        <v>16</v>
      </c>
      <c r="BJ806" t="s">
        <v>1459</v>
      </c>
      <c r="BK806" t="s">
        <v>101</v>
      </c>
      <c r="BL806" t="s">
        <v>1459</v>
      </c>
      <c r="BM806" t="s">
        <v>15373</v>
      </c>
      <c r="BN806" t="s">
        <v>74</v>
      </c>
      <c r="BO806" t="s">
        <v>1170</v>
      </c>
      <c r="BP806" t="s">
        <v>74</v>
      </c>
      <c r="BQ806" t="s">
        <v>74</v>
      </c>
      <c r="BR806" t="s">
        <v>105</v>
      </c>
      <c r="BS806" t="s">
        <v>15437</v>
      </c>
      <c r="BT806" t="str">
        <f>HYPERLINK("https%3A%2F%2Fwww.webofscience.com%2Fwos%2Fwoscc%2Ffull-record%2FWOS:000409893600033","View Full Record in Web of Science")</f>
        <v>View Full Record in Web of Science</v>
      </c>
    </row>
    <row r="807" spans="1:72" x14ac:dyDescent="0.15">
      <c r="A807" t="s">
        <v>72</v>
      </c>
      <c r="B807" t="s">
        <v>15438</v>
      </c>
      <c r="C807" t="s">
        <v>74</v>
      </c>
      <c r="D807" t="s">
        <v>74</v>
      </c>
      <c r="E807" t="s">
        <v>74</v>
      </c>
      <c r="F807" t="s">
        <v>15439</v>
      </c>
      <c r="G807" t="s">
        <v>74</v>
      </c>
      <c r="H807" t="s">
        <v>74</v>
      </c>
      <c r="I807" t="s">
        <v>15440</v>
      </c>
      <c r="J807" t="s">
        <v>15441</v>
      </c>
      <c r="K807" t="s">
        <v>74</v>
      </c>
      <c r="L807" t="s">
        <v>74</v>
      </c>
      <c r="M807" t="s">
        <v>78</v>
      </c>
      <c r="N807" t="s">
        <v>79</v>
      </c>
      <c r="O807" t="s">
        <v>74</v>
      </c>
      <c r="P807" t="s">
        <v>74</v>
      </c>
      <c r="Q807" t="s">
        <v>74</v>
      </c>
      <c r="R807" t="s">
        <v>74</v>
      </c>
      <c r="S807" t="s">
        <v>74</v>
      </c>
      <c r="T807" t="s">
        <v>15442</v>
      </c>
      <c r="U807" t="s">
        <v>15443</v>
      </c>
      <c r="V807" t="s">
        <v>15444</v>
      </c>
      <c r="W807" t="s">
        <v>15445</v>
      </c>
      <c r="X807" t="s">
        <v>15446</v>
      </c>
      <c r="Y807" t="s">
        <v>15447</v>
      </c>
      <c r="Z807" t="s">
        <v>6942</v>
      </c>
      <c r="AA807" t="s">
        <v>74</v>
      </c>
      <c r="AB807" t="s">
        <v>74</v>
      </c>
      <c r="AC807" t="s">
        <v>74</v>
      </c>
      <c r="AD807" t="s">
        <v>74</v>
      </c>
      <c r="AE807" t="s">
        <v>74</v>
      </c>
      <c r="AF807" t="s">
        <v>74</v>
      </c>
      <c r="AG807">
        <v>81</v>
      </c>
      <c r="AH807">
        <v>4</v>
      </c>
      <c r="AI807">
        <v>5</v>
      </c>
      <c r="AJ807">
        <v>1</v>
      </c>
      <c r="AK807">
        <v>9</v>
      </c>
      <c r="AL807" t="s">
        <v>1942</v>
      </c>
      <c r="AM807" t="s">
        <v>182</v>
      </c>
      <c r="AN807" t="s">
        <v>3251</v>
      </c>
      <c r="AO807" t="s">
        <v>15448</v>
      </c>
      <c r="AP807" t="s">
        <v>15449</v>
      </c>
      <c r="AQ807" t="s">
        <v>74</v>
      </c>
      <c r="AR807" t="s">
        <v>15450</v>
      </c>
      <c r="AS807" t="s">
        <v>15451</v>
      </c>
      <c r="AT807" t="s">
        <v>15076</v>
      </c>
      <c r="AU807">
        <v>2017</v>
      </c>
      <c r="AV807">
        <v>163</v>
      </c>
      <c r="AW807">
        <v>7</v>
      </c>
      <c r="AX807" t="s">
        <v>74</v>
      </c>
      <c r="AY807" t="s">
        <v>74</v>
      </c>
      <c r="AZ807" t="s">
        <v>74</v>
      </c>
      <c r="BA807" t="s">
        <v>74</v>
      </c>
      <c r="BB807">
        <v>1042</v>
      </c>
      <c r="BC807">
        <v>1051</v>
      </c>
      <c r="BD807" t="s">
        <v>74</v>
      </c>
      <c r="BE807" t="s">
        <v>15452</v>
      </c>
      <c r="BF807" t="str">
        <f>HYPERLINK("http://dx.doi.org/10.1099/mic.0.000486","http://dx.doi.org/10.1099/mic.0.000486")</f>
        <v>http://dx.doi.org/10.1099/mic.0.000486</v>
      </c>
      <c r="BG807" t="s">
        <v>74</v>
      </c>
      <c r="BH807" t="s">
        <v>74</v>
      </c>
      <c r="BI807">
        <v>10</v>
      </c>
      <c r="BJ807" t="s">
        <v>457</v>
      </c>
      <c r="BK807" t="s">
        <v>101</v>
      </c>
      <c r="BL807" t="s">
        <v>457</v>
      </c>
      <c r="BM807" t="s">
        <v>15453</v>
      </c>
      <c r="BN807">
        <v>28691665</v>
      </c>
      <c r="BO807" t="s">
        <v>104</v>
      </c>
      <c r="BP807" t="s">
        <v>74</v>
      </c>
      <c r="BQ807" t="s">
        <v>74</v>
      </c>
      <c r="BR807" t="s">
        <v>105</v>
      </c>
      <c r="BS807" t="s">
        <v>15454</v>
      </c>
      <c r="BT807" t="str">
        <f>HYPERLINK("https%3A%2F%2Fwww.webofscience.com%2Fwos%2Fwoscc%2Ffull-record%2FWOS:000409533400011","View Full Record in Web of Science")</f>
        <v>View Full Record in Web of Science</v>
      </c>
    </row>
    <row r="808" spans="1:72" x14ac:dyDescent="0.15">
      <c r="A808" t="s">
        <v>72</v>
      </c>
      <c r="B808" t="s">
        <v>15455</v>
      </c>
      <c r="C808" t="s">
        <v>74</v>
      </c>
      <c r="D808" t="s">
        <v>74</v>
      </c>
      <c r="E808" t="s">
        <v>74</v>
      </c>
      <c r="F808" t="s">
        <v>15456</v>
      </c>
      <c r="G808" t="s">
        <v>74</v>
      </c>
      <c r="H808" t="s">
        <v>74</v>
      </c>
      <c r="I808" t="s">
        <v>15457</v>
      </c>
      <c r="J808" t="s">
        <v>15458</v>
      </c>
      <c r="K808" t="s">
        <v>74</v>
      </c>
      <c r="L808" t="s">
        <v>74</v>
      </c>
      <c r="M808" t="s">
        <v>78</v>
      </c>
      <c r="N808" t="s">
        <v>79</v>
      </c>
      <c r="O808" t="s">
        <v>74</v>
      </c>
      <c r="P808" t="s">
        <v>74</v>
      </c>
      <c r="Q808" t="s">
        <v>74</v>
      </c>
      <c r="R808" t="s">
        <v>74</v>
      </c>
      <c r="S808" t="s">
        <v>74</v>
      </c>
      <c r="T808" t="s">
        <v>15459</v>
      </c>
      <c r="U808" t="s">
        <v>15460</v>
      </c>
      <c r="V808" t="s">
        <v>15461</v>
      </c>
      <c r="W808" t="s">
        <v>15462</v>
      </c>
      <c r="X808" t="s">
        <v>15463</v>
      </c>
      <c r="Y808" t="s">
        <v>15464</v>
      </c>
      <c r="Z808" t="s">
        <v>15465</v>
      </c>
      <c r="AA808" t="s">
        <v>15466</v>
      </c>
      <c r="AB808" t="s">
        <v>15467</v>
      </c>
      <c r="AC808" t="s">
        <v>15468</v>
      </c>
      <c r="AD808" t="s">
        <v>15469</v>
      </c>
      <c r="AE808" t="s">
        <v>15470</v>
      </c>
      <c r="AF808" t="s">
        <v>74</v>
      </c>
      <c r="AG808">
        <v>101</v>
      </c>
      <c r="AH808">
        <v>13</v>
      </c>
      <c r="AI808">
        <v>14</v>
      </c>
      <c r="AJ808">
        <v>0</v>
      </c>
      <c r="AK808">
        <v>23</v>
      </c>
      <c r="AL808" t="s">
        <v>15471</v>
      </c>
      <c r="AM808" t="s">
        <v>15472</v>
      </c>
      <c r="AN808" t="s">
        <v>15473</v>
      </c>
      <c r="AO808" t="s">
        <v>15474</v>
      </c>
      <c r="AP808" t="s">
        <v>74</v>
      </c>
      <c r="AQ808" t="s">
        <v>74</v>
      </c>
      <c r="AR808" t="s">
        <v>15475</v>
      </c>
      <c r="AS808" t="s">
        <v>15476</v>
      </c>
      <c r="AT808" t="s">
        <v>15076</v>
      </c>
      <c r="AU808">
        <v>2017</v>
      </c>
      <c r="AV808">
        <v>58</v>
      </c>
      <c r="AW808">
        <v>2</v>
      </c>
      <c r="AX808" t="s">
        <v>74</v>
      </c>
      <c r="AY808" t="s">
        <v>74</v>
      </c>
      <c r="AZ808" t="s">
        <v>74</v>
      </c>
      <c r="BA808" t="s">
        <v>74</v>
      </c>
      <c r="BB808">
        <v>251</v>
      </c>
      <c r="BC808">
        <v>269</v>
      </c>
      <c r="BD808" t="s">
        <v>74</v>
      </c>
      <c r="BE808" t="s">
        <v>74</v>
      </c>
      <c r="BF808" t="s">
        <v>74</v>
      </c>
      <c r="BG808" t="s">
        <v>74</v>
      </c>
      <c r="BH808" t="s">
        <v>74</v>
      </c>
      <c r="BI808">
        <v>19</v>
      </c>
      <c r="BJ808" t="s">
        <v>1047</v>
      </c>
      <c r="BK808" t="s">
        <v>101</v>
      </c>
      <c r="BL808" t="s">
        <v>1048</v>
      </c>
      <c r="BM808" t="s">
        <v>15477</v>
      </c>
      <c r="BN808" t="s">
        <v>74</v>
      </c>
      <c r="BO808" t="s">
        <v>74</v>
      </c>
      <c r="BP808" t="s">
        <v>74</v>
      </c>
      <c r="BQ808" t="s">
        <v>74</v>
      </c>
      <c r="BR808" t="s">
        <v>105</v>
      </c>
      <c r="BS808" t="s">
        <v>15478</v>
      </c>
      <c r="BT808" t="str">
        <f>HYPERLINK("https%3A%2F%2Fwww.webofscience.com%2Fwos%2Fwoscc%2Ffull-record%2FWOS:000409434700004","View Full Record in Web of Science")</f>
        <v>View Full Record in Web of Science</v>
      </c>
    </row>
    <row r="809" spans="1:72" x14ac:dyDescent="0.15">
      <c r="A809" t="s">
        <v>72</v>
      </c>
      <c r="B809" t="s">
        <v>15479</v>
      </c>
      <c r="C809" t="s">
        <v>74</v>
      </c>
      <c r="D809" t="s">
        <v>74</v>
      </c>
      <c r="E809" t="s">
        <v>74</v>
      </c>
      <c r="F809" t="s">
        <v>15480</v>
      </c>
      <c r="G809" t="s">
        <v>74</v>
      </c>
      <c r="H809" t="s">
        <v>74</v>
      </c>
      <c r="I809" t="s">
        <v>15481</v>
      </c>
      <c r="J809" t="s">
        <v>15482</v>
      </c>
      <c r="K809" t="s">
        <v>74</v>
      </c>
      <c r="L809" t="s">
        <v>74</v>
      </c>
      <c r="M809" t="s">
        <v>78</v>
      </c>
      <c r="N809" t="s">
        <v>79</v>
      </c>
      <c r="O809" t="s">
        <v>74</v>
      </c>
      <c r="P809" t="s">
        <v>74</v>
      </c>
      <c r="Q809" t="s">
        <v>74</v>
      </c>
      <c r="R809" t="s">
        <v>74</v>
      </c>
      <c r="S809" t="s">
        <v>74</v>
      </c>
      <c r="T809" t="s">
        <v>15483</v>
      </c>
      <c r="U809" t="s">
        <v>15484</v>
      </c>
      <c r="V809" t="s">
        <v>15485</v>
      </c>
      <c r="W809" t="s">
        <v>15486</v>
      </c>
      <c r="X809" t="s">
        <v>15487</v>
      </c>
      <c r="Y809" t="s">
        <v>15488</v>
      </c>
      <c r="Z809" t="s">
        <v>15489</v>
      </c>
      <c r="AA809" t="s">
        <v>15490</v>
      </c>
      <c r="AB809" t="s">
        <v>15491</v>
      </c>
      <c r="AC809" t="s">
        <v>74</v>
      </c>
      <c r="AD809" t="s">
        <v>74</v>
      </c>
      <c r="AE809" t="s">
        <v>74</v>
      </c>
      <c r="AF809" t="s">
        <v>74</v>
      </c>
      <c r="AG809">
        <v>59</v>
      </c>
      <c r="AH809">
        <v>6</v>
      </c>
      <c r="AI809">
        <v>6</v>
      </c>
      <c r="AJ809">
        <v>0</v>
      </c>
      <c r="AK809">
        <v>9</v>
      </c>
      <c r="AL809" t="s">
        <v>5970</v>
      </c>
      <c r="AM809" t="s">
        <v>209</v>
      </c>
      <c r="AN809" t="s">
        <v>5971</v>
      </c>
      <c r="AO809" t="s">
        <v>15492</v>
      </c>
      <c r="AP809" t="s">
        <v>15493</v>
      </c>
      <c r="AQ809" t="s">
        <v>74</v>
      </c>
      <c r="AR809" t="s">
        <v>15494</v>
      </c>
      <c r="AS809" t="s">
        <v>15495</v>
      </c>
      <c r="AT809" t="s">
        <v>15076</v>
      </c>
      <c r="AU809">
        <v>2017</v>
      </c>
      <c r="AV809">
        <v>10</v>
      </c>
      <c r="AW809">
        <v>4</v>
      </c>
      <c r="AX809" t="s">
        <v>74</v>
      </c>
      <c r="AY809" t="s">
        <v>74</v>
      </c>
      <c r="AZ809" t="s">
        <v>74</v>
      </c>
      <c r="BA809" t="s">
        <v>74</v>
      </c>
      <c r="BB809">
        <v>395</v>
      </c>
      <c r="BC809">
        <v>410</v>
      </c>
      <c r="BD809" t="s">
        <v>74</v>
      </c>
      <c r="BE809" t="s">
        <v>15496</v>
      </c>
      <c r="BF809" t="str">
        <f>HYPERLINK("http://dx.doi.org/10.1134/S1995425517040084","http://dx.doi.org/10.1134/S1995425517040084")</f>
        <v>http://dx.doi.org/10.1134/S1995425517040084</v>
      </c>
      <c r="BG809" t="s">
        <v>74</v>
      </c>
      <c r="BH809" t="s">
        <v>74</v>
      </c>
      <c r="BI809">
        <v>16</v>
      </c>
      <c r="BJ809" t="s">
        <v>1047</v>
      </c>
      <c r="BK809" t="s">
        <v>101</v>
      </c>
      <c r="BL809" t="s">
        <v>1048</v>
      </c>
      <c r="BM809" t="s">
        <v>15497</v>
      </c>
      <c r="BN809" t="s">
        <v>74</v>
      </c>
      <c r="BO809" t="s">
        <v>74</v>
      </c>
      <c r="BP809" t="s">
        <v>74</v>
      </c>
      <c r="BQ809" t="s">
        <v>74</v>
      </c>
      <c r="BR809" t="s">
        <v>105</v>
      </c>
      <c r="BS809" t="s">
        <v>15498</v>
      </c>
      <c r="BT809" t="str">
        <f>HYPERLINK("https%3A%2F%2Fwww.webofscience.com%2Fwos%2Fwoscc%2Ffull-record%2FWOS:000408341500007","View Full Record in Web of Science")</f>
        <v>View Full Record in Web of Science</v>
      </c>
    </row>
    <row r="810" spans="1:72" x14ac:dyDescent="0.15">
      <c r="A810" t="s">
        <v>72</v>
      </c>
      <c r="B810" t="s">
        <v>15499</v>
      </c>
      <c r="C810" t="s">
        <v>74</v>
      </c>
      <c r="D810" t="s">
        <v>74</v>
      </c>
      <c r="E810" t="s">
        <v>74</v>
      </c>
      <c r="F810" t="s">
        <v>15500</v>
      </c>
      <c r="G810" t="s">
        <v>74</v>
      </c>
      <c r="H810" t="s">
        <v>74</v>
      </c>
      <c r="I810" t="s">
        <v>15501</v>
      </c>
      <c r="J810" t="s">
        <v>15502</v>
      </c>
      <c r="K810" t="s">
        <v>74</v>
      </c>
      <c r="L810" t="s">
        <v>74</v>
      </c>
      <c r="M810" t="s">
        <v>78</v>
      </c>
      <c r="N810" t="s">
        <v>79</v>
      </c>
      <c r="O810" t="s">
        <v>74</v>
      </c>
      <c r="P810" t="s">
        <v>74</v>
      </c>
      <c r="Q810" t="s">
        <v>74</v>
      </c>
      <c r="R810" t="s">
        <v>74</v>
      </c>
      <c r="S810" t="s">
        <v>74</v>
      </c>
      <c r="T810" t="s">
        <v>15503</v>
      </c>
      <c r="U810" t="s">
        <v>15504</v>
      </c>
      <c r="V810" t="s">
        <v>15505</v>
      </c>
      <c r="W810" t="s">
        <v>15506</v>
      </c>
      <c r="X810" t="s">
        <v>15507</v>
      </c>
      <c r="Y810" t="s">
        <v>15508</v>
      </c>
      <c r="Z810" t="s">
        <v>15509</v>
      </c>
      <c r="AA810" t="s">
        <v>15510</v>
      </c>
      <c r="AB810" t="s">
        <v>15511</v>
      </c>
      <c r="AC810" t="s">
        <v>15512</v>
      </c>
      <c r="AD810" t="s">
        <v>15513</v>
      </c>
      <c r="AE810" t="s">
        <v>15514</v>
      </c>
      <c r="AF810" t="s">
        <v>74</v>
      </c>
      <c r="AG810">
        <v>52</v>
      </c>
      <c r="AH810">
        <v>8</v>
      </c>
      <c r="AI810">
        <v>8</v>
      </c>
      <c r="AJ810">
        <v>1</v>
      </c>
      <c r="AK810">
        <v>6</v>
      </c>
      <c r="AL810" t="s">
        <v>3142</v>
      </c>
      <c r="AM810" t="s">
        <v>3143</v>
      </c>
      <c r="AN810" t="s">
        <v>3144</v>
      </c>
      <c r="AO810" t="s">
        <v>15515</v>
      </c>
      <c r="AP810" t="s">
        <v>15516</v>
      </c>
      <c r="AQ810" t="s">
        <v>74</v>
      </c>
      <c r="AR810" t="s">
        <v>15502</v>
      </c>
      <c r="AS810" t="s">
        <v>15517</v>
      </c>
      <c r="AT810" t="s">
        <v>15076</v>
      </c>
      <c r="AU810">
        <v>2017</v>
      </c>
      <c r="AV810">
        <v>92</v>
      </c>
      <c r="AW810" t="s">
        <v>74</v>
      </c>
      <c r="AX810" t="s">
        <v>74</v>
      </c>
      <c r="AY810" t="s">
        <v>74</v>
      </c>
      <c r="AZ810" t="s">
        <v>74</v>
      </c>
      <c r="BA810" t="s">
        <v>74</v>
      </c>
      <c r="BB810">
        <v>49</v>
      </c>
      <c r="BC810">
        <v>56</v>
      </c>
      <c r="BD810" t="s">
        <v>74</v>
      </c>
      <c r="BE810" t="s">
        <v>15518</v>
      </c>
      <c r="BF810" t="str">
        <f>HYPERLINK("http://dx.doi.org/10.1016/j.plasmid.2017.08.001","http://dx.doi.org/10.1016/j.plasmid.2017.08.001")</f>
        <v>http://dx.doi.org/10.1016/j.plasmid.2017.08.001</v>
      </c>
      <c r="BG810" t="s">
        <v>74</v>
      </c>
      <c r="BH810" t="s">
        <v>74</v>
      </c>
      <c r="BI810">
        <v>8</v>
      </c>
      <c r="BJ810" t="s">
        <v>5410</v>
      </c>
      <c r="BK810" t="s">
        <v>101</v>
      </c>
      <c r="BL810" t="s">
        <v>5410</v>
      </c>
      <c r="BM810" t="s">
        <v>15519</v>
      </c>
      <c r="BN810">
        <v>28802584</v>
      </c>
      <c r="BO810" t="s">
        <v>74</v>
      </c>
      <c r="BP810" t="s">
        <v>74</v>
      </c>
      <c r="BQ810" t="s">
        <v>74</v>
      </c>
      <c r="BR810" t="s">
        <v>105</v>
      </c>
      <c r="BS810" t="s">
        <v>15520</v>
      </c>
      <c r="BT810" t="str">
        <f>HYPERLINK("https%3A%2F%2Fwww.webofscience.com%2Fwos%2Fwoscc%2Ffull-record%2FWOS:000408601600008","View Full Record in Web of Science")</f>
        <v>View Full Record in Web of Science</v>
      </c>
    </row>
    <row r="811" spans="1:72" x14ac:dyDescent="0.15">
      <c r="A811" t="s">
        <v>72</v>
      </c>
      <c r="B811" t="s">
        <v>15521</v>
      </c>
      <c r="C811" t="s">
        <v>74</v>
      </c>
      <c r="D811" t="s">
        <v>74</v>
      </c>
      <c r="E811" t="s">
        <v>74</v>
      </c>
      <c r="F811" t="s">
        <v>15522</v>
      </c>
      <c r="G811" t="s">
        <v>74</v>
      </c>
      <c r="H811" t="s">
        <v>74</v>
      </c>
      <c r="I811" t="s">
        <v>15523</v>
      </c>
      <c r="J811" t="s">
        <v>1930</v>
      </c>
      <c r="K811" t="s">
        <v>74</v>
      </c>
      <c r="L811" t="s">
        <v>74</v>
      </c>
      <c r="M811" t="s">
        <v>78</v>
      </c>
      <c r="N811" t="s">
        <v>79</v>
      </c>
      <c r="O811" t="s">
        <v>74</v>
      </c>
      <c r="P811" t="s">
        <v>74</v>
      </c>
      <c r="Q811" t="s">
        <v>74</v>
      </c>
      <c r="R811" t="s">
        <v>74</v>
      </c>
      <c r="S811" t="s">
        <v>74</v>
      </c>
      <c r="T811" t="s">
        <v>15524</v>
      </c>
      <c r="U811" t="s">
        <v>15525</v>
      </c>
      <c r="V811" t="s">
        <v>15526</v>
      </c>
      <c r="W811" t="s">
        <v>15527</v>
      </c>
      <c r="X811" t="s">
        <v>15528</v>
      </c>
      <c r="Y811" t="s">
        <v>15529</v>
      </c>
      <c r="Z811" t="s">
        <v>15530</v>
      </c>
      <c r="AA811" t="s">
        <v>15531</v>
      </c>
      <c r="AB811" t="s">
        <v>15532</v>
      </c>
      <c r="AC811" t="s">
        <v>15533</v>
      </c>
      <c r="AD811" t="s">
        <v>15534</v>
      </c>
      <c r="AE811" t="s">
        <v>15535</v>
      </c>
      <c r="AF811" t="s">
        <v>74</v>
      </c>
      <c r="AG811">
        <v>25</v>
      </c>
      <c r="AH811">
        <v>4</v>
      </c>
      <c r="AI811">
        <v>5</v>
      </c>
      <c r="AJ811">
        <v>0</v>
      </c>
      <c r="AK811">
        <v>5</v>
      </c>
      <c r="AL811" t="s">
        <v>1942</v>
      </c>
      <c r="AM811" t="s">
        <v>182</v>
      </c>
      <c r="AN811" t="s">
        <v>1943</v>
      </c>
      <c r="AO811" t="s">
        <v>1944</v>
      </c>
      <c r="AP811" t="s">
        <v>1945</v>
      </c>
      <c r="AQ811" t="s">
        <v>74</v>
      </c>
      <c r="AR811" t="s">
        <v>1946</v>
      </c>
      <c r="AS811" t="s">
        <v>1947</v>
      </c>
      <c r="AT811" t="s">
        <v>15076</v>
      </c>
      <c r="AU811">
        <v>2017</v>
      </c>
      <c r="AV811">
        <v>67</v>
      </c>
      <c r="AW811">
        <v>7</v>
      </c>
      <c r="AX811" t="s">
        <v>74</v>
      </c>
      <c r="AY811" t="s">
        <v>74</v>
      </c>
      <c r="AZ811" t="s">
        <v>74</v>
      </c>
      <c r="BA811" t="s">
        <v>74</v>
      </c>
      <c r="BB811">
        <v>2397</v>
      </c>
      <c r="BC811">
        <v>2402</v>
      </c>
      <c r="BD811" t="s">
        <v>74</v>
      </c>
      <c r="BE811" t="s">
        <v>15536</v>
      </c>
      <c r="BF811" t="str">
        <f>HYPERLINK("http://dx.doi.org/10.1099/ijsem.0.001968","http://dx.doi.org/10.1099/ijsem.0.001968")</f>
        <v>http://dx.doi.org/10.1099/ijsem.0.001968</v>
      </c>
      <c r="BG811" t="s">
        <v>74</v>
      </c>
      <c r="BH811" t="s">
        <v>74</v>
      </c>
      <c r="BI811">
        <v>6</v>
      </c>
      <c r="BJ811" t="s">
        <v>457</v>
      </c>
      <c r="BK811" t="s">
        <v>101</v>
      </c>
      <c r="BL811" t="s">
        <v>457</v>
      </c>
      <c r="BM811" t="s">
        <v>15537</v>
      </c>
      <c r="BN811">
        <v>28708058</v>
      </c>
      <c r="BO811" t="s">
        <v>104</v>
      </c>
      <c r="BP811" t="s">
        <v>74</v>
      </c>
      <c r="BQ811" t="s">
        <v>74</v>
      </c>
      <c r="BR811" t="s">
        <v>105</v>
      </c>
      <c r="BS811" t="s">
        <v>15538</v>
      </c>
      <c r="BT811" t="str">
        <f>HYPERLINK("https%3A%2F%2Fwww.webofscience.com%2Fwos%2Fwoscc%2Ffull-record%2FWOS:000408263300055","View Full Record in Web of Science")</f>
        <v>View Full Record in Web of Science</v>
      </c>
    </row>
    <row r="812" spans="1:72" x14ac:dyDescent="0.15">
      <c r="A812" t="s">
        <v>72</v>
      </c>
      <c r="B812" t="s">
        <v>15539</v>
      </c>
      <c r="C812" t="s">
        <v>74</v>
      </c>
      <c r="D812" t="s">
        <v>74</v>
      </c>
      <c r="E812" t="s">
        <v>74</v>
      </c>
      <c r="F812" t="s">
        <v>15540</v>
      </c>
      <c r="G812" t="s">
        <v>74</v>
      </c>
      <c r="H812" t="s">
        <v>74</v>
      </c>
      <c r="I812" t="s">
        <v>15541</v>
      </c>
      <c r="J812" t="s">
        <v>13286</v>
      </c>
      <c r="K812" t="s">
        <v>74</v>
      </c>
      <c r="L812" t="s">
        <v>74</v>
      </c>
      <c r="M812" t="s">
        <v>78</v>
      </c>
      <c r="N812" t="s">
        <v>79</v>
      </c>
      <c r="O812" t="s">
        <v>74</v>
      </c>
      <c r="P812" t="s">
        <v>74</v>
      </c>
      <c r="Q812" t="s">
        <v>74</v>
      </c>
      <c r="R812" t="s">
        <v>74</v>
      </c>
      <c r="S812" t="s">
        <v>74</v>
      </c>
      <c r="T812" t="s">
        <v>74</v>
      </c>
      <c r="U812" t="s">
        <v>15542</v>
      </c>
      <c r="V812" t="s">
        <v>15543</v>
      </c>
      <c r="W812" t="s">
        <v>15544</v>
      </c>
      <c r="X812" t="s">
        <v>15545</v>
      </c>
      <c r="Y812" t="s">
        <v>15546</v>
      </c>
      <c r="Z812" t="s">
        <v>15547</v>
      </c>
      <c r="AA812" t="s">
        <v>15548</v>
      </c>
      <c r="AB812" t="s">
        <v>15549</v>
      </c>
      <c r="AC812" t="s">
        <v>15550</v>
      </c>
      <c r="AD812" t="s">
        <v>15551</v>
      </c>
      <c r="AE812" t="s">
        <v>15552</v>
      </c>
      <c r="AF812" t="s">
        <v>74</v>
      </c>
      <c r="AG812">
        <v>44</v>
      </c>
      <c r="AH812">
        <v>17</v>
      </c>
      <c r="AI812">
        <v>17</v>
      </c>
      <c r="AJ812">
        <v>0</v>
      </c>
      <c r="AK812">
        <v>0</v>
      </c>
      <c r="AL812" t="s">
        <v>91</v>
      </c>
      <c r="AM812" t="s">
        <v>92</v>
      </c>
      <c r="AN812" t="s">
        <v>93</v>
      </c>
      <c r="AO812" t="s">
        <v>74</v>
      </c>
      <c r="AP812" t="s">
        <v>13298</v>
      </c>
      <c r="AQ812" t="s">
        <v>74</v>
      </c>
      <c r="AR812" t="s">
        <v>13299</v>
      </c>
      <c r="AS812" t="s">
        <v>13300</v>
      </c>
      <c r="AT812" t="s">
        <v>15076</v>
      </c>
      <c r="AU812">
        <v>2017</v>
      </c>
      <c r="AV812">
        <v>15</v>
      </c>
      <c r="AW812">
        <v>7</v>
      </c>
      <c r="AX812" t="s">
        <v>74</v>
      </c>
      <c r="AY812" t="s">
        <v>74</v>
      </c>
      <c r="AZ812" t="s">
        <v>74</v>
      </c>
      <c r="BA812" t="s">
        <v>74</v>
      </c>
      <c r="BB812">
        <v>917</v>
      </c>
      <c r="BC812">
        <v>933</v>
      </c>
      <c r="BD812" t="s">
        <v>74</v>
      </c>
      <c r="BE812" t="s">
        <v>15553</v>
      </c>
      <c r="BF812" t="str">
        <f>HYPERLINK("http://dx.doi.org/10.1002/2017SW001651","http://dx.doi.org/10.1002/2017SW001651")</f>
        <v>http://dx.doi.org/10.1002/2017SW001651</v>
      </c>
      <c r="BG812" t="s">
        <v>74</v>
      </c>
      <c r="BH812" t="s">
        <v>74</v>
      </c>
      <c r="BI812">
        <v>17</v>
      </c>
      <c r="BJ812" t="s">
        <v>13302</v>
      </c>
      <c r="BK812" t="s">
        <v>101</v>
      </c>
      <c r="BL812" t="s">
        <v>13302</v>
      </c>
      <c r="BM812" t="s">
        <v>15554</v>
      </c>
      <c r="BN812" t="s">
        <v>74</v>
      </c>
      <c r="BO812" t="s">
        <v>5215</v>
      </c>
      <c r="BP812" t="s">
        <v>74</v>
      </c>
      <c r="BQ812" t="s">
        <v>74</v>
      </c>
      <c r="BR812" t="s">
        <v>105</v>
      </c>
      <c r="BS812" t="s">
        <v>15555</v>
      </c>
      <c r="BT812" t="str">
        <f>HYPERLINK("https%3A%2F%2Fwww.webofscience.com%2Fwos%2Fwoscc%2Ffull-record%2FWOS:000407927800007","View Full Record in Web of Science")</f>
        <v>View Full Record in Web of Science</v>
      </c>
    </row>
    <row r="813" spans="1:72" x14ac:dyDescent="0.15">
      <c r="A813" t="s">
        <v>72</v>
      </c>
      <c r="B813" t="s">
        <v>15556</v>
      </c>
      <c r="C813" t="s">
        <v>74</v>
      </c>
      <c r="D813" t="s">
        <v>74</v>
      </c>
      <c r="E813" t="s">
        <v>74</v>
      </c>
      <c r="F813" t="s">
        <v>15557</v>
      </c>
      <c r="G813" t="s">
        <v>74</v>
      </c>
      <c r="H813" t="s">
        <v>74</v>
      </c>
      <c r="I813" t="s">
        <v>15558</v>
      </c>
      <c r="J813" t="s">
        <v>1602</v>
      </c>
      <c r="K813" t="s">
        <v>74</v>
      </c>
      <c r="L813" t="s">
        <v>74</v>
      </c>
      <c r="M813" t="s">
        <v>78</v>
      </c>
      <c r="N813" t="s">
        <v>79</v>
      </c>
      <c r="O813" t="s">
        <v>74</v>
      </c>
      <c r="P813" t="s">
        <v>74</v>
      </c>
      <c r="Q813" t="s">
        <v>74</v>
      </c>
      <c r="R813" t="s">
        <v>74</v>
      </c>
      <c r="S813" t="s">
        <v>74</v>
      </c>
      <c r="T813" t="s">
        <v>15559</v>
      </c>
      <c r="U813" t="s">
        <v>15560</v>
      </c>
      <c r="V813" t="s">
        <v>15561</v>
      </c>
      <c r="W813" t="s">
        <v>15562</v>
      </c>
      <c r="X813" t="s">
        <v>15563</v>
      </c>
      <c r="Y813" t="s">
        <v>15564</v>
      </c>
      <c r="Z813" t="s">
        <v>15565</v>
      </c>
      <c r="AA813" t="s">
        <v>74</v>
      </c>
      <c r="AB813" t="s">
        <v>15566</v>
      </c>
      <c r="AC813" t="s">
        <v>15567</v>
      </c>
      <c r="AD813" t="s">
        <v>15568</v>
      </c>
      <c r="AE813" t="s">
        <v>15569</v>
      </c>
      <c r="AF813" t="s">
        <v>74</v>
      </c>
      <c r="AG813">
        <v>141</v>
      </c>
      <c r="AH813">
        <v>30</v>
      </c>
      <c r="AI813">
        <v>31</v>
      </c>
      <c r="AJ813">
        <v>1</v>
      </c>
      <c r="AK813">
        <v>45</v>
      </c>
      <c r="AL813" t="s">
        <v>91</v>
      </c>
      <c r="AM813" t="s">
        <v>92</v>
      </c>
      <c r="AN813" t="s">
        <v>93</v>
      </c>
      <c r="AO813" t="s">
        <v>1615</v>
      </c>
      <c r="AP813" t="s">
        <v>1616</v>
      </c>
      <c r="AQ813" t="s">
        <v>74</v>
      </c>
      <c r="AR813" t="s">
        <v>1602</v>
      </c>
      <c r="AS813" t="s">
        <v>1617</v>
      </c>
      <c r="AT813" t="s">
        <v>15076</v>
      </c>
      <c r="AU813">
        <v>2017</v>
      </c>
      <c r="AV813">
        <v>32</v>
      </c>
      <c r="AW813">
        <v>7</v>
      </c>
      <c r="AX813" t="s">
        <v>74</v>
      </c>
      <c r="AY813" t="s">
        <v>74</v>
      </c>
      <c r="AZ813" t="s">
        <v>74</v>
      </c>
      <c r="BA813" t="s">
        <v>74</v>
      </c>
      <c r="BB813">
        <v>674</v>
      </c>
      <c r="BC813">
        <v>691</v>
      </c>
      <c r="BD813" t="s">
        <v>74</v>
      </c>
      <c r="BE813" t="s">
        <v>15570</v>
      </c>
      <c r="BF813" t="str">
        <f>HYPERLINK("http://dx.doi.org/10.1002/2017PA003135","http://dx.doi.org/10.1002/2017PA003135")</f>
        <v>http://dx.doi.org/10.1002/2017PA003135</v>
      </c>
      <c r="BG813" t="s">
        <v>74</v>
      </c>
      <c r="BH813" t="s">
        <v>74</v>
      </c>
      <c r="BI813">
        <v>18</v>
      </c>
      <c r="BJ813" t="s">
        <v>1619</v>
      </c>
      <c r="BK813" t="s">
        <v>101</v>
      </c>
      <c r="BL813" t="s">
        <v>1620</v>
      </c>
      <c r="BM813" t="s">
        <v>15571</v>
      </c>
      <c r="BN813" t="s">
        <v>74</v>
      </c>
      <c r="BO813" t="s">
        <v>7860</v>
      </c>
      <c r="BP813" t="s">
        <v>74</v>
      </c>
      <c r="BQ813" t="s">
        <v>74</v>
      </c>
      <c r="BR813" t="s">
        <v>105</v>
      </c>
      <c r="BS813" t="s">
        <v>15572</v>
      </c>
      <c r="BT813" t="str">
        <f>HYPERLINK("https%3A%2F%2Fwww.webofscience.com%2Fwos%2Fwoscc%2Ffull-record%2FWOS:000407805800001","View Full Record in Web of Science")</f>
        <v>View Full Record in Web of Science</v>
      </c>
    </row>
    <row r="814" spans="1:72" x14ac:dyDescent="0.15">
      <c r="A814" t="s">
        <v>72</v>
      </c>
      <c r="B814" t="s">
        <v>15573</v>
      </c>
      <c r="C814" t="s">
        <v>74</v>
      </c>
      <c r="D814" t="s">
        <v>74</v>
      </c>
      <c r="E814" t="s">
        <v>74</v>
      </c>
      <c r="F814" t="s">
        <v>15574</v>
      </c>
      <c r="G814" t="s">
        <v>74</v>
      </c>
      <c r="H814" t="s">
        <v>74</v>
      </c>
      <c r="I814" t="s">
        <v>15575</v>
      </c>
      <c r="J814" t="s">
        <v>1602</v>
      </c>
      <c r="K814" t="s">
        <v>74</v>
      </c>
      <c r="L814" t="s">
        <v>74</v>
      </c>
      <c r="M814" t="s">
        <v>78</v>
      </c>
      <c r="N814" t="s">
        <v>79</v>
      </c>
      <c r="O814" t="s">
        <v>74</v>
      </c>
      <c r="P814" t="s">
        <v>74</v>
      </c>
      <c r="Q814" t="s">
        <v>74</v>
      </c>
      <c r="R814" t="s">
        <v>74</v>
      </c>
      <c r="S814" t="s">
        <v>74</v>
      </c>
      <c r="T814" t="s">
        <v>15576</v>
      </c>
      <c r="U814" t="s">
        <v>15577</v>
      </c>
      <c r="V814" t="s">
        <v>15578</v>
      </c>
      <c r="W814" t="s">
        <v>15579</v>
      </c>
      <c r="X814" t="s">
        <v>15580</v>
      </c>
      <c r="Y814" t="s">
        <v>15581</v>
      </c>
      <c r="Z814" t="s">
        <v>15582</v>
      </c>
      <c r="AA814" t="s">
        <v>15583</v>
      </c>
      <c r="AB814" t="s">
        <v>15584</v>
      </c>
      <c r="AC814" t="s">
        <v>15585</v>
      </c>
      <c r="AD814" t="s">
        <v>15586</v>
      </c>
      <c r="AE814" t="s">
        <v>15587</v>
      </c>
      <c r="AF814" t="s">
        <v>74</v>
      </c>
      <c r="AG814">
        <v>76</v>
      </c>
      <c r="AH814">
        <v>4</v>
      </c>
      <c r="AI814">
        <v>5</v>
      </c>
      <c r="AJ814">
        <v>3</v>
      </c>
      <c r="AK814">
        <v>33</v>
      </c>
      <c r="AL814" t="s">
        <v>91</v>
      </c>
      <c r="AM814" t="s">
        <v>92</v>
      </c>
      <c r="AN814" t="s">
        <v>93</v>
      </c>
      <c r="AO814" t="s">
        <v>1615</v>
      </c>
      <c r="AP814" t="s">
        <v>1616</v>
      </c>
      <c r="AQ814" t="s">
        <v>74</v>
      </c>
      <c r="AR814" t="s">
        <v>1602</v>
      </c>
      <c r="AS814" t="s">
        <v>1617</v>
      </c>
      <c r="AT814" t="s">
        <v>15076</v>
      </c>
      <c r="AU814">
        <v>2017</v>
      </c>
      <c r="AV814">
        <v>32</v>
      </c>
      <c r="AW814">
        <v>7</v>
      </c>
      <c r="AX814" t="s">
        <v>74</v>
      </c>
      <c r="AY814" t="s">
        <v>74</v>
      </c>
      <c r="AZ814" t="s">
        <v>74</v>
      </c>
      <c r="BA814" t="s">
        <v>74</v>
      </c>
      <c r="BB814">
        <v>729</v>
      </c>
      <c r="BC814">
        <v>743</v>
      </c>
      <c r="BD814" t="s">
        <v>74</v>
      </c>
      <c r="BE814" t="s">
        <v>15588</v>
      </c>
      <c r="BF814" t="str">
        <f>HYPERLINK("http://dx.doi.org/10.1002/2016PA003058","http://dx.doi.org/10.1002/2016PA003058")</f>
        <v>http://dx.doi.org/10.1002/2016PA003058</v>
      </c>
      <c r="BG814" t="s">
        <v>74</v>
      </c>
      <c r="BH814" t="s">
        <v>74</v>
      </c>
      <c r="BI814">
        <v>15</v>
      </c>
      <c r="BJ814" t="s">
        <v>1619</v>
      </c>
      <c r="BK814" t="s">
        <v>101</v>
      </c>
      <c r="BL814" t="s">
        <v>1620</v>
      </c>
      <c r="BM814" t="s">
        <v>15571</v>
      </c>
      <c r="BN814" t="s">
        <v>74</v>
      </c>
      <c r="BO814" t="s">
        <v>74</v>
      </c>
      <c r="BP814" t="s">
        <v>74</v>
      </c>
      <c r="BQ814" t="s">
        <v>74</v>
      </c>
      <c r="BR814" t="s">
        <v>105</v>
      </c>
      <c r="BS814" t="s">
        <v>15589</v>
      </c>
      <c r="BT814" t="str">
        <f>HYPERLINK("https%3A%2F%2Fwww.webofscience.com%2Fwos%2Fwoscc%2Ffull-record%2FWOS:000407805800004","View Full Record in Web of Science")</f>
        <v>View Full Record in Web of Science</v>
      </c>
    </row>
    <row r="815" spans="1:72" x14ac:dyDescent="0.15">
      <c r="A815" t="s">
        <v>72</v>
      </c>
      <c r="B815" t="s">
        <v>15590</v>
      </c>
      <c r="C815" t="s">
        <v>74</v>
      </c>
      <c r="D815" t="s">
        <v>74</v>
      </c>
      <c r="E815" t="s">
        <v>74</v>
      </c>
      <c r="F815" t="s">
        <v>15591</v>
      </c>
      <c r="G815" t="s">
        <v>74</v>
      </c>
      <c r="H815" t="s">
        <v>74</v>
      </c>
      <c r="I815" t="s">
        <v>15592</v>
      </c>
      <c r="J815" t="s">
        <v>6355</v>
      </c>
      <c r="K815" t="s">
        <v>74</v>
      </c>
      <c r="L815" t="s">
        <v>74</v>
      </c>
      <c r="M815" t="s">
        <v>78</v>
      </c>
      <c r="N815" t="s">
        <v>79</v>
      </c>
      <c r="O815" t="s">
        <v>74</v>
      </c>
      <c r="P815" t="s">
        <v>74</v>
      </c>
      <c r="Q815" t="s">
        <v>74</v>
      </c>
      <c r="R815" t="s">
        <v>74</v>
      </c>
      <c r="S815" t="s">
        <v>74</v>
      </c>
      <c r="T815" t="s">
        <v>74</v>
      </c>
      <c r="U815" t="s">
        <v>7843</v>
      </c>
      <c r="V815" t="s">
        <v>15593</v>
      </c>
      <c r="W815" t="s">
        <v>15594</v>
      </c>
      <c r="X815" t="s">
        <v>15595</v>
      </c>
      <c r="Y815" t="s">
        <v>15596</v>
      </c>
      <c r="Z815" t="s">
        <v>15597</v>
      </c>
      <c r="AA815" t="s">
        <v>74</v>
      </c>
      <c r="AB815" t="s">
        <v>15598</v>
      </c>
      <c r="AC815" t="s">
        <v>15599</v>
      </c>
      <c r="AD815" t="s">
        <v>15599</v>
      </c>
      <c r="AE815" t="s">
        <v>15600</v>
      </c>
      <c r="AF815" t="s">
        <v>74</v>
      </c>
      <c r="AG815">
        <v>52</v>
      </c>
      <c r="AH815">
        <v>16</v>
      </c>
      <c r="AI815">
        <v>18</v>
      </c>
      <c r="AJ815">
        <v>0</v>
      </c>
      <c r="AK815">
        <v>31</v>
      </c>
      <c r="AL815" t="s">
        <v>1270</v>
      </c>
      <c r="AM815" t="s">
        <v>209</v>
      </c>
      <c r="AN815" t="s">
        <v>1682</v>
      </c>
      <c r="AO815" t="s">
        <v>6367</v>
      </c>
      <c r="AP815" t="s">
        <v>6368</v>
      </c>
      <c r="AQ815" t="s">
        <v>74</v>
      </c>
      <c r="AR815" t="s">
        <v>6369</v>
      </c>
      <c r="AS815" t="s">
        <v>6370</v>
      </c>
      <c r="AT815" t="s">
        <v>15076</v>
      </c>
      <c r="AU815">
        <v>2017</v>
      </c>
      <c r="AV815">
        <v>53</v>
      </c>
      <c r="AW815">
        <v>4</v>
      </c>
      <c r="AX815" t="s">
        <v>74</v>
      </c>
      <c r="AY815" t="s">
        <v>74</v>
      </c>
      <c r="AZ815" t="s">
        <v>74</v>
      </c>
      <c r="BA815" t="s">
        <v>74</v>
      </c>
      <c r="BB815">
        <v>343</v>
      </c>
      <c r="BC815">
        <v>357</v>
      </c>
      <c r="BD815" t="s">
        <v>74</v>
      </c>
      <c r="BE815" t="s">
        <v>15601</v>
      </c>
      <c r="BF815" t="str">
        <f>HYPERLINK("http://dx.doi.org/10.1017/S0032247417000262","http://dx.doi.org/10.1017/S0032247417000262")</f>
        <v>http://dx.doi.org/10.1017/S0032247417000262</v>
      </c>
      <c r="BG815" t="s">
        <v>74</v>
      </c>
      <c r="BH815" t="s">
        <v>74</v>
      </c>
      <c r="BI815">
        <v>15</v>
      </c>
      <c r="BJ815" t="s">
        <v>1902</v>
      </c>
      <c r="BK815" t="s">
        <v>101</v>
      </c>
      <c r="BL815" t="s">
        <v>1048</v>
      </c>
      <c r="BM815" t="s">
        <v>15602</v>
      </c>
      <c r="BN815" t="s">
        <v>74</v>
      </c>
      <c r="BO815" t="s">
        <v>2091</v>
      </c>
      <c r="BP815" t="s">
        <v>74</v>
      </c>
      <c r="BQ815" t="s">
        <v>74</v>
      </c>
      <c r="BR815" t="s">
        <v>105</v>
      </c>
      <c r="BS815" t="s">
        <v>15603</v>
      </c>
      <c r="BT815" t="str">
        <f>HYPERLINK("https%3A%2F%2Fwww.webofscience.com%2Fwos%2Fwoscc%2Ffull-record%2FWOS:000407714400001","View Full Record in Web of Science")</f>
        <v>View Full Record in Web of Science</v>
      </c>
    </row>
    <row r="816" spans="1:72" x14ac:dyDescent="0.15">
      <c r="A816" t="s">
        <v>72</v>
      </c>
      <c r="B816" t="s">
        <v>15604</v>
      </c>
      <c r="C816" t="s">
        <v>74</v>
      </c>
      <c r="D816" t="s">
        <v>74</v>
      </c>
      <c r="E816" t="s">
        <v>74</v>
      </c>
      <c r="F816" t="s">
        <v>15605</v>
      </c>
      <c r="G816" t="s">
        <v>74</v>
      </c>
      <c r="H816" t="s">
        <v>74</v>
      </c>
      <c r="I816" t="s">
        <v>15606</v>
      </c>
      <c r="J816" t="s">
        <v>6355</v>
      </c>
      <c r="K816" t="s">
        <v>74</v>
      </c>
      <c r="L816" t="s">
        <v>74</v>
      </c>
      <c r="M816" t="s">
        <v>78</v>
      </c>
      <c r="N816" t="s">
        <v>79</v>
      </c>
      <c r="O816" t="s">
        <v>74</v>
      </c>
      <c r="P816" t="s">
        <v>74</v>
      </c>
      <c r="Q816" t="s">
        <v>74</v>
      </c>
      <c r="R816" t="s">
        <v>74</v>
      </c>
      <c r="S816" t="s">
        <v>74</v>
      </c>
      <c r="T816" t="s">
        <v>74</v>
      </c>
      <c r="U816" t="s">
        <v>15607</v>
      </c>
      <c r="V816" t="s">
        <v>15608</v>
      </c>
      <c r="W816" t="s">
        <v>15609</v>
      </c>
      <c r="X816" t="s">
        <v>15610</v>
      </c>
      <c r="Y816" t="s">
        <v>15611</v>
      </c>
      <c r="Z816" t="s">
        <v>15612</v>
      </c>
      <c r="AA816" t="s">
        <v>15613</v>
      </c>
      <c r="AB816" t="s">
        <v>15614</v>
      </c>
      <c r="AC816" t="s">
        <v>74</v>
      </c>
      <c r="AD816" t="s">
        <v>74</v>
      </c>
      <c r="AE816" t="s">
        <v>74</v>
      </c>
      <c r="AF816" t="s">
        <v>74</v>
      </c>
      <c r="AG816">
        <v>56</v>
      </c>
      <c r="AH816">
        <v>7</v>
      </c>
      <c r="AI816">
        <v>8</v>
      </c>
      <c r="AJ816">
        <v>0</v>
      </c>
      <c r="AK816">
        <v>9</v>
      </c>
      <c r="AL816" t="s">
        <v>1270</v>
      </c>
      <c r="AM816" t="s">
        <v>209</v>
      </c>
      <c r="AN816" t="s">
        <v>1682</v>
      </c>
      <c r="AO816" t="s">
        <v>6367</v>
      </c>
      <c r="AP816" t="s">
        <v>6368</v>
      </c>
      <c r="AQ816" t="s">
        <v>74</v>
      </c>
      <c r="AR816" t="s">
        <v>6369</v>
      </c>
      <c r="AS816" t="s">
        <v>6370</v>
      </c>
      <c r="AT816" t="s">
        <v>15076</v>
      </c>
      <c r="AU816">
        <v>2017</v>
      </c>
      <c r="AV816">
        <v>53</v>
      </c>
      <c r="AW816">
        <v>4</v>
      </c>
      <c r="AX816" t="s">
        <v>74</v>
      </c>
      <c r="AY816" t="s">
        <v>74</v>
      </c>
      <c r="AZ816" t="s">
        <v>74</v>
      </c>
      <c r="BA816" t="s">
        <v>74</v>
      </c>
      <c r="BB816">
        <v>364</v>
      </c>
      <c r="BC816">
        <v>375</v>
      </c>
      <c r="BD816" t="s">
        <v>74</v>
      </c>
      <c r="BE816" t="s">
        <v>15615</v>
      </c>
      <c r="BF816" t="str">
        <f>HYPERLINK("http://dx.doi.org/10.1017/S0032247417000249","http://dx.doi.org/10.1017/S0032247417000249")</f>
        <v>http://dx.doi.org/10.1017/S0032247417000249</v>
      </c>
      <c r="BG816" t="s">
        <v>74</v>
      </c>
      <c r="BH816" t="s">
        <v>74</v>
      </c>
      <c r="BI816">
        <v>12</v>
      </c>
      <c r="BJ816" t="s">
        <v>1902</v>
      </c>
      <c r="BK816" t="s">
        <v>101</v>
      </c>
      <c r="BL816" t="s">
        <v>1048</v>
      </c>
      <c r="BM816" t="s">
        <v>15602</v>
      </c>
      <c r="BN816" t="s">
        <v>74</v>
      </c>
      <c r="BO816" t="s">
        <v>164</v>
      </c>
      <c r="BP816" t="s">
        <v>74</v>
      </c>
      <c r="BQ816" t="s">
        <v>74</v>
      </c>
      <c r="BR816" t="s">
        <v>105</v>
      </c>
      <c r="BS816" t="s">
        <v>15616</v>
      </c>
      <c r="BT816" t="str">
        <f>HYPERLINK("https%3A%2F%2Fwww.webofscience.com%2Fwos%2Fwoscc%2Ffull-record%2FWOS:000407714400003","View Full Record in Web of Science")</f>
        <v>View Full Record in Web of Science</v>
      </c>
    </row>
    <row r="817" spans="1:72" x14ac:dyDescent="0.15">
      <c r="A817" t="s">
        <v>72</v>
      </c>
      <c r="B817" t="s">
        <v>15617</v>
      </c>
      <c r="C817" t="s">
        <v>74</v>
      </c>
      <c r="D817" t="s">
        <v>74</v>
      </c>
      <c r="E817" t="s">
        <v>74</v>
      </c>
      <c r="F817" t="s">
        <v>15618</v>
      </c>
      <c r="G817" t="s">
        <v>74</v>
      </c>
      <c r="H817" t="s">
        <v>74</v>
      </c>
      <c r="I817" t="s">
        <v>15619</v>
      </c>
      <c r="J817" t="s">
        <v>6355</v>
      </c>
      <c r="K817" t="s">
        <v>74</v>
      </c>
      <c r="L817" t="s">
        <v>74</v>
      </c>
      <c r="M817" t="s">
        <v>78</v>
      </c>
      <c r="N817" t="s">
        <v>79</v>
      </c>
      <c r="O817" t="s">
        <v>74</v>
      </c>
      <c r="P817" t="s">
        <v>74</v>
      </c>
      <c r="Q817" t="s">
        <v>74</v>
      </c>
      <c r="R817" t="s">
        <v>74</v>
      </c>
      <c r="S817" t="s">
        <v>74</v>
      </c>
      <c r="T817" t="s">
        <v>74</v>
      </c>
      <c r="U817" t="s">
        <v>74</v>
      </c>
      <c r="V817" t="s">
        <v>15620</v>
      </c>
      <c r="W817" t="s">
        <v>15621</v>
      </c>
      <c r="X817" t="s">
        <v>15622</v>
      </c>
      <c r="Y817" t="s">
        <v>15623</v>
      </c>
      <c r="Z817" t="s">
        <v>15624</v>
      </c>
      <c r="AA817" t="s">
        <v>15625</v>
      </c>
      <c r="AB817" t="s">
        <v>15626</v>
      </c>
      <c r="AC817" t="s">
        <v>15627</v>
      </c>
      <c r="AD817" t="s">
        <v>15627</v>
      </c>
      <c r="AE817" t="s">
        <v>15628</v>
      </c>
      <c r="AF817" t="s">
        <v>74</v>
      </c>
      <c r="AG817">
        <v>45</v>
      </c>
      <c r="AH817">
        <v>0</v>
      </c>
      <c r="AI817">
        <v>0</v>
      </c>
      <c r="AJ817">
        <v>1</v>
      </c>
      <c r="AK817">
        <v>11</v>
      </c>
      <c r="AL817" t="s">
        <v>1270</v>
      </c>
      <c r="AM817" t="s">
        <v>209</v>
      </c>
      <c r="AN817" t="s">
        <v>1682</v>
      </c>
      <c r="AO817" t="s">
        <v>6367</v>
      </c>
      <c r="AP817" t="s">
        <v>6368</v>
      </c>
      <c r="AQ817" t="s">
        <v>74</v>
      </c>
      <c r="AR817" t="s">
        <v>6369</v>
      </c>
      <c r="AS817" t="s">
        <v>6370</v>
      </c>
      <c r="AT817" t="s">
        <v>15076</v>
      </c>
      <c r="AU817">
        <v>2017</v>
      </c>
      <c r="AV817">
        <v>53</v>
      </c>
      <c r="AW817">
        <v>4</v>
      </c>
      <c r="AX817" t="s">
        <v>74</v>
      </c>
      <c r="AY817" t="s">
        <v>74</v>
      </c>
      <c r="AZ817" t="s">
        <v>74</v>
      </c>
      <c r="BA817" t="s">
        <v>74</v>
      </c>
      <c r="BB817">
        <v>376</v>
      </c>
      <c r="BC817">
        <v>381</v>
      </c>
      <c r="BD817" t="s">
        <v>74</v>
      </c>
      <c r="BE817" t="s">
        <v>15629</v>
      </c>
      <c r="BF817" t="str">
        <f>HYPERLINK("http://dx.doi.org/10.1017/S0032247417000250","http://dx.doi.org/10.1017/S0032247417000250")</f>
        <v>http://dx.doi.org/10.1017/S0032247417000250</v>
      </c>
      <c r="BG817" t="s">
        <v>74</v>
      </c>
      <c r="BH817" t="s">
        <v>74</v>
      </c>
      <c r="BI817">
        <v>6</v>
      </c>
      <c r="BJ817" t="s">
        <v>1902</v>
      </c>
      <c r="BK817" t="s">
        <v>101</v>
      </c>
      <c r="BL817" t="s">
        <v>1048</v>
      </c>
      <c r="BM817" t="s">
        <v>15602</v>
      </c>
      <c r="BN817" t="s">
        <v>74</v>
      </c>
      <c r="BO817" t="s">
        <v>74</v>
      </c>
      <c r="BP817" t="s">
        <v>74</v>
      </c>
      <c r="BQ817" t="s">
        <v>74</v>
      </c>
      <c r="BR817" t="s">
        <v>105</v>
      </c>
      <c r="BS817" t="s">
        <v>15630</v>
      </c>
      <c r="BT817" t="str">
        <f>HYPERLINK("https%3A%2F%2Fwww.webofscience.com%2Fwos%2Fwoscc%2Ffull-record%2FWOS:000407714400004","View Full Record in Web of Science")</f>
        <v>View Full Record in Web of Science</v>
      </c>
    </row>
    <row r="818" spans="1:72" x14ac:dyDescent="0.15">
      <c r="A818" t="s">
        <v>72</v>
      </c>
      <c r="B818" t="s">
        <v>15631</v>
      </c>
      <c r="C818" t="s">
        <v>74</v>
      </c>
      <c r="D818" t="s">
        <v>74</v>
      </c>
      <c r="E818" t="s">
        <v>74</v>
      </c>
      <c r="F818" t="s">
        <v>15632</v>
      </c>
      <c r="G818" t="s">
        <v>74</v>
      </c>
      <c r="H818" t="s">
        <v>74</v>
      </c>
      <c r="I818" t="s">
        <v>15633</v>
      </c>
      <c r="J818" t="s">
        <v>6355</v>
      </c>
      <c r="K818" t="s">
        <v>74</v>
      </c>
      <c r="L818" t="s">
        <v>74</v>
      </c>
      <c r="M818" t="s">
        <v>78</v>
      </c>
      <c r="N818" t="s">
        <v>79</v>
      </c>
      <c r="O818" t="s">
        <v>74</v>
      </c>
      <c r="P818" t="s">
        <v>74</v>
      </c>
      <c r="Q818" t="s">
        <v>74</v>
      </c>
      <c r="R818" t="s">
        <v>74</v>
      </c>
      <c r="S818" t="s">
        <v>74</v>
      </c>
      <c r="T818" t="s">
        <v>74</v>
      </c>
      <c r="U818" t="s">
        <v>74</v>
      </c>
      <c r="V818" t="s">
        <v>15634</v>
      </c>
      <c r="W818" t="s">
        <v>15635</v>
      </c>
      <c r="X818" t="s">
        <v>15636</v>
      </c>
      <c r="Y818" t="s">
        <v>15637</v>
      </c>
      <c r="Z818" t="s">
        <v>15638</v>
      </c>
      <c r="AA818" t="s">
        <v>74</v>
      </c>
      <c r="AB818" t="s">
        <v>74</v>
      </c>
      <c r="AC818" t="s">
        <v>74</v>
      </c>
      <c r="AD818" t="s">
        <v>74</v>
      </c>
      <c r="AE818" t="s">
        <v>74</v>
      </c>
      <c r="AF818" t="s">
        <v>74</v>
      </c>
      <c r="AG818">
        <v>31</v>
      </c>
      <c r="AH818">
        <v>1</v>
      </c>
      <c r="AI818">
        <v>1</v>
      </c>
      <c r="AJ818">
        <v>0</v>
      </c>
      <c r="AK818">
        <v>2</v>
      </c>
      <c r="AL818" t="s">
        <v>1270</v>
      </c>
      <c r="AM818" t="s">
        <v>209</v>
      </c>
      <c r="AN818" t="s">
        <v>1682</v>
      </c>
      <c r="AO818" t="s">
        <v>6367</v>
      </c>
      <c r="AP818" t="s">
        <v>6368</v>
      </c>
      <c r="AQ818" t="s">
        <v>74</v>
      </c>
      <c r="AR818" t="s">
        <v>6369</v>
      </c>
      <c r="AS818" t="s">
        <v>6370</v>
      </c>
      <c r="AT818" t="s">
        <v>15076</v>
      </c>
      <c r="AU818">
        <v>2017</v>
      </c>
      <c r="AV818">
        <v>53</v>
      </c>
      <c r="AW818">
        <v>4</v>
      </c>
      <c r="AX818" t="s">
        <v>74</v>
      </c>
      <c r="AY818" t="s">
        <v>74</v>
      </c>
      <c r="AZ818" t="s">
        <v>74</v>
      </c>
      <c r="BA818" t="s">
        <v>74</v>
      </c>
      <c r="BB818">
        <v>382</v>
      </c>
      <c r="BC818">
        <v>395</v>
      </c>
      <c r="BD818" t="s">
        <v>74</v>
      </c>
      <c r="BE818" t="s">
        <v>15639</v>
      </c>
      <c r="BF818" t="str">
        <f>HYPERLINK("http://dx.doi.org/10.1017/S0032247417000286","http://dx.doi.org/10.1017/S0032247417000286")</f>
        <v>http://dx.doi.org/10.1017/S0032247417000286</v>
      </c>
      <c r="BG818" t="s">
        <v>74</v>
      </c>
      <c r="BH818" t="s">
        <v>74</v>
      </c>
      <c r="BI818">
        <v>14</v>
      </c>
      <c r="BJ818" t="s">
        <v>1902</v>
      </c>
      <c r="BK818" t="s">
        <v>101</v>
      </c>
      <c r="BL818" t="s">
        <v>1048</v>
      </c>
      <c r="BM818" t="s">
        <v>15602</v>
      </c>
      <c r="BN818" t="s">
        <v>74</v>
      </c>
      <c r="BO818" t="s">
        <v>74</v>
      </c>
      <c r="BP818" t="s">
        <v>74</v>
      </c>
      <c r="BQ818" t="s">
        <v>74</v>
      </c>
      <c r="BR818" t="s">
        <v>105</v>
      </c>
      <c r="BS818" t="s">
        <v>15640</v>
      </c>
      <c r="BT818" t="str">
        <f>HYPERLINK("https%3A%2F%2Fwww.webofscience.com%2Fwos%2Fwoscc%2Ffull-record%2FWOS:000407714400005","View Full Record in Web of Science")</f>
        <v>View Full Record in Web of Science</v>
      </c>
    </row>
    <row r="819" spans="1:72" x14ac:dyDescent="0.15">
      <c r="A819" t="s">
        <v>72</v>
      </c>
      <c r="B819" t="s">
        <v>15641</v>
      </c>
      <c r="C819" t="s">
        <v>74</v>
      </c>
      <c r="D819" t="s">
        <v>74</v>
      </c>
      <c r="E819" t="s">
        <v>74</v>
      </c>
      <c r="F819" t="s">
        <v>15642</v>
      </c>
      <c r="G819" t="s">
        <v>74</v>
      </c>
      <c r="H819" t="s">
        <v>74</v>
      </c>
      <c r="I819" t="s">
        <v>15643</v>
      </c>
      <c r="J819" t="s">
        <v>6355</v>
      </c>
      <c r="K819" t="s">
        <v>74</v>
      </c>
      <c r="L819" t="s">
        <v>74</v>
      </c>
      <c r="M819" t="s">
        <v>78</v>
      </c>
      <c r="N819" t="s">
        <v>79</v>
      </c>
      <c r="O819" t="s">
        <v>74</v>
      </c>
      <c r="P819" t="s">
        <v>74</v>
      </c>
      <c r="Q819" t="s">
        <v>74</v>
      </c>
      <c r="R819" t="s">
        <v>74</v>
      </c>
      <c r="S819" t="s">
        <v>74</v>
      </c>
      <c r="T819" t="s">
        <v>74</v>
      </c>
      <c r="U819" t="s">
        <v>74</v>
      </c>
      <c r="V819" t="s">
        <v>15644</v>
      </c>
      <c r="W819" t="s">
        <v>15645</v>
      </c>
      <c r="X819" t="s">
        <v>15646</v>
      </c>
      <c r="Y819" t="s">
        <v>15647</v>
      </c>
      <c r="Z819" t="s">
        <v>15648</v>
      </c>
      <c r="AA819" t="s">
        <v>74</v>
      </c>
      <c r="AB819" t="s">
        <v>15649</v>
      </c>
      <c r="AC819" t="s">
        <v>15650</v>
      </c>
      <c r="AD819" t="s">
        <v>15650</v>
      </c>
      <c r="AE819" t="s">
        <v>15651</v>
      </c>
      <c r="AF819" t="s">
        <v>74</v>
      </c>
      <c r="AG819">
        <v>41</v>
      </c>
      <c r="AH819">
        <v>1</v>
      </c>
      <c r="AI819">
        <v>1</v>
      </c>
      <c r="AJ819">
        <v>0</v>
      </c>
      <c r="AK819">
        <v>1</v>
      </c>
      <c r="AL819" t="s">
        <v>1270</v>
      </c>
      <c r="AM819" t="s">
        <v>209</v>
      </c>
      <c r="AN819" t="s">
        <v>1682</v>
      </c>
      <c r="AO819" t="s">
        <v>6367</v>
      </c>
      <c r="AP819" t="s">
        <v>6368</v>
      </c>
      <c r="AQ819" t="s">
        <v>74</v>
      </c>
      <c r="AR819" t="s">
        <v>6369</v>
      </c>
      <c r="AS819" t="s">
        <v>6370</v>
      </c>
      <c r="AT819" t="s">
        <v>15076</v>
      </c>
      <c r="AU819">
        <v>2017</v>
      </c>
      <c r="AV819">
        <v>53</v>
      </c>
      <c r="AW819">
        <v>4</v>
      </c>
      <c r="AX819" t="s">
        <v>74</v>
      </c>
      <c r="AY819" t="s">
        <v>74</v>
      </c>
      <c r="AZ819" t="s">
        <v>74</v>
      </c>
      <c r="BA819" t="s">
        <v>74</v>
      </c>
      <c r="BB819">
        <v>413</v>
      </c>
      <c r="BC819">
        <v>426</v>
      </c>
      <c r="BD819" t="s">
        <v>74</v>
      </c>
      <c r="BE819" t="s">
        <v>15652</v>
      </c>
      <c r="BF819" t="str">
        <f>HYPERLINK("http://dx.doi.org/10.1017/S0032247417000365","http://dx.doi.org/10.1017/S0032247417000365")</f>
        <v>http://dx.doi.org/10.1017/S0032247417000365</v>
      </c>
      <c r="BG819" t="s">
        <v>74</v>
      </c>
      <c r="BH819" t="s">
        <v>74</v>
      </c>
      <c r="BI819">
        <v>14</v>
      </c>
      <c r="BJ819" t="s">
        <v>1902</v>
      </c>
      <c r="BK819" t="s">
        <v>101</v>
      </c>
      <c r="BL819" t="s">
        <v>1048</v>
      </c>
      <c r="BM819" t="s">
        <v>15602</v>
      </c>
      <c r="BN819" t="s">
        <v>74</v>
      </c>
      <c r="BO819" t="s">
        <v>2091</v>
      </c>
      <c r="BP819" t="s">
        <v>74</v>
      </c>
      <c r="BQ819" t="s">
        <v>74</v>
      </c>
      <c r="BR819" t="s">
        <v>105</v>
      </c>
      <c r="BS819" t="s">
        <v>15653</v>
      </c>
      <c r="BT819" t="str">
        <f>HYPERLINK("https%3A%2F%2Fwww.webofscience.com%2Fwos%2Fwoscc%2Ffull-record%2FWOS:000407714400008","View Full Record in Web of Science")</f>
        <v>View Full Record in Web of Science</v>
      </c>
    </row>
    <row r="820" spans="1:72" x14ac:dyDescent="0.15">
      <c r="A820" t="s">
        <v>72</v>
      </c>
      <c r="B820" t="s">
        <v>15654</v>
      </c>
      <c r="C820" t="s">
        <v>74</v>
      </c>
      <c r="D820" t="s">
        <v>74</v>
      </c>
      <c r="E820" t="s">
        <v>74</v>
      </c>
      <c r="F820" t="s">
        <v>15655</v>
      </c>
      <c r="G820" t="s">
        <v>74</v>
      </c>
      <c r="H820" t="s">
        <v>74</v>
      </c>
      <c r="I820" t="s">
        <v>15656</v>
      </c>
      <c r="J820" t="s">
        <v>6355</v>
      </c>
      <c r="K820" t="s">
        <v>74</v>
      </c>
      <c r="L820" t="s">
        <v>74</v>
      </c>
      <c r="M820" t="s">
        <v>78</v>
      </c>
      <c r="N820" t="s">
        <v>79</v>
      </c>
      <c r="O820" t="s">
        <v>74</v>
      </c>
      <c r="P820" t="s">
        <v>74</v>
      </c>
      <c r="Q820" t="s">
        <v>74</v>
      </c>
      <c r="R820" t="s">
        <v>74</v>
      </c>
      <c r="S820" t="s">
        <v>74</v>
      </c>
      <c r="T820" t="s">
        <v>74</v>
      </c>
      <c r="U820" t="s">
        <v>15657</v>
      </c>
      <c r="V820" t="s">
        <v>15658</v>
      </c>
      <c r="W820" t="s">
        <v>15659</v>
      </c>
      <c r="X820" t="s">
        <v>15660</v>
      </c>
      <c r="Y820" t="s">
        <v>15661</v>
      </c>
      <c r="Z820" t="s">
        <v>15662</v>
      </c>
      <c r="AA820" t="s">
        <v>74</v>
      </c>
      <c r="AB820" t="s">
        <v>74</v>
      </c>
      <c r="AC820" t="s">
        <v>74</v>
      </c>
      <c r="AD820" t="s">
        <v>74</v>
      </c>
      <c r="AE820" t="s">
        <v>74</v>
      </c>
      <c r="AF820" t="s">
        <v>74</v>
      </c>
      <c r="AG820">
        <v>58</v>
      </c>
      <c r="AH820">
        <v>2</v>
      </c>
      <c r="AI820">
        <v>2</v>
      </c>
      <c r="AJ820">
        <v>0</v>
      </c>
      <c r="AK820">
        <v>9</v>
      </c>
      <c r="AL820" t="s">
        <v>1270</v>
      </c>
      <c r="AM820" t="s">
        <v>209</v>
      </c>
      <c r="AN820" t="s">
        <v>1682</v>
      </c>
      <c r="AO820" t="s">
        <v>6367</v>
      </c>
      <c r="AP820" t="s">
        <v>6368</v>
      </c>
      <c r="AQ820" t="s">
        <v>74</v>
      </c>
      <c r="AR820" t="s">
        <v>6369</v>
      </c>
      <c r="AS820" t="s">
        <v>6370</v>
      </c>
      <c r="AT820" t="s">
        <v>15076</v>
      </c>
      <c r="AU820">
        <v>2017</v>
      </c>
      <c r="AV820">
        <v>53</v>
      </c>
      <c r="AW820">
        <v>4</v>
      </c>
      <c r="AX820" t="s">
        <v>74</v>
      </c>
      <c r="AY820" t="s">
        <v>74</v>
      </c>
      <c r="AZ820" t="s">
        <v>74</v>
      </c>
      <c r="BA820" t="s">
        <v>74</v>
      </c>
      <c r="BB820">
        <v>436</v>
      </c>
      <c r="BC820">
        <v>447</v>
      </c>
      <c r="BD820" t="s">
        <v>74</v>
      </c>
      <c r="BE820" t="s">
        <v>15663</v>
      </c>
      <c r="BF820" t="str">
        <f>HYPERLINK("http://dx.doi.org/10.1017/S0032247417000389","http://dx.doi.org/10.1017/S0032247417000389")</f>
        <v>http://dx.doi.org/10.1017/S0032247417000389</v>
      </c>
      <c r="BG820" t="s">
        <v>74</v>
      </c>
      <c r="BH820" t="s">
        <v>74</v>
      </c>
      <c r="BI820">
        <v>12</v>
      </c>
      <c r="BJ820" t="s">
        <v>1902</v>
      </c>
      <c r="BK820" t="s">
        <v>765</v>
      </c>
      <c r="BL820" t="s">
        <v>1048</v>
      </c>
      <c r="BM820" t="s">
        <v>15602</v>
      </c>
      <c r="BN820" t="s">
        <v>74</v>
      </c>
      <c r="BO820" t="s">
        <v>74</v>
      </c>
      <c r="BP820" t="s">
        <v>74</v>
      </c>
      <c r="BQ820" t="s">
        <v>74</v>
      </c>
      <c r="BR820" t="s">
        <v>105</v>
      </c>
      <c r="BS820" t="s">
        <v>15664</v>
      </c>
      <c r="BT820" t="str">
        <f>HYPERLINK("https%3A%2F%2Fwww.webofscience.com%2Fwos%2Fwoscc%2Ffull-record%2FWOS:000407714400010","View Full Record in Web of Science")</f>
        <v>View Full Record in Web of Science</v>
      </c>
    </row>
    <row r="821" spans="1:72" x14ac:dyDescent="0.15">
      <c r="A821" t="s">
        <v>72</v>
      </c>
      <c r="B821" t="s">
        <v>15665</v>
      </c>
      <c r="C821" t="s">
        <v>74</v>
      </c>
      <c r="D821" t="s">
        <v>74</v>
      </c>
      <c r="E821" t="s">
        <v>74</v>
      </c>
      <c r="F821" t="s">
        <v>15666</v>
      </c>
      <c r="G821" t="s">
        <v>74</v>
      </c>
      <c r="H821" t="s">
        <v>74</v>
      </c>
      <c r="I821" t="s">
        <v>15667</v>
      </c>
      <c r="J821" t="s">
        <v>5867</v>
      </c>
      <c r="K821" t="s">
        <v>74</v>
      </c>
      <c r="L821" t="s">
        <v>74</v>
      </c>
      <c r="M821" t="s">
        <v>78</v>
      </c>
      <c r="N821" t="s">
        <v>79</v>
      </c>
      <c r="O821" t="s">
        <v>74</v>
      </c>
      <c r="P821" t="s">
        <v>74</v>
      </c>
      <c r="Q821" t="s">
        <v>74</v>
      </c>
      <c r="R821" t="s">
        <v>74</v>
      </c>
      <c r="S821" t="s">
        <v>74</v>
      </c>
      <c r="T821" t="s">
        <v>15668</v>
      </c>
      <c r="U821" t="s">
        <v>15669</v>
      </c>
      <c r="V821" t="s">
        <v>15670</v>
      </c>
      <c r="W821" t="s">
        <v>15671</v>
      </c>
      <c r="X821" t="s">
        <v>15672</v>
      </c>
      <c r="Y821" t="s">
        <v>15673</v>
      </c>
      <c r="Z821" t="s">
        <v>15674</v>
      </c>
      <c r="AA821" t="s">
        <v>15675</v>
      </c>
      <c r="AB821" t="s">
        <v>15676</v>
      </c>
      <c r="AC821" t="s">
        <v>15677</v>
      </c>
      <c r="AD821" t="s">
        <v>15678</v>
      </c>
      <c r="AE821" t="s">
        <v>15679</v>
      </c>
      <c r="AF821" t="s">
        <v>74</v>
      </c>
      <c r="AG821">
        <v>58</v>
      </c>
      <c r="AH821">
        <v>8</v>
      </c>
      <c r="AI821">
        <v>8</v>
      </c>
      <c r="AJ821">
        <v>1</v>
      </c>
      <c r="AK821">
        <v>16</v>
      </c>
      <c r="AL821" t="s">
        <v>91</v>
      </c>
      <c r="AM821" t="s">
        <v>92</v>
      </c>
      <c r="AN821" t="s">
        <v>93</v>
      </c>
      <c r="AO821" t="s">
        <v>74</v>
      </c>
      <c r="AP821" t="s">
        <v>5878</v>
      </c>
      <c r="AQ821" t="s">
        <v>74</v>
      </c>
      <c r="AR821" t="s">
        <v>5879</v>
      </c>
      <c r="AS821" t="s">
        <v>5880</v>
      </c>
      <c r="AT821" t="s">
        <v>15076</v>
      </c>
      <c r="AU821">
        <v>2017</v>
      </c>
      <c r="AV821">
        <v>18</v>
      </c>
      <c r="AW821">
        <v>7</v>
      </c>
      <c r="AX821" t="s">
        <v>74</v>
      </c>
      <c r="AY821" t="s">
        <v>74</v>
      </c>
      <c r="AZ821" t="s">
        <v>74</v>
      </c>
      <c r="BA821" t="s">
        <v>74</v>
      </c>
      <c r="BB821">
        <v>2446</v>
      </c>
      <c r="BC821">
        <v>2458</v>
      </c>
      <c r="BD821" t="s">
        <v>74</v>
      </c>
      <c r="BE821" t="s">
        <v>15680</v>
      </c>
      <c r="BF821" t="str">
        <f>HYPERLINK("http://dx.doi.org/10.1002/2016GC006683","http://dx.doi.org/10.1002/2016GC006683")</f>
        <v>http://dx.doi.org/10.1002/2016GC006683</v>
      </c>
      <c r="BG821" t="s">
        <v>74</v>
      </c>
      <c r="BH821" t="s">
        <v>74</v>
      </c>
      <c r="BI821">
        <v>13</v>
      </c>
      <c r="BJ821" t="s">
        <v>509</v>
      </c>
      <c r="BK821" t="s">
        <v>101</v>
      </c>
      <c r="BL821" t="s">
        <v>509</v>
      </c>
      <c r="BM821" t="s">
        <v>15681</v>
      </c>
      <c r="BN821" t="s">
        <v>74</v>
      </c>
      <c r="BO821" t="s">
        <v>15682</v>
      </c>
      <c r="BP821" t="s">
        <v>74</v>
      </c>
      <c r="BQ821" t="s">
        <v>74</v>
      </c>
      <c r="BR821" t="s">
        <v>105</v>
      </c>
      <c r="BS821" t="s">
        <v>15683</v>
      </c>
      <c r="BT821" t="str">
        <f>HYPERLINK("https%3A%2F%2Fwww.webofscience.com%2Fwos%2Fwoscc%2Ffull-record%2FWOS:000407477800003","View Full Record in Web of Science")</f>
        <v>View Full Record in Web of Science</v>
      </c>
    </row>
    <row r="822" spans="1:72" x14ac:dyDescent="0.15">
      <c r="A822" t="s">
        <v>72</v>
      </c>
      <c r="B822" t="s">
        <v>15684</v>
      </c>
      <c r="C822" t="s">
        <v>74</v>
      </c>
      <c r="D822" t="s">
        <v>74</v>
      </c>
      <c r="E822" t="s">
        <v>74</v>
      </c>
      <c r="F822" t="s">
        <v>15685</v>
      </c>
      <c r="G822" t="s">
        <v>74</v>
      </c>
      <c r="H822" t="s">
        <v>74</v>
      </c>
      <c r="I822" t="s">
        <v>15686</v>
      </c>
      <c r="J822" t="s">
        <v>5867</v>
      </c>
      <c r="K822" t="s">
        <v>74</v>
      </c>
      <c r="L822" t="s">
        <v>74</v>
      </c>
      <c r="M822" t="s">
        <v>78</v>
      </c>
      <c r="N822" t="s">
        <v>79</v>
      </c>
      <c r="O822" t="s">
        <v>74</v>
      </c>
      <c r="P822" t="s">
        <v>74</v>
      </c>
      <c r="Q822" t="s">
        <v>74</v>
      </c>
      <c r="R822" t="s">
        <v>74</v>
      </c>
      <c r="S822" t="s">
        <v>74</v>
      </c>
      <c r="T822" t="s">
        <v>15687</v>
      </c>
      <c r="U822" t="s">
        <v>15688</v>
      </c>
      <c r="V822" t="s">
        <v>15689</v>
      </c>
      <c r="W822" t="s">
        <v>15690</v>
      </c>
      <c r="X822" t="s">
        <v>9560</v>
      </c>
      <c r="Y822" t="s">
        <v>15691</v>
      </c>
      <c r="Z822" t="s">
        <v>15692</v>
      </c>
      <c r="AA822" t="s">
        <v>15693</v>
      </c>
      <c r="AB822" t="s">
        <v>15694</v>
      </c>
      <c r="AC822" t="s">
        <v>15695</v>
      </c>
      <c r="AD822" t="s">
        <v>15696</v>
      </c>
      <c r="AE822" t="s">
        <v>15697</v>
      </c>
      <c r="AF822" t="s">
        <v>74</v>
      </c>
      <c r="AG822">
        <v>62</v>
      </c>
      <c r="AH822">
        <v>15</v>
      </c>
      <c r="AI822">
        <v>18</v>
      </c>
      <c r="AJ822">
        <v>0</v>
      </c>
      <c r="AK822">
        <v>15</v>
      </c>
      <c r="AL822" t="s">
        <v>91</v>
      </c>
      <c r="AM822" t="s">
        <v>92</v>
      </c>
      <c r="AN822" t="s">
        <v>93</v>
      </c>
      <c r="AO822" t="s">
        <v>74</v>
      </c>
      <c r="AP822" t="s">
        <v>5878</v>
      </c>
      <c r="AQ822" t="s">
        <v>74</v>
      </c>
      <c r="AR822" t="s">
        <v>5879</v>
      </c>
      <c r="AS822" t="s">
        <v>5880</v>
      </c>
      <c r="AT822" t="s">
        <v>15076</v>
      </c>
      <c r="AU822">
        <v>2017</v>
      </c>
      <c r="AV822">
        <v>18</v>
      </c>
      <c r="AW822">
        <v>7</v>
      </c>
      <c r="AX822" t="s">
        <v>74</v>
      </c>
      <c r="AY822" t="s">
        <v>74</v>
      </c>
      <c r="AZ822" t="s">
        <v>74</v>
      </c>
      <c r="BA822" t="s">
        <v>74</v>
      </c>
      <c r="BB822">
        <v>2657</v>
      </c>
      <c r="BC822">
        <v>2672</v>
      </c>
      <c r="BD822" t="s">
        <v>74</v>
      </c>
      <c r="BE822" t="s">
        <v>15698</v>
      </c>
      <c r="BF822" t="str">
        <f>HYPERLINK("http://dx.doi.org/10.1002/2016GC006755","http://dx.doi.org/10.1002/2016GC006755")</f>
        <v>http://dx.doi.org/10.1002/2016GC006755</v>
      </c>
      <c r="BG822" t="s">
        <v>74</v>
      </c>
      <c r="BH822" t="s">
        <v>74</v>
      </c>
      <c r="BI822">
        <v>16</v>
      </c>
      <c r="BJ822" t="s">
        <v>509</v>
      </c>
      <c r="BK822" t="s">
        <v>101</v>
      </c>
      <c r="BL822" t="s">
        <v>509</v>
      </c>
      <c r="BM822" t="s">
        <v>15681</v>
      </c>
      <c r="BN822" t="s">
        <v>74</v>
      </c>
      <c r="BO822" t="s">
        <v>74</v>
      </c>
      <c r="BP822" t="s">
        <v>74</v>
      </c>
      <c r="BQ822" t="s">
        <v>74</v>
      </c>
      <c r="BR822" t="s">
        <v>105</v>
      </c>
      <c r="BS822" t="s">
        <v>15699</v>
      </c>
      <c r="BT822" t="str">
        <f>HYPERLINK("https%3A%2F%2Fwww.webofscience.com%2Fwos%2Fwoscc%2Ffull-record%2FWOS:000407477800016","View Full Record in Web of Science")</f>
        <v>View Full Record in Web of Science</v>
      </c>
    </row>
    <row r="823" spans="1:72" x14ac:dyDescent="0.15">
      <c r="A823" t="s">
        <v>72</v>
      </c>
      <c r="B823" t="s">
        <v>15700</v>
      </c>
      <c r="C823" t="s">
        <v>74</v>
      </c>
      <c r="D823" t="s">
        <v>74</v>
      </c>
      <c r="E823" t="s">
        <v>74</v>
      </c>
      <c r="F823" t="s">
        <v>15701</v>
      </c>
      <c r="G823" t="s">
        <v>74</v>
      </c>
      <c r="H823" t="s">
        <v>74</v>
      </c>
      <c r="I823" t="s">
        <v>15702</v>
      </c>
      <c r="J823" t="s">
        <v>5703</v>
      </c>
      <c r="K823" t="s">
        <v>74</v>
      </c>
      <c r="L823" t="s">
        <v>74</v>
      </c>
      <c r="M823" t="s">
        <v>78</v>
      </c>
      <c r="N823" t="s">
        <v>4722</v>
      </c>
      <c r="O823" t="s">
        <v>15703</v>
      </c>
      <c r="P823" t="s">
        <v>15704</v>
      </c>
      <c r="Q823" t="s">
        <v>15705</v>
      </c>
      <c r="R823" t="s">
        <v>74</v>
      </c>
      <c r="S823" t="s">
        <v>15706</v>
      </c>
      <c r="T823" t="s">
        <v>15707</v>
      </c>
      <c r="U823" t="s">
        <v>15708</v>
      </c>
      <c r="V823" t="s">
        <v>15709</v>
      </c>
      <c r="W823" t="s">
        <v>15710</v>
      </c>
      <c r="X823" t="s">
        <v>15711</v>
      </c>
      <c r="Y823" t="s">
        <v>15712</v>
      </c>
      <c r="Z823" t="s">
        <v>15713</v>
      </c>
      <c r="AA823" t="s">
        <v>15714</v>
      </c>
      <c r="AB823" t="s">
        <v>15715</v>
      </c>
      <c r="AC823" t="s">
        <v>15716</v>
      </c>
      <c r="AD823" t="s">
        <v>15717</v>
      </c>
      <c r="AE823" t="s">
        <v>15718</v>
      </c>
      <c r="AF823" t="s">
        <v>74</v>
      </c>
      <c r="AG823">
        <v>28</v>
      </c>
      <c r="AH823">
        <v>12</v>
      </c>
      <c r="AI823">
        <v>17</v>
      </c>
      <c r="AJ823">
        <v>0</v>
      </c>
      <c r="AK823">
        <v>3</v>
      </c>
      <c r="AL823" t="s">
        <v>1392</v>
      </c>
      <c r="AM823" t="s">
        <v>1393</v>
      </c>
      <c r="AN823" t="s">
        <v>1394</v>
      </c>
      <c r="AO823" t="s">
        <v>5715</v>
      </c>
      <c r="AP823" t="s">
        <v>5716</v>
      </c>
      <c r="AQ823" t="s">
        <v>74</v>
      </c>
      <c r="AR823" t="s">
        <v>5717</v>
      </c>
      <c r="AS823" t="s">
        <v>5718</v>
      </c>
      <c r="AT823" t="s">
        <v>15076</v>
      </c>
      <c r="AU823">
        <v>2017</v>
      </c>
      <c r="AV823">
        <v>10</v>
      </c>
      <c r="AW823">
        <v>7</v>
      </c>
      <c r="AX823" t="s">
        <v>74</v>
      </c>
      <c r="AY823" t="s">
        <v>74</v>
      </c>
      <c r="AZ823" t="s">
        <v>74</v>
      </c>
      <c r="BA823" t="s">
        <v>74</v>
      </c>
      <c r="BB823">
        <v>3036</v>
      </c>
      <c r="BC823">
        <v>3045</v>
      </c>
      <c r="BD823" t="s">
        <v>74</v>
      </c>
      <c r="BE823" t="s">
        <v>15719</v>
      </c>
      <c r="BF823" t="str">
        <f>HYPERLINK("http://dx.doi.org/10.1109/JSTARS.2017.2695224","http://dx.doi.org/10.1109/JSTARS.2017.2695224")</f>
        <v>http://dx.doi.org/10.1109/JSTARS.2017.2695224</v>
      </c>
      <c r="BG823" t="s">
        <v>74</v>
      </c>
      <c r="BH823" t="s">
        <v>74</v>
      </c>
      <c r="BI823">
        <v>10</v>
      </c>
      <c r="BJ823" t="s">
        <v>5720</v>
      </c>
      <c r="BK823" t="s">
        <v>1347</v>
      </c>
      <c r="BL823" t="s">
        <v>5721</v>
      </c>
      <c r="BM823" t="s">
        <v>15720</v>
      </c>
      <c r="BN823" t="s">
        <v>74</v>
      </c>
      <c r="BO823" t="s">
        <v>74</v>
      </c>
      <c r="BP823" t="s">
        <v>74</v>
      </c>
      <c r="BQ823" t="s">
        <v>74</v>
      </c>
      <c r="BR823" t="s">
        <v>105</v>
      </c>
      <c r="BS823" t="s">
        <v>15721</v>
      </c>
      <c r="BT823" t="str">
        <f>HYPERLINK("https%3A%2F%2Fwww.webofscience.com%2Fwos%2Fwoscc%2Ffull-record%2FWOS:000407360200002","View Full Record in Web of Science")</f>
        <v>View Full Record in Web of Science</v>
      </c>
    </row>
    <row r="824" spans="1:72" x14ac:dyDescent="0.15">
      <c r="A824" t="s">
        <v>72</v>
      </c>
      <c r="B824" t="s">
        <v>15722</v>
      </c>
      <c r="C824" t="s">
        <v>74</v>
      </c>
      <c r="D824" t="s">
        <v>74</v>
      </c>
      <c r="E824" t="s">
        <v>74</v>
      </c>
      <c r="F824" t="s">
        <v>15723</v>
      </c>
      <c r="G824" t="s">
        <v>74</v>
      </c>
      <c r="H824" t="s">
        <v>74</v>
      </c>
      <c r="I824" t="s">
        <v>15724</v>
      </c>
      <c r="J824" t="s">
        <v>1221</v>
      </c>
      <c r="K824" t="s">
        <v>74</v>
      </c>
      <c r="L824" t="s">
        <v>74</v>
      </c>
      <c r="M824" t="s">
        <v>78</v>
      </c>
      <c r="N824" t="s">
        <v>79</v>
      </c>
      <c r="O824" t="s">
        <v>74</v>
      </c>
      <c r="P824" t="s">
        <v>74</v>
      </c>
      <c r="Q824" t="s">
        <v>74</v>
      </c>
      <c r="R824" t="s">
        <v>74</v>
      </c>
      <c r="S824" t="s">
        <v>74</v>
      </c>
      <c r="T824" t="s">
        <v>74</v>
      </c>
      <c r="U824" t="s">
        <v>15725</v>
      </c>
      <c r="V824" t="s">
        <v>15726</v>
      </c>
      <c r="W824" t="s">
        <v>15727</v>
      </c>
      <c r="X824" t="s">
        <v>15728</v>
      </c>
      <c r="Y824" t="s">
        <v>15729</v>
      </c>
      <c r="Z824" t="s">
        <v>15730</v>
      </c>
      <c r="AA824" t="s">
        <v>15731</v>
      </c>
      <c r="AB824" t="s">
        <v>15732</v>
      </c>
      <c r="AC824" t="s">
        <v>15733</v>
      </c>
      <c r="AD824" t="s">
        <v>15733</v>
      </c>
      <c r="AE824" t="s">
        <v>15734</v>
      </c>
      <c r="AF824" t="s">
        <v>74</v>
      </c>
      <c r="AG824">
        <v>27</v>
      </c>
      <c r="AH824">
        <v>9</v>
      </c>
      <c r="AI824">
        <v>9</v>
      </c>
      <c r="AJ824">
        <v>1</v>
      </c>
      <c r="AK824">
        <v>8</v>
      </c>
      <c r="AL824" t="s">
        <v>91</v>
      </c>
      <c r="AM824" t="s">
        <v>92</v>
      </c>
      <c r="AN824" t="s">
        <v>93</v>
      </c>
      <c r="AO824" t="s">
        <v>1233</v>
      </c>
      <c r="AP824" t="s">
        <v>1234</v>
      </c>
      <c r="AQ824" t="s">
        <v>74</v>
      </c>
      <c r="AR824" t="s">
        <v>1235</v>
      </c>
      <c r="AS824" t="s">
        <v>1236</v>
      </c>
      <c r="AT824" t="s">
        <v>15076</v>
      </c>
      <c r="AU824">
        <v>2017</v>
      </c>
      <c r="AV824">
        <v>122</v>
      </c>
      <c r="AW824">
        <v>7</v>
      </c>
      <c r="AX824" t="s">
        <v>74</v>
      </c>
      <c r="AY824" t="s">
        <v>74</v>
      </c>
      <c r="AZ824" t="s">
        <v>74</v>
      </c>
      <c r="BA824" t="s">
        <v>74</v>
      </c>
      <c r="BB824">
        <v>7698</v>
      </c>
      <c r="BC824">
        <v>7712</v>
      </c>
      <c r="BD824" t="s">
        <v>74</v>
      </c>
      <c r="BE824" t="s">
        <v>15735</v>
      </c>
      <c r="BF824" t="str">
        <f>HYPERLINK("http://dx.doi.org/10.1002/2016JA023812","http://dx.doi.org/10.1002/2016JA023812")</f>
        <v>http://dx.doi.org/10.1002/2016JA023812</v>
      </c>
      <c r="BG824" t="s">
        <v>74</v>
      </c>
      <c r="BH824" t="s">
        <v>74</v>
      </c>
      <c r="BI824">
        <v>15</v>
      </c>
      <c r="BJ824" t="s">
        <v>349</v>
      </c>
      <c r="BK824" t="s">
        <v>101</v>
      </c>
      <c r="BL824" t="s">
        <v>349</v>
      </c>
      <c r="BM824" t="s">
        <v>15736</v>
      </c>
      <c r="BN824" t="s">
        <v>74</v>
      </c>
      <c r="BO824" t="s">
        <v>74</v>
      </c>
      <c r="BP824" t="s">
        <v>74</v>
      </c>
      <c r="BQ824" t="s">
        <v>74</v>
      </c>
      <c r="BR824" t="s">
        <v>105</v>
      </c>
      <c r="BS824" t="s">
        <v>15737</v>
      </c>
      <c r="BT824" t="str">
        <f>HYPERLINK("https%3A%2F%2Fwww.webofscience.com%2Fwos%2Fwoscc%2Ffull-record%2FWOS:000407627100052","View Full Record in Web of Science")</f>
        <v>View Full Record in Web of Science</v>
      </c>
    </row>
    <row r="825" spans="1:72" x14ac:dyDescent="0.15">
      <c r="A825" t="s">
        <v>72</v>
      </c>
      <c r="B825" t="s">
        <v>15738</v>
      </c>
      <c r="C825" t="s">
        <v>74</v>
      </c>
      <c r="D825" t="s">
        <v>74</v>
      </c>
      <c r="E825" t="s">
        <v>74</v>
      </c>
      <c r="F825" t="s">
        <v>15739</v>
      </c>
      <c r="G825" t="s">
        <v>74</v>
      </c>
      <c r="H825" t="s">
        <v>74</v>
      </c>
      <c r="I825" t="s">
        <v>15740</v>
      </c>
      <c r="J825" t="s">
        <v>1221</v>
      </c>
      <c r="K825" t="s">
        <v>74</v>
      </c>
      <c r="L825" t="s">
        <v>74</v>
      </c>
      <c r="M825" t="s">
        <v>78</v>
      </c>
      <c r="N825" t="s">
        <v>79</v>
      </c>
      <c r="O825" t="s">
        <v>74</v>
      </c>
      <c r="P825" t="s">
        <v>74</v>
      </c>
      <c r="Q825" t="s">
        <v>74</v>
      </c>
      <c r="R825" t="s">
        <v>74</v>
      </c>
      <c r="S825" t="s">
        <v>74</v>
      </c>
      <c r="T825" t="s">
        <v>74</v>
      </c>
      <c r="U825" t="s">
        <v>15741</v>
      </c>
      <c r="V825" t="s">
        <v>15742</v>
      </c>
      <c r="W825" t="s">
        <v>15743</v>
      </c>
      <c r="X825" t="s">
        <v>15744</v>
      </c>
      <c r="Y825" t="s">
        <v>15745</v>
      </c>
      <c r="Z825" t="s">
        <v>15746</v>
      </c>
      <c r="AA825" t="s">
        <v>15747</v>
      </c>
      <c r="AB825" t="s">
        <v>15748</v>
      </c>
      <c r="AC825" t="s">
        <v>15749</v>
      </c>
      <c r="AD825" t="s">
        <v>15750</v>
      </c>
      <c r="AE825" t="s">
        <v>15751</v>
      </c>
      <c r="AF825" t="s">
        <v>74</v>
      </c>
      <c r="AG825">
        <v>44</v>
      </c>
      <c r="AH825">
        <v>33</v>
      </c>
      <c r="AI825">
        <v>35</v>
      </c>
      <c r="AJ825">
        <v>0</v>
      </c>
      <c r="AK825">
        <v>11</v>
      </c>
      <c r="AL825" t="s">
        <v>91</v>
      </c>
      <c r="AM825" t="s">
        <v>92</v>
      </c>
      <c r="AN825" t="s">
        <v>93</v>
      </c>
      <c r="AO825" t="s">
        <v>1233</v>
      </c>
      <c r="AP825" t="s">
        <v>1234</v>
      </c>
      <c r="AQ825" t="s">
        <v>74</v>
      </c>
      <c r="AR825" t="s">
        <v>1235</v>
      </c>
      <c r="AS825" t="s">
        <v>1236</v>
      </c>
      <c r="AT825" t="s">
        <v>15076</v>
      </c>
      <c r="AU825">
        <v>2017</v>
      </c>
      <c r="AV825">
        <v>122</v>
      </c>
      <c r="AW825">
        <v>7</v>
      </c>
      <c r="AX825" t="s">
        <v>74</v>
      </c>
      <c r="AY825" t="s">
        <v>74</v>
      </c>
      <c r="AZ825" t="s">
        <v>74</v>
      </c>
      <c r="BA825" t="s">
        <v>74</v>
      </c>
      <c r="BB825">
        <v>7750</v>
      </c>
      <c r="BC825">
        <v>7760</v>
      </c>
      <c r="BD825" t="s">
        <v>74</v>
      </c>
      <c r="BE825" t="s">
        <v>15752</v>
      </c>
      <c r="BF825" t="str">
        <f>HYPERLINK("http://dx.doi.org/10.1002/2017JA024396","http://dx.doi.org/10.1002/2017JA024396")</f>
        <v>http://dx.doi.org/10.1002/2017JA024396</v>
      </c>
      <c r="BG825" t="s">
        <v>74</v>
      </c>
      <c r="BH825" t="s">
        <v>74</v>
      </c>
      <c r="BI825">
        <v>11</v>
      </c>
      <c r="BJ825" t="s">
        <v>349</v>
      </c>
      <c r="BK825" t="s">
        <v>101</v>
      </c>
      <c r="BL825" t="s">
        <v>349</v>
      </c>
      <c r="BM825" t="s">
        <v>15736</v>
      </c>
      <c r="BN825" t="s">
        <v>74</v>
      </c>
      <c r="BO825" t="s">
        <v>74</v>
      </c>
      <c r="BP825" t="s">
        <v>74</v>
      </c>
      <c r="BQ825" t="s">
        <v>74</v>
      </c>
      <c r="BR825" t="s">
        <v>105</v>
      </c>
      <c r="BS825" t="s">
        <v>15753</v>
      </c>
      <c r="BT825" t="str">
        <f>HYPERLINK("https%3A%2F%2Fwww.webofscience.com%2Fwos%2Fwoscc%2Ffull-record%2FWOS:000407627100056","View Full Record in Web of Science")</f>
        <v>View Full Record in Web of Science</v>
      </c>
    </row>
    <row r="826" spans="1:72" x14ac:dyDescent="0.15">
      <c r="A826" t="s">
        <v>72</v>
      </c>
      <c r="B826" t="s">
        <v>15754</v>
      </c>
      <c r="C826" t="s">
        <v>74</v>
      </c>
      <c r="D826" t="s">
        <v>74</v>
      </c>
      <c r="E826" t="s">
        <v>74</v>
      </c>
      <c r="F826" t="s">
        <v>15755</v>
      </c>
      <c r="G826" t="s">
        <v>74</v>
      </c>
      <c r="H826" t="s">
        <v>74</v>
      </c>
      <c r="I826" t="s">
        <v>15756</v>
      </c>
      <c r="J826" t="s">
        <v>15757</v>
      </c>
      <c r="K826" t="s">
        <v>74</v>
      </c>
      <c r="L826" t="s">
        <v>74</v>
      </c>
      <c r="M826" t="s">
        <v>78</v>
      </c>
      <c r="N826" t="s">
        <v>79</v>
      </c>
      <c r="O826" t="s">
        <v>74</v>
      </c>
      <c r="P826" t="s">
        <v>74</v>
      </c>
      <c r="Q826" t="s">
        <v>74</v>
      </c>
      <c r="R826" t="s">
        <v>74</v>
      </c>
      <c r="S826" t="s">
        <v>74</v>
      </c>
      <c r="T826" t="s">
        <v>15758</v>
      </c>
      <c r="U826" t="s">
        <v>15759</v>
      </c>
      <c r="V826" t="s">
        <v>15760</v>
      </c>
      <c r="W826" t="s">
        <v>15761</v>
      </c>
      <c r="X826" t="s">
        <v>15762</v>
      </c>
      <c r="Y826" t="s">
        <v>15763</v>
      </c>
      <c r="Z826" t="s">
        <v>15764</v>
      </c>
      <c r="AA826" t="s">
        <v>74</v>
      </c>
      <c r="AB826" t="s">
        <v>74</v>
      </c>
      <c r="AC826" t="s">
        <v>15765</v>
      </c>
      <c r="AD826" t="s">
        <v>15765</v>
      </c>
      <c r="AE826" t="s">
        <v>15766</v>
      </c>
      <c r="AF826" t="s">
        <v>74</v>
      </c>
      <c r="AG826">
        <v>32</v>
      </c>
      <c r="AH826">
        <v>0</v>
      </c>
      <c r="AI826">
        <v>1</v>
      </c>
      <c r="AJ826">
        <v>2</v>
      </c>
      <c r="AK826">
        <v>59</v>
      </c>
      <c r="AL826" t="s">
        <v>15767</v>
      </c>
      <c r="AM826" t="s">
        <v>6626</v>
      </c>
      <c r="AN826" t="s">
        <v>15768</v>
      </c>
      <c r="AO826" t="s">
        <v>15769</v>
      </c>
      <c r="AP826" t="s">
        <v>15770</v>
      </c>
      <c r="AQ826" t="s">
        <v>74</v>
      </c>
      <c r="AR826" t="s">
        <v>15771</v>
      </c>
      <c r="AS826" t="s">
        <v>15772</v>
      </c>
      <c r="AT826" t="s">
        <v>15076</v>
      </c>
      <c r="AU826">
        <v>2017</v>
      </c>
      <c r="AV826">
        <v>46</v>
      </c>
      <c r="AW826">
        <v>7</v>
      </c>
      <c r="AX826" t="s">
        <v>74</v>
      </c>
      <c r="AY826" t="s">
        <v>74</v>
      </c>
      <c r="AZ826" t="s">
        <v>74</v>
      </c>
      <c r="BA826" t="s">
        <v>74</v>
      </c>
      <c r="BB826">
        <v>1436</v>
      </c>
      <c r="BC826">
        <v>1439</v>
      </c>
      <c r="BD826" t="s">
        <v>74</v>
      </c>
      <c r="BE826" t="s">
        <v>74</v>
      </c>
      <c r="BF826" t="s">
        <v>74</v>
      </c>
      <c r="BG826" t="s">
        <v>74</v>
      </c>
      <c r="BH826" t="s">
        <v>74</v>
      </c>
      <c r="BI826">
        <v>4</v>
      </c>
      <c r="BJ826" t="s">
        <v>1459</v>
      </c>
      <c r="BK826" t="s">
        <v>101</v>
      </c>
      <c r="BL826" t="s">
        <v>1459</v>
      </c>
      <c r="BM826" t="s">
        <v>15773</v>
      </c>
      <c r="BN826" t="s">
        <v>74</v>
      </c>
      <c r="BO826" t="s">
        <v>74</v>
      </c>
      <c r="BP826" t="s">
        <v>74</v>
      </c>
      <c r="BQ826" t="s">
        <v>74</v>
      </c>
      <c r="BR826" t="s">
        <v>105</v>
      </c>
      <c r="BS826" t="s">
        <v>15774</v>
      </c>
      <c r="BT826" t="str">
        <f>HYPERLINK("https%3A%2F%2Fwww.webofscience.com%2Fwos%2Fwoscc%2Ffull-record%2FWOS:000406894700026","View Full Record in Web of Science")</f>
        <v>View Full Record in Web of Science</v>
      </c>
    </row>
    <row r="827" spans="1:72" x14ac:dyDescent="0.15">
      <c r="A827" t="s">
        <v>72</v>
      </c>
      <c r="B827" t="s">
        <v>15775</v>
      </c>
      <c r="C827" t="s">
        <v>74</v>
      </c>
      <c r="D827" t="s">
        <v>74</v>
      </c>
      <c r="E827" t="s">
        <v>74</v>
      </c>
      <c r="F827" t="s">
        <v>15776</v>
      </c>
      <c r="G827" t="s">
        <v>74</v>
      </c>
      <c r="H827" t="s">
        <v>74</v>
      </c>
      <c r="I827" t="s">
        <v>15777</v>
      </c>
      <c r="J827" t="s">
        <v>15778</v>
      </c>
      <c r="K827" t="s">
        <v>74</v>
      </c>
      <c r="L827" t="s">
        <v>74</v>
      </c>
      <c r="M827" t="s">
        <v>78</v>
      </c>
      <c r="N827" t="s">
        <v>79</v>
      </c>
      <c r="O827" t="s">
        <v>74</v>
      </c>
      <c r="P827" t="s">
        <v>74</v>
      </c>
      <c r="Q827" t="s">
        <v>74</v>
      </c>
      <c r="R827" t="s">
        <v>74</v>
      </c>
      <c r="S827" t="s">
        <v>74</v>
      </c>
      <c r="T827" t="s">
        <v>15779</v>
      </c>
      <c r="U827" t="s">
        <v>15780</v>
      </c>
      <c r="V827" t="s">
        <v>15781</v>
      </c>
      <c r="W827" t="s">
        <v>15782</v>
      </c>
      <c r="X827" t="s">
        <v>15783</v>
      </c>
      <c r="Y827" t="s">
        <v>15784</v>
      </c>
      <c r="Z827" t="s">
        <v>15785</v>
      </c>
      <c r="AA827" t="s">
        <v>15786</v>
      </c>
      <c r="AB827" t="s">
        <v>15787</v>
      </c>
      <c r="AC827" t="s">
        <v>15788</v>
      </c>
      <c r="AD827" t="s">
        <v>15788</v>
      </c>
      <c r="AE827" t="s">
        <v>15789</v>
      </c>
      <c r="AF827" t="s">
        <v>74</v>
      </c>
      <c r="AG827">
        <v>35</v>
      </c>
      <c r="AH827">
        <v>2</v>
      </c>
      <c r="AI827">
        <v>3</v>
      </c>
      <c r="AJ827">
        <v>0</v>
      </c>
      <c r="AK827">
        <v>15</v>
      </c>
      <c r="AL827" t="s">
        <v>15790</v>
      </c>
      <c r="AM827" t="s">
        <v>15791</v>
      </c>
      <c r="AN827" t="s">
        <v>15792</v>
      </c>
      <c r="AO827" t="s">
        <v>15793</v>
      </c>
      <c r="AP827" t="s">
        <v>74</v>
      </c>
      <c r="AQ827" t="s">
        <v>74</v>
      </c>
      <c r="AR827" t="s">
        <v>15794</v>
      </c>
      <c r="AS827" t="s">
        <v>15795</v>
      </c>
      <c r="AT827" t="s">
        <v>15076</v>
      </c>
      <c r="AU827">
        <v>2017</v>
      </c>
      <c r="AV827">
        <v>38</v>
      </c>
      <c r="AW827">
        <v>4</v>
      </c>
      <c r="AX827" t="s">
        <v>74</v>
      </c>
      <c r="AY827" t="s">
        <v>74</v>
      </c>
      <c r="AZ827" t="s">
        <v>74</v>
      </c>
      <c r="BA827" t="s">
        <v>74</v>
      </c>
      <c r="BB827">
        <v>579</v>
      </c>
      <c r="BC827">
        <v>585</v>
      </c>
      <c r="BD827" t="s">
        <v>74</v>
      </c>
      <c r="BE827" t="s">
        <v>15796</v>
      </c>
      <c r="BF827" t="str">
        <f>HYPERLINK("http://dx.doi.org/10.22438/jeb/38/4/MS-237","http://dx.doi.org/10.22438/jeb/38/4/MS-237")</f>
        <v>http://dx.doi.org/10.22438/jeb/38/4/MS-237</v>
      </c>
      <c r="BG827" t="s">
        <v>74</v>
      </c>
      <c r="BH827" t="s">
        <v>74</v>
      </c>
      <c r="BI827">
        <v>7</v>
      </c>
      <c r="BJ827" t="s">
        <v>2867</v>
      </c>
      <c r="BK827" t="s">
        <v>101</v>
      </c>
      <c r="BL827" t="s">
        <v>1048</v>
      </c>
      <c r="BM827" t="s">
        <v>15797</v>
      </c>
      <c r="BN827" t="s">
        <v>74</v>
      </c>
      <c r="BO827" t="s">
        <v>104</v>
      </c>
      <c r="BP827" t="s">
        <v>74</v>
      </c>
      <c r="BQ827" t="s">
        <v>74</v>
      </c>
      <c r="BR827" t="s">
        <v>105</v>
      </c>
      <c r="BS827" t="s">
        <v>15798</v>
      </c>
      <c r="BT827" t="str">
        <f>HYPERLINK("https%3A%2F%2Fwww.webofscience.com%2Fwos%2Fwoscc%2Ffull-record%2FWOS:000404828800008","View Full Record in Web of Science")</f>
        <v>View Full Record in Web of Science</v>
      </c>
    </row>
    <row r="828" spans="1:72" x14ac:dyDescent="0.15">
      <c r="A828" t="s">
        <v>72</v>
      </c>
      <c r="B828" t="s">
        <v>15799</v>
      </c>
      <c r="C828" t="s">
        <v>74</v>
      </c>
      <c r="D828" t="s">
        <v>74</v>
      </c>
      <c r="E828" t="s">
        <v>74</v>
      </c>
      <c r="F828" t="s">
        <v>15800</v>
      </c>
      <c r="G828" t="s">
        <v>74</v>
      </c>
      <c r="H828" t="s">
        <v>74</v>
      </c>
      <c r="I828" t="s">
        <v>15801</v>
      </c>
      <c r="J828" t="s">
        <v>15802</v>
      </c>
      <c r="K828" t="s">
        <v>74</v>
      </c>
      <c r="L828" t="s">
        <v>74</v>
      </c>
      <c r="M828" t="s">
        <v>78</v>
      </c>
      <c r="N828" t="s">
        <v>79</v>
      </c>
      <c r="O828" t="s">
        <v>74</v>
      </c>
      <c r="P828" t="s">
        <v>74</v>
      </c>
      <c r="Q828" t="s">
        <v>74</v>
      </c>
      <c r="R828" t="s">
        <v>74</v>
      </c>
      <c r="S828" t="s">
        <v>74</v>
      </c>
      <c r="T828" t="s">
        <v>15803</v>
      </c>
      <c r="U828" t="s">
        <v>74</v>
      </c>
      <c r="V828" t="s">
        <v>15804</v>
      </c>
      <c r="W828" t="s">
        <v>15805</v>
      </c>
      <c r="X828" t="s">
        <v>5986</v>
      </c>
      <c r="Y828" t="s">
        <v>15806</v>
      </c>
      <c r="Z828" t="s">
        <v>15807</v>
      </c>
      <c r="AA828" t="s">
        <v>74</v>
      </c>
      <c r="AB828" t="s">
        <v>74</v>
      </c>
      <c r="AC828" t="s">
        <v>74</v>
      </c>
      <c r="AD828" t="s">
        <v>74</v>
      </c>
      <c r="AE828" t="s">
        <v>74</v>
      </c>
      <c r="AF828" t="s">
        <v>74</v>
      </c>
      <c r="AG828">
        <v>13</v>
      </c>
      <c r="AH828">
        <v>0</v>
      </c>
      <c r="AI828">
        <v>0</v>
      </c>
      <c r="AJ828">
        <v>0</v>
      </c>
      <c r="AK828">
        <v>2</v>
      </c>
      <c r="AL828" t="s">
        <v>3577</v>
      </c>
      <c r="AM828" t="s">
        <v>209</v>
      </c>
      <c r="AN828" t="s">
        <v>3578</v>
      </c>
      <c r="AO828" t="s">
        <v>15808</v>
      </c>
      <c r="AP828" t="s">
        <v>15809</v>
      </c>
      <c r="AQ828" t="s">
        <v>74</v>
      </c>
      <c r="AR828" t="s">
        <v>15810</v>
      </c>
      <c r="AS828" t="s">
        <v>15811</v>
      </c>
      <c r="AT828" t="s">
        <v>15076</v>
      </c>
      <c r="AU828">
        <v>2017</v>
      </c>
      <c r="AV828">
        <v>42</v>
      </c>
      <c r="AW828">
        <v>7</v>
      </c>
      <c r="AX828" t="s">
        <v>74</v>
      </c>
      <c r="AY828" t="s">
        <v>74</v>
      </c>
      <c r="AZ828" t="s">
        <v>74</v>
      </c>
      <c r="BA828" t="s">
        <v>74</v>
      </c>
      <c r="BB828">
        <v>435</v>
      </c>
      <c r="BC828">
        <v>441</v>
      </c>
      <c r="BD828" t="s">
        <v>74</v>
      </c>
      <c r="BE828" t="s">
        <v>15812</v>
      </c>
      <c r="BF828" t="str">
        <f>HYPERLINK("http://dx.doi.org/10.3103/S1068373917070020","http://dx.doi.org/10.3103/S1068373917070020")</f>
        <v>http://dx.doi.org/10.3103/S1068373917070020</v>
      </c>
      <c r="BG828" t="s">
        <v>74</v>
      </c>
      <c r="BH828" t="s">
        <v>74</v>
      </c>
      <c r="BI828">
        <v>7</v>
      </c>
      <c r="BJ828" t="s">
        <v>162</v>
      </c>
      <c r="BK828" t="s">
        <v>101</v>
      </c>
      <c r="BL828" t="s">
        <v>162</v>
      </c>
      <c r="BM828" t="s">
        <v>15813</v>
      </c>
      <c r="BN828" t="s">
        <v>74</v>
      </c>
      <c r="BO828" t="s">
        <v>74</v>
      </c>
      <c r="BP828" t="s">
        <v>74</v>
      </c>
      <c r="BQ828" t="s">
        <v>74</v>
      </c>
      <c r="BR828" t="s">
        <v>105</v>
      </c>
      <c r="BS828" t="s">
        <v>15814</v>
      </c>
      <c r="BT828" t="str">
        <f>HYPERLINK("https%3A%2F%2Fwww.webofscience.com%2Fwos%2Fwoscc%2Ffull-record%2FWOS:000406975500002","View Full Record in Web of Science")</f>
        <v>View Full Record in Web of Science</v>
      </c>
    </row>
    <row r="829" spans="1:72" x14ac:dyDescent="0.15">
      <c r="A829" t="s">
        <v>72</v>
      </c>
      <c r="B829" t="s">
        <v>15815</v>
      </c>
      <c r="C829" t="s">
        <v>74</v>
      </c>
      <c r="D829" t="s">
        <v>74</v>
      </c>
      <c r="E829" t="s">
        <v>74</v>
      </c>
      <c r="F829" t="s">
        <v>15816</v>
      </c>
      <c r="G829" t="s">
        <v>74</v>
      </c>
      <c r="H829" t="s">
        <v>74</v>
      </c>
      <c r="I829" t="s">
        <v>15817</v>
      </c>
      <c r="J829" t="s">
        <v>5905</v>
      </c>
      <c r="K829" t="s">
        <v>74</v>
      </c>
      <c r="L829" t="s">
        <v>74</v>
      </c>
      <c r="M829" t="s">
        <v>78</v>
      </c>
      <c r="N829" t="s">
        <v>79</v>
      </c>
      <c r="O829" t="s">
        <v>74</v>
      </c>
      <c r="P829" t="s">
        <v>74</v>
      </c>
      <c r="Q829" t="s">
        <v>74</v>
      </c>
      <c r="R829" t="s">
        <v>74</v>
      </c>
      <c r="S829" t="s">
        <v>74</v>
      </c>
      <c r="T829" t="s">
        <v>15818</v>
      </c>
      <c r="U829" t="s">
        <v>15819</v>
      </c>
      <c r="V829" t="s">
        <v>15820</v>
      </c>
      <c r="W829" t="s">
        <v>15821</v>
      </c>
      <c r="X829" t="s">
        <v>15822</v>
      </c>
      <c r="Y829" t="s">
        <v>15823</v>
      </c>
      <c r="Z829" t="s">
        <v>15824</v>
      </c>
      <c r="AA829" t="s">
        <v>15825</v>
      </c>
      <c r="AB829" t="s">
        <v>15826</v>
      </c>
      <c r="AC829" t="s">
        <v>15827</v>
      </c>
      <c r="AD829" t="s">
        <v>15828</v>
      </c>
      <c r="AE829" t="s">
        <v>15829</v>
      </c>
      <c r="AF829" t="s">
        <v>74</v>
      </c>
      <c r="AG829">
        <v>41</v>
      </c>
      <c r="AH829">
        <v>9</v>
      </c>
      <c r="AI829">
        <v>9</v>
      </c>
      <c r="AJ829">
        <v>1</v>
      </c>
      <c r="AK829">
        <v>9</v>
      </c>
      <c r="AL829" t="s">
        <v>5918</v>
      </c>
      <c r="AM829" t="s">
        <v>729</v>
      </c>
      <c r="AN829" t="s">
        <v>5919</v>
      </c>
      <c r="AO829" t="s">
        <v>5920</v>
      </c>
      <c r="AP829" t="s">
        <v>5921</v>
      </c>
      <c r="AQ829" t="s">
        <v>74</v>
      </c>
      <c r="AR829" t="s">
        <v>5922</v>
      </c>
      <c r="AS829" t="s">
        <v>5923</v>
      </c>
      <c r="AT829" t="s">
        <v>15830</v>
      </c>
      <c r="AU829">
        <v>2017</v>
      </c>
      <c r="AV829">
        <v>74</v>
      </c>
      <c r="AW829">
        <v>6</v>
      </c>
      <c r="AX829" t="s">
        <v>74</v>
      </c>
      <c r="AY829" t="s">
        <v>74</v>
      </c>
      <c r="AZ829" t="s">
        <v>74</v>
      </c>
      <c r="BA829" t="s">
        <v>74</v>
      </c>
      <c r="BB829">
        <v>1681</v>
      </c>
      <c r="BC829">
        <v>1689</v>
      </c>
      <c r="BD829" t="s">
        <v>74</v>
      </c>
      <c r="BE829" t="s">
        <v>15831</v>
      </c>
      <c r="BF829" t="str">
        <f>HYPERLINK("http://dx.doi.org/10.1093/icesjms/fsx024","http://dx.doi.org/10.1093/icesjms/fsx024")</f>
        <v>http://dx.doi.org/10.1093/icesjms/fsx024</v>
      </c>
      <c r="BG829" t="s">
        <v>74</v>
      </c>
      <c r="BH829" t="s">
        <v>74</v>
      </c>
      <c r="BI829">
        <v>9</v>
      </c>
      <c r="BJ829" t="s">
        <v>5925</v>
      </c>
      <c r="BK829" t="s">
        <v>765</v>
      </c>
      <c r="BL829" t="s">
        <v>5925</v>
      </c>
      <c r="BM829" t="s">
        <v>15832</v>
      </c>
      <c r="BN829" t="s">
        <v>74</v>
      </c>
      <c r="BO829" t="s">
        <v>74</v>
      </c>
      <c r="BP829" t="s">
        <v>74</v>
      </c>
      <c r="BQ829" t="s">
        <v>74</v>
      </c>
      <c r="BR829" t="s">
        <v>105</v>
      </c>
      <c r="BS829" t="s">
        <v>15833</v>
      </c>
      <c r="BT829" t="str">
        <f>HYPERLINK("https%3A%2F%2Fwww.webofscience.com%2Fwos%2Fwoscc%2Ffull-record%2FWOS:000406598500019","View Full Record in Web of Science")</f>
        <v>View Full Record in Web of Science</v>
      </c>
    </row>
    <row r="830" spans="1:72" x14ac:dyDescent="0.15">
      <c r="A830" t="s">
        <v>72</v>
      </c>
      <c r="B830" t="s">
        <v>15834</v>
      </c>
      <c r="C830" t="s">
        <v>74</v>
      </c>
      <c r="D830" t="s">
        <v>74</v>
      </c>
      <c r="E830" t="s">
        <v>74</v>
      </c>
      <c r="F830" t="s">
        <v>15835</v>
      </c>
      <c r="G830" t="s">
        <v>74</v>
      </c>
      <c r="H830" t="s">
        <v>74</v>
      </c>
      <c r="I830" t="s">
        <v>15836</v>
      </c>
      <c r="J830" t="s">
        <v>2576</v>
      </c>
      <c r="K830" t="s">
        <v>74</v>
      </c>
      <c r="L830" t="s">
        <v>74</v>
      </c>
      <c r="M830" t="s">
        <v>78</v>
      </c>
      <c r="N830" t="s">
        <v>79</v>
      </c>
      <c r="O830" t="s">
        <v>74</v>
      </c>
      <c r="P830" t="s">
        <v>74</v>
      </c>
      <c r="Q830" t="s">
        <v>74</v>
      </c>
      <c r="R830" t="s">
        <v>74</v>
      </c>
      <c r="S830" t="s">
        <v>74</v>
      </c>
      <c r="T830" t="s">
        <v>15837</v>
      </c>
      <c r="U830" t="s">
        <v>15838</v>
      </c>
      <c r="V830" t="s">
        <v>15839</v>
      </c>
      <c r="W830" t="s">
        <v>15840</v>
      </c>
      <c r="X830" t="s">
        <v>3617</v>
      </c>
      <c r="Y830" t="s">
        <v>15841</v>
      </c>
      <c r="Z830" t="s">
        <v>15842</v>
      </c>
      <c r="AA830" t="s">
        <v>74</v>
      </c>
      <c r="AB830" t="s">
        <v>74</v>
      </c>
      <c r="AC830" t="s">
        <v>15843</v>
      </c>
      <c r="AD830" t="s">
        <v>15844</v>
      </c>
      <c r="AE830" t="s">
        <v>15845</v>
      </c>
      <c r="AF830" t="s">
        <v>74</v>
      </c>
      <c r="AG830">
        <v>51</v>
      </c>
      <c r="AH830">
        <v>30</v>
      </c>
      <c r="AI830">
        <v>30</v>
      </c>
      <c r="AJ830">
        <v>1</v>
      </c>
      <c r="AK830">
        <v>25</v>
      </c>
      <c r="AL830" t="s">
        <v>208</v>
      </c>
      <c r="AM830" t="s">
        <v>209</v>
      </c>
      <c r="AN830" t="s">
        <v>210</v>
      </c>
      <c r="AO830" t="s">
        <v>2587</v>
      </c>
      <c r="AP830" t="s">
        <v>2588</v>
      </c>
      <c r="AQ830" t="s">
        <v>74</v>
      </c>
      <c r="AR830" t="s">
        <v>2589</v>
      </c>
      <c r="AS830" t="s">
        <v>2590</v>
      </c>
      <c r="AT830" t="s">
        <v>15076</v>
      </c>
      <c r="AU830">
        <v>2017</v>
      </c>
      <c r="AV830">
        <v>40</v>
      </c>
      <c r="AW830">
        <v>7</v>
      </c>
      <c r="AX830" t="s">
        <v>74</v>
      </c>
      <c r="AY830" t="s">
        <v>74</v>
      </c>
      <c r="AZ830" t="s">
        <v>74</v>
      </c>
      <c r="BA830" t="s">
        <v>74</v>
      </c>
      <c r="BB830">
        <v>1347</v>
      </c>
      <c r="BC830">
        <v>1358</v>
      </c>
      <c r="BD830" t="s">
        <v>74</v>
      </c>
      <c r="BE830" t="s">
        <v>15846</v>
      </c>
      <c r="BF830" t="str">
        <f>HYPERLINK("http://dx.doi.org/10.1007/s00300-016-2057-0","http://dx.doi.org/10.1007/s00300-016-2057-0")</f>
        <v>http://dx.doi.org/10.1007/s00300-016-2057-0</v>
      </c>
      <c r="BG830" t="s">
        <v>74</v>
      </c>
      <c r="BH830" t="s">
        <v>74</v>
      </c>
      <c r="BI830">
        <v>12</v>
      </c>
      <c r="BJ830" t="s">
        <v>2592</v>
      </c>
      <c r="BK830" t="s">
        <v>101</v>
      </c>
      <c r="BL830" t="s">
        <v>2593</v>
      </c>
      <c r="BM830" t="s">
        <v>15847</v>
      </c>
      <c r="BN830" t="s">
        <v>74</v>
      </c>
      <c r="BO830" t="s">
        <v>1240</v>
      </c>
      <c r="BP830" t="s">
        <v>74</v>
      </c>
      <c r="BQ830" t="s">
        <v>74</v>
      </c>
      <c r="BR830" t="s">
        <v>105</v>
      </c>
      <c r="BS830" t="s">
        <v>15848</v>
      </c>
      <c r="BT830" t="str">
        <f>HYPERLINK("https%3A%2F%2Fwww.webofscience.com%2Fwos%2Fwoscc%2Ffull-record%2FWOS:000406338800002","View Full Record in Web of Science")</f>
        <v>View Full Record in Web of Science</v>
      </c>
    </row>
    <row r="831" spans="1:72" x14ac:dyDescent="0.15">
      <c r="A831" t="s">
        <v>72</v>
      </c>
      <c r="B831" t="s">
        <v>15849</v>
      </c>
      <c r="C831" t="s">
        <v>74</v>
      </c>
      <c r="D831" t="s">
        <v>74</v>
      </c>
      <c r="E831" t="s">
        <v>74</v>
      </c>
      <c r="F831" t="s">
        <v>15850</v>
      </c>
      <c r="G831" t="s">
        <v>74</v>
      </c>
      <c r="H831" t="s">
        <v>74</v>
      </c>
      <c r="I831" t="s">
        <v>15851</v>
      </c>
      <c r="J831" t="s">
        <v>2576</v>
      </c>
      <c r="K831" t="s">
        <v>74</v>
      </c>
      <c r="L831" t="s">
        <v>74</v>
      </c>
      <c r="M831" t="s">
        <v>78</v>
      </c>
      <c r="N831" t="s">
        <v>79</v>
      </c>
      <c r="O831" t="s">
        <v>74</v>
      </c>
      <c r="P831" t="s">
        <v>74</v>
      </c>
      <c r="Q831" t="s">
        <v>74</v>
      </c>
      <c r="R831" t="s">
        <v>74</v>
      </c>
      <c r="S831" t="s">
        <v>74</v>
      </c>
      <c r="T831" t="s">
        <v>15852</v>
      </c>
      <c r="U831" t="s">
        <v>15853</v>
      </c>
      <c r="V831" t="s">
        <v>15854</v>
      </c>
      <c r="W831" t="s">
        <v>15855</v>
      </c>
      <c r="X831" t="s">
        <v>15856</v>
      </c>
      <c r="Y831" t="s">
        <v>15857</v>
      </c>
      <c r="Z831" t="s">
        <v>15858</v>
      </c>
      <c r="AA831" t="s">
        <v>15859</v>
      </c>
      <c r="AB831" t="s">
        <v>74</v>
      </c>
      <c r="AC831" t="s">
        <v>15860</v>
      </c>
      <c r="AD831" t="s">
        <v>15861</v>
      </c>
      <c r="AE831" t="s">
        <v>15862</v>
      </c>
      <c r="AF831" t="s">
        <v>74</v>
      </c>
      <c r="AG831">
        <v>79</v>
      </c>
      <c r="AH831">
        <v>18</v>
      </c>
      <c r="AI831">
        <v>19</v>
      </c>
      <c r="AJ831">
        <v>0</v>
      </c>
      <c r="AK831">
        <v>39</v>
      </c>
      <c r="AL831" t="s">
        <v>208</v>
      </c>
      <c r="AM831" t="s">
        <v>209</v>
      </c>
      <c r="AN831" t="s">
        <v>210</v>
      </c>
      <c r="AO831" t="s">
        <v>2587</v>
      </c>
      <c r="AP831" t="s">
        <v>2588</v>
      </c>
      <c r="AQ831" t="s">
        <v>74</v>
      </c>
      <c r="AR831" t="s">
        <v>2589</v>
      </c>
      <c r="AS831" t="s">
        <v>2590</v>
      </c>
      <c r="AT831" t="s">
        <v>15076</v>
      </c>
      <c r="AU831">
        <v>2017</v>
      </c>
      <c r="AV831">
        <v>40</v>
      </c>
      <c r="AW831">
        <v>7</v>
      </c>
      <c r="AX831" t="s">
        <v>74</v>
      </c>
      <c r="AY831" t="s">
        <v>74</v>
      </c>
      <c r="AZ831" t="s">
        <v>74</v>
      </c>
      <c r="BA831" t="s">
        <v>74</v>
      </c>
      <c r="BB831">
        <v>1371</v>
      </c>
      <c r="BC831">
        <v>1384</v>
      </c>
      <c r="BD831" t="s">
        <v>74</v>
      </c>
      <c r="BE831" t="s">
        <v>15863</v>
      </c>
      <c r="BF831" t="str">
        <f>HYPERLINK("http://dx.doi.org/10.1007/s00300-016-2061-4","http://dx.doi.org/10.1007/s00300-016-2061-4")</f>
        <v>http://dx.doi.org/10.1007/s00300-016-2061-4</v>
      </c>
      <c r="BG831" t="s">
        <v>74</v>
      </c>
      <c r="BH831" t="s">
        <v>74</v>
      </c>
      <c r="BI831">
        <v>14</v>
      </c>
      <c r="BJ831" t="s">
        <v>2592</v>
      </c>
      <c r="BK831" t="s">
        <v>101</v>
      </c>
      <c r="BL831" t="s">
        <v>2593</v>
      </c>
      <c r="BM831" t="s">
        <v>15847</v>
      </c>
      <c r="BN831" t="s">
        <v>74</v>
      </c>
      <c r="BO831" t="s">
        <v>74</v>
      </c>
      <c r="BP831" t="s">
        <v>74</v>
      </c>
      <c r="BQ831" t="s">
        <v>74</v>
      </c>
      <c r="BR831" t="s">
        <v>105</v>
      </c>
      <c r="BS831" t="s">
        <v>15864</v>
      </c>
      <c r="BT831" t="str">
        <f>HYPERLINK("https%3A%2F%2Fwww.webofscience.com%2Fwos%2Fwoscc%2Ffull-record%2FWOS:000406338800004","View Full Record in Web of Science")</f>
        <v>View Full Record in Web of Science</v>
      </c>
    </row>
    <row r="832" spans="1:72" x14ac:dyDescent="0.15">
      <c r="A832" t="s">
        <v>72</v>
      </c>
      <c r="B832" t="s">
        <v>15865</v>
      </c>
      <c r="C832" t="s">
        <v>74</v>
      </c>
      <c r="D832" t="s">
        <v>74</v>
      </c>
      <c r="E832" t="s">
        <v>74</v>
      </c>
      <c r="F832" t="s">
        <v>15866</v>
      </c>
      <c r="G832" t="s">
        <v>74</v>
      </c>
      <c r="H832" t="s">
        <v>74</v>
      </c>
      <c r="I832" t="s">
        <v>15867</v>
      </c>
      <c r="J832" t="s">
        <v>2576</v>
      </c>
      <c r="K832" t="s">
        <v>74</v>
      </c>
      <c r="L832" t="s">
        <v>74</v>
      </c>
      <c r="M832" t="s">
        <v>78</v>
      </c>
      <c r="N832" t="s">
        <v>79</v>
      </c>
      <c r="O832" t="s">
        <v>74</v>
      </c>
      <c r="P832" t="s">
        <v>74</v>
      </c>
      <c r="Q832" t="s">
        <v>74</v>
      </c>
      <c r="R832" t="s">
        <v>74</v>
      </c>
      <c r="S832" t="s">
        <v>74</v>
      </c>
      <c r="T832" t="s">
        <v>15868</v>
      </c>
      <c r="U832" t="s">
        <v>15869</v>
      </c>
      <c r="V832" t="s">
        <v>15870</v>
      </c>
      <c r="W832" t="s">
        <v>15871</v>
      </c>
      <c r="X832" t="s">
        <v>74</v>
      </c>
      <c r="Y832" t="s">
        <v>15872</v>
      </c>
      <c r="Z832" t="s">
        <v>15873</v>
      </c>
      <c r="AA832" t="s">
        <v>15874</v>
      </c>
      <c r="AB832" t="s">
        <v>15875</v>
      </c>
      <c r="AC832" t="s">
        <v>15876</v>
      </c>
      <c r="AD832" t="s">
        <v>15877</v>
      </c>
      <c r="AE832" t="s">
        <v>15878</v>
      </c>
      <c r="AF832" t="s">
        <v>74</v>
      </c>
      <c r="AG832">
        <v>44</v>
      </c>
      <c r="AH832">
        <v>16</v>
      </c>
      <c r="AI832">
        <v>16</v>
      </c>
      <c r="AJ832">
        <v>0</v>
      </c>
      <c r="AK832">
        <v>22</v>
      </c>
      <c r="AL832" t="s">
        <v>208</v>
      </c>
      <c r="AM832" t="s">
        <v>209</v>
      </c>
      <c r="AN832" t="s">
        <v>2659</v>
      </c>
      <c r="AO832" t="s">
        <v>2587</v>
      </c>
      <c r="AP832" t="s">
        <v>2588</v>
      </c>
      <c r="AQ832" t="s">
        <v>74</v>
      </c>
      <c r="AR832" t="s">
        <v>2589</v>
      </c>
      <c r="AS832" t="s">
        <v>2590</v>
      </c>
      <c r="AT832" t="s">
        <v>15076</v>
      </c>
      <c r="AU832">
        <v>2017</v>
      </c>
      <c r="AV832">
        <v>40</v>
      </c>
      <c r="AW832">
        <v>7</v>
      </c>
      <c r="AX832" t="s">
        <v>74</v>
      </c>
      <c r="AY832" t="s">
        <v>74</v>
      </c>
      <c r="AZ832" t="s">
        <v>74</v>
      </c>
      <c r="BA832" t="s">
        <v>74</v>
      </c>
      <c r="BB832">
        <v>1393</v>
      </c>
      <c r="BC832">
        <v>1407</v>
      </c>
      <c r="BD832" t="s">
        <v>74</v>
      </c>
      <c r="BE832" t="s">
        <v>15879</v>
      </c>
      <c r="BF832" t="str">
        <f>HYPERLINK("http://dx.doi.org/10.1007/s00300-016-2065-0","http://dx.doi.org/10.1007/s00300-016-2065-0")</f>
        <v>http://dx.doi.org/10.1007/s00300-016-2065-0</v>
      </c>
      <c r="BG832" t="s">
        <v>74</v>
      </c>
      <c r="BH832" t="s">
        <v>74</v>
      </c>
      <c r="BI832">
        <v>15</v>
      </c>
      <c r="BJ832" t="s">
        <v>2592</v>
      </c>
      <c r="BK832" t="s">
        <v>101</v>
      </c>
      <c r="BL832" t="s">
        <v>2593</v>
      </c>
      <c r="BM832" t="s">
        <v>15847</v>
      </c>
      <c r="BN832" t="s">
        <v>74</v>
      </c>
      <c r="BO832" t="s">
        <v>74</v>
      </c>
      <c r="BP832" t="s">
        <v>74</v>
      </c>
      <c r="BQ832" t="s">
        <v>74</v>
      </c>
      <c r="BR832" t="s">
        <v>105</v>
      </c>
      <c r="BS832" t="s">
        <v>15880</v>
      </c>
      <c r="BT832" t="str">
        <f>HYPERLINK("https%3A%2F%2Fwww.webofscience.com%2Fwos%2Fwoscc%2Ffull-record%2FWOS:000406338800006","View Full Record in Web of Science")</f>
        <v>View Full Record in Web of Science</v>
      </c>
    </row>
    <row r="833" spans="1:72" x14ac:dyDescent="0.15">
      <c r="A833" t="s">
        <v>72</v>
      </c>
      <c r="B833" t="s">
        <v>15881</v>
      </c>
      <c r="C833" t="s">
        <v>74</v>
      </c>
      <c r="D833" t="s">
        <v>74</v>
      </c>
      <c r="E833" t="s">
        <v>74</v>
      </c>
      <c r="F833" t="s">
        <v>15882</v>
      </c>
      <c r="G833" t="s">
        <v>74</v>
      </c>
      <c r="H833" t="s">
        <v>74</v>
      </c>
      <c r="I833" t="s">
        <v>15883</v>
      </c>
      <c r="J833" t="s">
        <v>2576</v>
      </c>
      <c r="K833" t="s">
        <v>74</v>
      </c>
      <c r="L833" t="s">
        <v>74</v>
      </c>
      <c r="M833" t="s">
        <v>78</v>
      </c>
      <c r="N833" t="s">
        <v>79</v>
      </c>
      <c r="O833" t="s">
        <v>74</v>
      </c>
      <c r="P833" t="s">
        <v>74</v>
      </c>
      <c r="Q833" t="s">
        <v>74</v>
      </c>
      <c r="R833" t="s">
        <v>74</v>
      </c>
      <c r="S833" t="s">
        <v>74</v>
      </c>
      <c r="T833" t="s">
        <v>15884</v>
      </c>
      <c r="U833" t="s">
        <v>15885</v>
      </c>
      <c r="V833" t="s">
        <v>15886</v>
      </c>
      <c r="W833" t="s">
        <v>15887</v>
      </c>
      <c r="X833" t="s">
        <v>15888</v>
      </c>
      <c r="Y833" t="s">
        <v>15889</v>
      </c>
      <c r="Z833" t="s">
        <v>15890</v>
      </c>
      <c r="AA833" t="s">
        <v>15891</v>
      </c>
      <c r="AB833" t="s">
        <v>15892</v>
      </c>
      <c r="AC833" t="s">
        <v>15893</v>
      </c>
      <c r="AD833" t="s">
        <v>15894</v>
      </c>
      <c r="AE833" t="s">
        <v>15895</v>
      </c>
      <c r="AF833" t="s">
        <v>74</v>
      </c>
      <c r="AG833">
        <v>66</v>
      </c>
      <c r="AH833">
        <v>15</v>
      </c>
      <c r="AI833">
        <v>15</v>
      </c>
      <c r="AJ833">
        <v>3</v>
      </c>
      <c r="AK833">
        <v>20</v>
      </c>
      <c r="AL833" t="s">
        <v>208</v>
      </c>
      <c r="AM833" t="s">
        <v>209</v>
      </c>
      <c r="AN833" t="s">
        <v>210</v>
      </c>
      <c r="AO833" t="s">
        <v>2587</v>
      </c>
      <c r="AP833" t="s">
        <v>2588</v>
      </c>
      <c r="AQ833" t="s">
        <v>74</v>
      </c>
      <c r="AR833" t="s">
        <v>2589</v>
      </c>
      <c r="AS833" t="s">
        <v>2590</v>
      </c>
      <c r="AT833" t="s">
        <v>15076</v>
      </c>
      <c r="AU833">
        <v>2017</v>
      </c>
      <c r="AV833">
        <v>40</v>
      </c>
      <c r="AW833">
        <v>7</v>
      </c>
      <c r="AX833" t="s">
        <v>74</v>
      </c>
      <c r="AY833" t="s">
        <v>74</v>
      </c>
      <c r="AZ833" t="s">
        <v>74</v>
      </c>
      <c r="BA833" t="s">
        <v>74</v>
      </c>
      <c r="BB833">
        <v>1409</v>
      </c>
      <c r="BC833">
        <v>1423</v>
      </c>
      <c r="BD833" t="s">
        <v>74</v>
      </c>
      <c r="BE833" t="s">
        <v>15896</v>
      </c>
      <c r="BF833" t="str">
        <f>HYPERLINK("http://dx.doi.org/10.1007/s00300-016-2066-z","http://dx.doi.org/10.1007/s00300-016-2066-z")</f>
        <v>http://dx.doi.org/10.1007/s00300-016-2066-z</v>
      </c>
      <c r="BG833" t="s">
        <v>74</v>
      </c>
      <c r="BH833" t="s">
        <v>74</v>
      </c>
      <c r="BI833">
        <v>15</v>
      </c>
      <c r="BJ833" t="s">
        <v>2592</v>
      </c>
      <c r="BK833" t="s">
        <v>101</v>
      </c>
      <c r="BL833" t="s">
        <v>2593</v>
      </c>
      <c r="BM833" t="s">
        <v>15847</v>
      </c>
      <c r="BN833" t="s">
        <v>74</v>
      </c>
      <c r="BO833" t="s">
        <v>74</v>
      </c>
      <c r="BP833" t="s">
        <v>74</v>
      </c>
      <c r="BQ833" t="s">
        <v>74</v>
      </c>
      <c r="BR833" t="s">
        <v>105</v>
      </c>
      <c r="BS833" t="s">
        <v>15897</v>
      </c>
      <c r="BT833" t="str">
        <f>HYPERLINK("https%3A%2F%2Fwww.webofscience.com%2Fwos%2Fwoscc%2Ffull-record%2FWOS:000406338800007","View Full Record in Web of Science")</f>
        <v>View Full Record in Web of Science</v>
      </c>
    </row>
    <row r="834" spans="1:72" x14ac:dyDescent="0.15">
      <c r="A834" t="s">
        <v>72</v>
      </c>
      <c r="B834" t="s">
        <v>15898</v>
      </c>
      <c r="C834" t="s">
        <v>74</v>
      </c>
      <c r="D834" t="s">
        <v>74</v>
      </c>
      <c r="E834" t="s">
        <v>74</v>
      </c>
      <c r="F834" t="s">
        <v>15899</v>
      </c>
      <c r="G834" t="s">
        <v>74</v>
      </c>
      <c r="H834" t="s">
        <v>74</v>
      </c>
      <c r="I834" t="s">
        <v>15900</v>
      </c>
      <c r="J834" t="s">
        <v>2576</v>
      </c>
      <c r="K834" t="s">
        <v>74</v>
      </c>
      <c r="L834" t="s">
        <v>74</v>
      </c>
      <c r="M834" t="s">
        <v>78</v>
      </c>
      <c r="N834" t="s">
        <v>79</v>
      </c>
      <c r="O834" t="s">
        <v>74</v>
      </c>
      <c r="P834" t="s">
        <v>74</v>
      </c>
      <c r="Q834" t="s">
        <v>74</v>
      </c>
      <c r="R834" t="s">
        <v>74</v>
      </c>
      <c r="S834" t="s">
        <v>74</v>
      </c>
      <c r="T834" t="s">
        <v>15901</v>
      </c>
      <c r="U834" t="s">
        <v>15902</v>
      </c>
      <c r="V834" t="s">
        <v>15903</v>
      </c>
      <c r="W834" t="s">
        <v>15904</v>
      </c>
      <c r="X834" t="s">
        <v>15905</v>
      </c>
      <c r="Y834" t="s">
        <v>15906</v>
      </c>
      <c r="Z834" t="s">
        <v>1702</v>
      </c>
      <c r="AA834" t="s">
        <v>15907</v>
      </c>
      <c r="AB834" t="s">
        <v>15908</v>
      </c>
      <c r="AC834" t="s">
        <v>15909</v>
      </c>
      <c r="AD834" t="s">
        <v>15909</v>
      </c>
      <c r="AE834" t="s">
        <v>15910</v>
      </c>
      <c r="AF834" t="s">
        <v>74</v>
      </c>
      <c r="AG834">
        <v>39</v>
      </c>
      <c r="AH834">
        <v>13</v>
      </c>
      <c r="AI834">
        <v>14</v>
      </c>
      <c r="AJ834">
        <v>0</v>
      </c>
      <c r="AK834">
        <v>12</v>
      </c>
      <c r="AL834" t="s">
        <v>208</v>
      </c>
      <c r="AM834" t="s">
        <v>209</v>
      </c>
      <c r="AN834" t="s">
        <v>2659</v>
      </c>
      <c r="AO834" t="s">
        <v>2587</v>
      </c>
      <c r="AP834" t="s">
        <v>2588</v>
      </c>
      <c r="AQ834" t="s">
        <v>74</v>
      </c>
      <c r="AR834" t="s">
        <v>2589</v>
      </c>
      <c r="AS834" t="s">
        <v>2590</v>
      </c>
      <c r="AT834" t="s">
        <v>15076</v>
      </c>
      <c r="AU834">
        <v>2017</v>
      </c>
      <c r="AV834">
        <v>40</v>
      </c>
      <c r="AW834">
        <v>7</v>
      </c>
      <c r="AX834" t="s">
        <v>74</v>
      </c>
      <c r="AY834" t="s">
        <v>74</v>
      </c>
      <c r="AZ834" t="s">
        <v>74</v>
      </c>
      <c r="BA834" t="s">
        <v>74</v>
      </c>
      <c r="BB834">
        <v>1441</v>
      </c>
      <c r="BC834">
        <v>1450</v>
      </c>
      <c r="BD834" t="s">
        <v>74</v>
      </c>
      <c r="BE834" t="s">
        <v>15911</v>
      </c>
      <c r="BF834" t="str">
        <f>HYPERLINK("http://dx.doi.org/10.1007/s00300-016-2068-x","http://dx.doi.org/10.1007/s00300-016-2068-x")</f>
        <v>http://dx.doi.org/10.1007/s00300-016-2068-x</v>
      </c>
      <c r="BG834" t="s">
        <v>74</v>
      </c>
      <c r="BH834" t="s">
        <v>74</v>
      </c>
      <c r="BI834">
        <v>10</v>
      </c>
      <c r="BJ834" t="s">
        <v>2592</v>
      </c>
      <c r="BK834" t="s">
        <v>101</v>
      </c>
      <c r="BL834" t="s">
        <v>2593</v>
      </c>
      <c r="BM834" t="s">
        <v>15847</v>
      </c>
      <c r="BN834" t="s">
        <v>74</v>
      </c>
      <c r="BO834" t="s">
        <v>74</v>
      </c>
      <c r="BP834" t="s">
        <v>74</v>
      </c>
      <c r="BQ834" t="s">
        <v>74</v>
      </c>
      <c r="BR834" t="s">
        <v>105</v>
      </c>
      <c r="BS834" t="s">
        <v>15912</v>
      </c>
      <c r="BT834" t="str">
        <f>HYPERLINK("https%3A%2F%2Fwww.webofscience.com%2Fwos%2Fwoscc%2Ffull-record%2FWOS:000406338800009","View Full Record in Web of Science")</f>
        <v>View Full Record in Web of Science</v>
      </c>
    </row>
    <row r="835" spans="1:72" x14ac:dyDescent="0.15">
      <c r="A835" t="s">
        <v>72</v>
      </c>
      <c r="B835" t="s">
        <v>15913</v>
      </c>
      <c r="C835" t="s">
        <v>74</v>
      </c>
      <c r="D835" t="s">
        <v>74</v>
      </c>
      <c r="E835" t="s">
        <v>74</v>
      </c>
      <c r="F835" t="s">
        <v>15914</v>
      </c>
      <c r="G835" t="s">
        <v>74</v>
      </c>
      <c r="H835" t="s">
        <v>74</v>
      </c>
      <c r="I835" t="s">
        <v>15915</v>
      </c>
      <c r="J835" t="s">
        <v>2576</v>
      </c>
      <c r="K835" t="s">
        <v>74</v>
      </c>
      <c r="L835" t="s">
        <v>74</v>
      </c>
      <c r="M835" t="s">
        <v>78</v>
      </c>
      <c r="N835" t="s">
        <v>79</v>
      </c>
      <c r="O835" t="s">
        <v>74</v>
      </c>
      <c r="P835" t="s">
        <v>74</v>
      </c>
      <c r="Q835" t="s">
        <v>74</v>
      </c>
      <c r="R835" t="s">
        <v>74</v>
      </c>
      <c r="S835" t="s">
        <v>74</v>
      </c>
      <c r="T835" t="s">
        <v>15916</v>
      </c>
      <c r="U835" t="s">
        <v>15917</v>
      </c>
      <c r="V835" t="s">
        <v>15918</v>
      </c>
      <c r="W835" t="s">
        <v>15919</v>
      </c>
      <c r="X835" t="s">
        <v>11887</v>
      </c>
      <c r="Y835" t="s">
        <v>15920</v>
      </c>
      <c r="Z835" t="s">
        <v>11889</v>
      </c>
      <c r="AA835" t="s">
        <v>11890</v>
      </c>
      <c r="AB835" t="s">
        <v>15921</v>
      </c>
      <c r="AC835" t="s">
        <v>15922</v>
      </c>
      <c r="AD835" t="s">
        <v>15923</v>
      </c>
      <c r="AE835" t="s">
        <v>15924</v>
      </c>
      <c r="AF835" t="s">
        <v>74</v>
      </c>
      <c r="AG835">
        <v>39</v>
      </c>
      <c r="AH835">
        <v>9</v>
      </c>
      <c r="AI835">
        <v>9</v>
      </c>
      <c r="AJ835">
        <v>0</v>
      </c>
      <c r="AK835">
        <v>21</v>
      </c>
      <c r="AL835" t="s">
        <v>208</v>
      </c>
      <c r="AM835" t="s">
        <v>209</v>
      </c>
      <c r="AN835" t="s">
        <v>210</v>
      </c>
      <c r="AO835" t="s">
        <v>2587</v>
      </c>
      <c r="AP835" t="s">
        <v>2588</v>
      </c>
      <c r="AQ835" t="s">
        <v>74</v>
      </c>
      <c r="AR835" t="s">
        <v>2589</v>
      </c>
      <c r="AS835" t="s">
        <v>2590</v>
      </c>
      <c r="AT835" t="s">
        <v>15076</v>
      </c>
      <c r="AU835">
        <v>2017</v>
      </c>
      <c r="AV835">
        <v>40</v>
      </c>
      <c r="AW835">
        <v>7</v>
      </c>
      <c r="AX835" t="s">
        <v>74</v>
      </c>
      <c r="AY835" t="s">
        <v>74</v>
      </c>
      <c r="AZ835" t="s">
        <v>74</v>
      </c>
      <c r="BA835" t="s">
        <v>74</v>
      </c>
      <c r="BB835">
        <v>1475</v>
      </c>
      <c r="BC835">
        <v>1480</v>
      </c>
      <c r="BD835" t="s">
        <v>74</v>
      </c>
      <c r="BE835" t="s">
        <v>15925</v>
      </c>
      <c r="BF835" t="str">
        <f>HYPERLINK("http://dx.doi.org/10.1007/s00300-016-2058-z","http://dx.doi.org/10.1007/s00300-016-2058-z")</f>
        <v>http://dx.doi.org/10.1007/s00300-016-2058-z</v>
      </c>
      <c r="BG835" t="s">
        <v>74</v>
      </c>
      <c r="BH835" t="s">
        <v>74</v>
      </c>
      <c r="BI835">
        <v>6</v>
      </c>
      <c r="BJ835" t="s">
        <v>2592</v>
      </c>
      <c r="BK835" t="s">
        <v>101</v>
      </c>
      <c r="BL835" t="s">
        <v>2593</v>
      </c>
      <c r="BM835" t="s">
        <v>15847</v>
      </c>
      <c r="BN835" t="s">
        <v>74</v>
      </c>
      <c r="BO835" t="s">
        <v>74</v>
      </c>
      <c r="BP835" t="s">
        <v>74</v>
      </c>
      <c r="BQ835" t="s">
        <v>74</v>
      </c>
      <c r="BR835" t="s">
        <v>105</v>
      </c>
      <c r="BS835" t="s">
        <v>15926</v>
      </c>
      <c r="BT835" t="str">
        <f>HYPERLINK("https%3A%2F%2Fwww.webofscience.com%2Fwos%2Fwoscc%2Ffull-record%2FWOS:000406338800013","View Full Record in Web of Science")</f>
        <v>View Full Record in Web of Science</v>
      </c>
    </row>
    <row r="836" spans="1:72" x14ac:dyDescent="0.15">
      <c r="A836" t="s">
        <v>72</v>
      </c>
      <c r="B836" t="s">
        <v>15927</v>
      </c>
      <c r="C836" t="s">
        <v>74</v>
      </c>
      <c r="D836" t="s">
        <v>74</v>
      </c>
      <c r="E836" t="s">
        <v>74</v>
      </c>
      <c r="F836" t="s">
        <v>15928</v>
      </c>
      <c r="G836" t="s">
        <v>74</v>
      </c>
      <c r="H836" t="s">
        <v>74</v>
      </c>
      <c r="I836" t="s">
        <v>15929</v>
      </c>
      <c r="J836" t="s">
        <v>15930</v>
      </c>
      <c r="K836" t="s">
        <v>74</v>
      </c>
      <c r="L836" t="s">
        <v>74</v>
      </c>
      <c r="M836" t="s">
        <v>78</v>
      </c>
      <c r="N836" t="s">
        <v>79</v>
      </c>
      <c r="O836" t="s">
        <v>74</v>
      </c>
      <c r="P836" t="s">
        <v>74</v>
      </c>
      <c r="Q836" t="s">
        <v>74</v>
      </c>
      <c r="R836" t="s">
        <v>74</v>
      </c>
      <c r="S836" t="s">
        <v>74</v>
      </c>
      <c r="T836" t="s">
        <v>15931</v>
      </c>
      <c r="U836" t="s">
        <v>15932</v>
      </c>
      <c r="V836" t="s">
        <v>15933</v>
      </c>
      <c r="W836" t="s">
        <v>15934</v>
      </c>
      <c r="X836" t="s">
        <v>15935</v>
      </c>
      <c r="Y836" t="s">
        <v>15936</v>
      </c>
      <c r="Z836" t="s">
        <v>15937</v>
      </c>
      <c r="AA836" t="s">
        <v>15938</v>
      </c>
      <c r="AB836" t="s">
        <v>15939</v>
      </c>
      <c r="AC836" t="s">
        <v>15940</v>
      </c>
      <c r="AD836" t="s">
        <v>15941</v>
      </c>
      <c r="AE836" t="s">
        <v>15942</v>
      </c>
      <c r="AF836" t="s">
        <v>74</v>
      </c>
      <c r="AG836">
        <v>18</v>
      </c>
      <c r="AH836">
        <v>8</v>
      </c>
      <c r="AI836">
        <v>8</v>
      </c>
      <c r="AJ836">
        <v>1</v>
      </c>
      <c r="AK836">
        <v>8</v>
      </c>
      <c r="AL836" t="s">
        <v>9467</v>
      </c>
      <c r="AM836" t="s">
        <v>92</v>
      </c>
      <c r="AN836" t="s">
        <v>9468</v>
      </c>
      <c r="AO836" t="s">
        <v>15943</v>
      </c>
      <c r="AP836" t="s">
        <v>74</v>
      </c>
      <c r="AQ836" t="s">
        <v>74</v>
      </c>
      <c r="AR836" t="s">
        <v>15944</v>
      </c>
      <c r="AS836" t="s">
        <v>15945</v>
      </c>
      <c r="AT836" t="s">
        <v>15076</v>
      </c>
      <c r="AU836">
        <v>2017</v>
      </c>
      <c r="AV836">
        <v>1</v>
      </c>
      <c r="AW836">
        <v>5</v>
      </c>
      <c r="AX836" t="s">
        <v>74</v>
      </c>
      <c r="AY836" t="s">
        <v>74</v>
      </c>
      <c r="AZ836" t="s">
        <v>74</v>
      </c>
      <c r="BA836" t="s">
        <v>74</v>
      </c>
      <c r="BB836">
        <v>261</v>
      </c>
      <c r="BC836">
        <v>269</v>
      </c>
      <c r="BD836" t="s">
        <v>74</v>
      </c>
      <c r="BE836" t="s">
        <v>15946</v>
      </c>
      <c r="BF836" t="str">
        <f>HYPERLINK("http://dx.doi.org/10.1021/acsearthspacechem.7b00018","http://dx.doi.org/10.1021/acsearthspacechem.7b00018")</f>
        <v>http://dx.doi.org/10.1021/acsearthspacechem.7b00018</v>
      </c>
      <c r="BG836" t="s">
        <v>74</v>
      </c>
      <c r="BH836" t="s">
        <v>74</v>
      </c>
      <c r="BI836">
        <v>9</v>
      </c>
      <c r="BJ836" t="s">
        <v>15947</v>
      </c>
      <c r="BK836" t="s">
        <v>101</v>
      </c>
      <c r="BL836" t="s">
        <v>15948</v>
      </c>
      <c r="BM836" t="s">
        <v>15949</v>
      </c>
      <c r="BN836" t="s">
        <v>74</v>
      </c>
      <c r="BO836" t="s">
        <v>74</v>
      </c>
      <c r="BP836" t="s">
        <v>74</v>
      </c>
      <c r="BQ836" t="s">
        <v>74</v>
      </c>
      <c r="BR836" t="s">
        <v>105</v>
      </c>
      <c r="BS836" t="s">
        <v>15950</v>
      </c>
      <c r="BT836" t="str">
        <f>HYPERLINK("https%3A%2F%2Fwww.webofscience.com%2Fwos%2Fwoscc%2Ffull-record%2FWOS:000406356800004","View Full Record in Web of Science")</f>
        <v>View Full Record in Web of Science</v>
      </c>
    </row>
    <row r="837" spans="1:72" x14ac:dyDescent="0.15">
      <c r="A837" t="s">
        <v>72</v>
      </c>
      <c r="B837" t="s">
        <v>15951</v>
      </c>
      <c r="C837" t="s">
        <v>74</v>
      </c>
      <c r="D837" t="s">
        <v>74</v>
      </c>
      <c r="E837" t="s">
        <v>74</v>
      </c>
      <c r="F837" t="s">
        <v>15952</v>
      </c>
      <c r="G837" t="s">
        <v>74</v>
      </c>
      <c r="H837" t="s">
        <v>74</v>
      </c>
      <c r="I837" t="s">
        <v>15953</v>
      </c>
      <c r="J837" t="s">
        <v>15954</v>
      </c>
      <c r="K837" t="s">
        <v>74</v>
      </c>
      <c r="L837" t="s">
        <v>74</v>
      </c>
      <c r="M837" t="s">
        <v>78</v>
      </c>
      <c r="N837" t="s">
        <v>79</v>
      </c>
      <c r="O837" t="s">
        <v>74</v>
      </c>
      <c r="P837" t="s">
        <v>74</v>
      </c>
      <c r="Q837" t="s">
        <v>74</v>
      </c>
      <c r="R837" t="s">
        <v>74</v>
      </c>
      <c r="S837" t="s">
        <v>74</v>
      </c>
      <c r="T837" t="s">
        <v>15955</v>
      </c>
      <c r="U837" t="s">
        <v>15956</v>
      </c>
      <c r="V837" t="s">
        <v>15957</v>
      </c>
      <c r="W837" t="s">
        <v>15958</v>
      </c>
      <c r="X837" t="s">
        <v>15959</v>
      </c>
      <c r="Y837" t="s">
        <v>15960</v>
      </c>
      <c r="Z837" t="s">
        <v>15961</v>
      </c>
      <c r="AA837" t="s">
        <v>15962</v>
      </c>
      <c r="AB837" t="s">
        <v>15963</v>
      </c>
      <c r="AC837" t="s">
        <v>15964</v>
      </c>
      <c r="AD837" t="s">
        <v>15965</v>
      </c>
      <c r="AE837" t="s">
        <v>15966</v>
      </c>
      <c r="AF837" t="s">
        <v>74</v>
      </c>
      <c r="AG837">
        <v>42</v>
      </c>
      <c r="AH837">
        <v>3</v>
      </c>
      <c r="AI837">
        <v>5</v>
      </c>
      <c r="AJ837">
        <v>4</v>
      </c>
      <c r="AK837">
        <v>47</v>
      </c>
      <c r="AL837" t="s">
        <v>208</v>
      </c>
      <c r="AM837" t="s">
        <v>3872</v>
      </c>
      <c r="AN837" t="s">
        <v>3873</v>
      </c>
      <c r="AO837" t="s">
        <v>15967</v>
      </c>
      <c r="AP837" t="s">
        <v>15968</v>
      </c>
      <c r="AQ837" t="s">
        <v>74</v>
      </c>
      <c r="AR837" t="s">
        <v>15954</v>
      </c>
      <c r="AS837" t="s">
        <v>15969</v>
      </c>
      <c r="AT837" t="s">
        <v>15076</v>
      </c>
      <c r="AU837">
        <v>2017</v>
      </c>
      <c r="AV837">
        <v>134</v>
      </c>
      <c r="AW837" t="s">
        <v>4976</v>
      </c>
      <c r="AX837" t="s">
        <v>74</v>
      </c>
      <c r="AY837" t="s">
        <v>74</v>
      </c>
      <c r="AZ837" t="s">
        <v>74</v>
      </c>
      <c r="BA837" t="s">
        <v>74</v>
      </c>
      <c r="BB837">
        <v>17</v>
      </c>
      <c r="BC837">
        <v>27</v>
      </c>
      <c r="BD837" t="s">
        <v>74</v>
      </c>
      <c r="BE837" t="s">
        <v>15970</v>
      </c>
      <c r="BF837" t="str">
        <f>HYPERLINK("http://dx.doi.org/10.1007/s10533-017-0346-5","http://dx.doi.org/10.1007/s10533-017-0346-5")</f>
        <v>http://dx.doi.org/10.1007/s10533-017-0346-5</v>
      </c>
      <c r="BG837" t="s">
        <v>74</v>
      </c>
      <c r="BH837" t="s">
        <v>74</v>
      </c>
      <c r="BI837">
        <v>11</v>
      </c>
      <c r="BJ837" t="s">
        <v>15971</v>
      </c>
      <c r="BK837" t="s">
        <v>101</v>
      </c>
      <c r="BL837" t="s">
        <v>5318</v>
      </c>
      <c r="BM837" t="s">
        <v>15972</v>
      </c>
      <c r="BN837" t="s">
        <v>74</v>
      </c>
      <c r="BO837" t="s">
        <v>74</v>
      </c>
      <c r="BP837" t="s">
        <v>74</v>
      </c>
      <c r="BQ837" t="s">
        <v>74</v>
      </c>
      <c r="BR837" t="s">
        <v>105</v>
      </c>
      <c r="BS837" t="s">
        <v>15973</v>
      </c>
      <c r="BT837" t="str">
        <f>HYPERLINK("https%3A%2F%2Fwww.webofscience.com%2Fwos%2Fwoscc%2Ffull-record%2FWOS:000406191000003","View Full Record in Web of Science")</f>
        <v>View Full Record in Web of Science</v>
      </c>
    </row>
    <row r="838" spans="1:72" x14ac:dyDescent="0.15">
      <c r="A838" t="s">
        <v>72</v>
      </c>
      <c r="B838" t="s">
        <v>15974</v>
      </c>
      <c r="C838" t="s">
        <v>74</v>
      </c>
      <c r="D838" t="s">
        <v>74</v>
      </c>
      <c r="E838" t="s">
        <v>74</v>
      </c>
      <c r="F838" t="s">
        <v>15975</v>
      </c>
      <c r="G838" t="s">
        <v>74</v>
      </c>
      <c r="H838" t="s">
        <v>74</v>
      </c>
      <c r="I838" t="s">
        <v>15976</v>
      </c>
      <c r="J838" t="s">
        <v>15977</v>
      </c>
      <c r="K838" t="s">
        <v>74</v>
      </c>
      <c r="L838" t="s">
        <v>74</v>
      </c>
      <c r="M838" t="s">
        <v>78</v>
      </c>
      <c r="N838" t="s">
        <v>79</v>
      </c>
      <c r="O838" t="s">
        <v>74</v>
      </c>
      <c r="P838" t="s">
        <v>74</v>
      </c>
      <c r="Q838" t="s">
        <v>74</v>
      </c>
      <c r="R838" t="s">
        <v>74</v>
      </c>
      <c r="S838" t="s">
        <v>74</v>
      </c>
      <c r="T838" t="s">
        <v>15978</v>
      </c>
      <c r="U838" t="s">
        <v>15979</v>
      </c>
      <c r="V838" t="s">
        <v>15980</v>
      </c>
      <c r="W838" t="s">
        <v>15981</v>
      </c>
      <c r="X838" t="s">
        <v>15982</v>
      </c>
      <c r="Y838" t="s">
        <v>15983</v>
      </c>
      <c r="Z838" t="s">
        <v>15984</v>
      </c>
      <c r="AA838" t="s">
        <v>15985</v>
      </c>
      <c r="AB838" t="s">
        <v>15986</v>
      </c>
      <c r="AC838" t="s">
        <v>15987</v>
      </c>
      <c r="AD838" t="s">
        <v>939</v>
      </c>
      <c r="AE838" t="s">
        <v>15988</v>
      </c>
      <c r="AF838" t="s">
        <v>74</v>
      </c>
      <c r="AG838">
        <v>31</v>
      </c>
      <c r="AH838">
        <v>8</v>
      </c>
      <c r="AI838">
        <v>9</v>
      </c>
      <c r="AJ838">
        <v>0</v>
      </c>
      <c r="AK838">
        <v>7</v>
      </c>
      <c r="AL838" t="s">
        <v>1338</v>
      </c>
      <c r="AM838" t="s">
        <v>1339</v>
      </c>
      <c r="AN838" t="s">
        <v>1340</v>
      </c>
      <c r="AO838" t="s">
        <v>15989</v>
      </c>
      <c r="AP838" t="s">
        <v>15990</v>
      </c>
      <c r="AQ838" t="s">
        <v>74</v>
      </c>
      <c r="AR838" t="s">
        <v>15991</v>
      </c>
      <c r="AS838" t="s">
        <v>15992</v>
      </c>
      <c r="AT838" t="s">
        <v>15830</v>
      </c>
      <c r="AU838">
        <v>2017</v>
      </c>
      <c r="AV838">
        <v>64</v>
      </c>
      <c r="AW838">
        <v>4</v>
      </c>
      <c r="AX838" t="s">
        <v>74</v>
      </c>
      <c r="AY838" t="s">
        <v>74</v>
      </c>
      <c r="AZ838" t="s">
        <v>74</v>
      </c>
      <c r="BA838" t="s">
        <v>74</v>
      </c>
      <c r="BB838">
        <v>447</v>
      </c>
      <c r="BC838">
        <v>456</v>
      </c>
      <c r="BD838" t="s">
        <v>74</v>
      </c>
      <c r="BE838" t="s">
        <v>15993</v>
      </c>
      <c r="BF838" t="str">
        <f>HYPERLINK("http://dx.doi.org/10.1111/jeu.12381","http://dx.doi.org/10.1111/jeu.12381")</f>
        <v>http://dx.doi.org/10.1111/jeu.12381</v>
      </c>
      <c r="BG838" t="s">
        <v>74</v>
      </c>
      <c r="BH838" t="s">
        <v>74</v>
      </c>
      <c r="BI838">
        <v>10</v>
      </c>
      <c r="BJ838" t="s">
        <v>457</v>
      </c>
      <c r="BK838" t="s">
        <v>101</v>
      </c>
      <c r="BL838" t="s">
        <v>457</v>
      </c>
      <c r="BM838" t="s">
        <v>15994</v>
      </c>
      <c r="BN838">
        <v>27869341</v>
      </c>
      <c r="BO838" t="s">
        <v>74</v>
      </c>
      <c r="BP838" t="s">
        <v>74</v>
      </c>
      <c r="BQ838" t="s">
        <v>74</v>
      </c>
      <c r="BR838" t="s">
        <v>105</v>
      </c>
      <c r="BS838" t="s">
        <v>15995</v>
      </c>
      <c r="BT838" t="str">
        <f>HYPERLINK("https%3A%2F%2Fwww.webofscience.com%2Fwos%2Fwoscc%2Ffull-record%2FWOS:000406102000004","View Full Record in Web of Science")</f>
        <v>View Full Record in Web of Science</v>
      </c>
    </row>
    <row r="839" spans="1:72" x14ac:dyDescent="0.15">
      <c r="A839" t="s">
        <v>72</v>
      </c>
      <c r="B839" t="s">
        <v>15996</v>
      </c>
      <c r="C839" t="s">
        <v>74</v>
      </c>
      <c r="D839" t="s">
        <v>74</v>
      </c>
      <c r="E839" t="s">
        <v>74</v>
      </c>
      <c r="F839" t="s">
        <v>15997</v>
      </c>
      <c r="G839" t="s">
        <v>74</v>
      </c>
      <c r="H839" t="s">
        <v>74</v>
      </c>
      <c r="I839" t="s">
        <v>15998</v>
      </c>
      <c r="J839" t="s">
        <v>15999</v>
      </c>
      <c r="K839" t="s">
        <v>74</v>
      </c>
      <c r="L839" t="s">
        <v>74</v>
      </c>
      <c r="M839" t="s">
        <v>78</v>
      </c>
      <c r="N839" t="s">
        <v>79</v>
      </c>
      <c r="O839" t="s">
        <v>74</v>
      </c>
      <c r="P839" t="s">
        <v>74</v>
      </c>
      <c r="Q839" t="s">
        <v>74</v>
      </c>
      <c r="R839" t="s">
        <v>74</v>
      </c>
      <c r="S839" t="s">
        <v>74</v>
      </c>
      <c r="T839" t="s">
        <v>16000</v>
      </c>
      <c r="U839" t="s">
        <v>16001</v>
      </c>
      <c r="V839" t="s">
        <v>16002</v>
      </c>
      <c r="W839" t="s">
        <v>16003</v>
      </c>
      <c r="X839" t="s">
        <v>1958</v>
      </c>
      <c r="Y839" t="s">
        <v>16004</v>
      </c>
      <c r="Z839" t="s">
        <v>16005</v>
      </c>
      <c r="AA839" t="s">
        <v>16006</v>
      </c>
      <c r="AB839" t="s">
        <v>16007</v>
      </c>
      <c r="AC839" t="s">
        <v>16008</v>
      </c>
      <c r="AD839" t="s">
        <v>16008</v>
      </c>
      <c r="AE839" t="s">
        <v>16009</v>
      </c>
      <c r="AF839" t="s">
        <v>74</v>
      </c>
      <c r="AG839">
        <v>76</v>
      </c>
      <c r="AH839">
        <v>8</v>
      </c>
      <c r="AI839">
        <v>8</v>
      </c>
      <c r="AJ839">
        <v>3</v>
      </c>
      <c r="AK839">
        <v>22</v>
      </c>
      <c r="AL839" t="s">
        <v>2901</v>
      </c>
      <c r="AM839" t="s">
        <v>2902</v>
      </c>
      <c r="AN839" t="s">
        <v>2903</v>
      </c>
      <c r="AO839" t="s">
        <v>16010</v>
      </c>
      <c r="AP839" t="s">
        <v>16011</v>
      </c>
      <c r="AQ839" t="s">
        <v>74</v>
      </c>
      <c r="AR839" t="s">
        <v>16012</v>
      </c>
      <c r="AS839" t="s">
        <v>16013</v>
      </c>
      <c r="AT839" t="s">
        <v>16014</v>
      </c>
      <c r="AU839">
        <v>2017</v>
      </c>
      <c r="AV839">
        <v>57</v>
      </c>
      <c r="AW839" t="s">
        <v>74</v>
      </c>
      <c r="AX839" t="s">
        <v>74</v>
      </c>
      <c r="AY839" t="s">
        <v>74</v>
      </c>
      <c r="AZ839" t="s">
        <v>74</v>
      </c>
      <c r="BA839" t="s">
        <v>74</v>
      </c>
      <c r="BB839">
        <v>258</v>
      </c>
      <c r="BC839">
        <v>269</v>
      </c>
      <c r="BD839" t="s">
        <v>74</v>
      </c>
      <c r="BE839" t="s">
        <v>16015</v>
      </c>
      <c r="BF839" t="str">
        <f>HYPERLINK("http://dx.doi.org/10.1016/j.jes.2017.02.003","http://dx.doi.org/10.1016/j.jes.2017.02.003")</f>
        <v>http://dx.doi.org/10.1016/j.jes.2017.02.003</v>
      </c>
      <c r="BG839" t="s">
        <v>74</v>
      </c>
      <c r="BH839" t="s">
        <v>74</v>
      </c>
      <c r="BI839">
        <v>12</v>
      </c>
      <c r="BJ839" t="s">
        <v>2867</v>
      </c>
      <c r="BK839" t="s">
        <v>101</v>
      </c>
      <c r="BL839" t="s">
        <v>1048</v>
      </c>
      <c r="BM839" t="s">
        <v>16016</v>
      </c>
      <c r="BN839">
        <v>28647247</v>
      </c>
      <c r="BO839" t="s">
        <v>74</v>
      </c>
      <c r="BP839" t="s">
        <v>74</v>
      </c>
      <c r="BQ839" t="s">
        <v>74</v>
      </c>
      <c r="BR839" t="s">
        <v>105</v>
      </c>
      <c r="BS839" t="s">
        <v>16017</v>
      </c>
      <c r="BT839" t="str">
        <f>HYPERLINK("https%3A%2F%2Fwww.webofscience.com%2Fwos%2Fwoscc%2Ffull-record%2FWOS:000405972600028","View Full Record in Web of Science")</f>
        <v>View Full Record in Web of Science</v>
      </c>
    </row>
    <row r="840" spans="1:72" x14ac:dyDescent="0.15">
      <c r="A840" t="s">
        <v>72</v>
      </c>
      <c r="B840" t="s">
        <v>16018</v>
      </c>
      <c r="C840" t="s">
        <v>74</v>
      </c>
      <c r="D840" t="s">
        <v>74</v>
      </c>
      <c r="E840" t="s">
        <v>74</v>
      </c>
      <c r="F840" t="s">
        <v>16019</v>
      </c>
      <c r="G840" t="s">
        <v>74</v>
      </c>
      <c r="H840" t="s">
        <v>74</v>
      </c>
      <c r="I840" t="s">
        <v>16020</v>
      </c>
      <c r="J840" t="s">
        <v>2152</v>
      </c>
      <c r="K840" t="s">
        <v>74</v>
      </c>
      <c r="L840" t="s">
        <v>74</v>
      </c>
      <c r="M840" t="s">
        <v>78</v>
      </c>
      <c r="N840" t="s">
        <v>79</v>
      </c>
      <c r="O840" t="s">
        <v>74</v>
      </c>
      <c r="P840" t="s">
        <v>74</v>
      </c>
      <c r="Q840" t="s">
        <v>74</v>
      </c>
      <c r="R840" t="s">
        <v>74</v>
      </c>
      <c r="S840" t="s">
        <v>74</v>
      </c>
      <c r="T840" t="s">
        <v>74</v>
      </c>
      <c r="U840" t="s">
        <v>16021</v>
      </c>
      <c r="V840" t="s">
        <v>74</v>
      </c>
      <c r="W840" t="s">
        <v>16022</v>
      </c>
      <c r="X840" t="s">
        <v>16023</v>
      </c>
      <c r="Y840" t="s">
        <v>16024</v>
      </c>
      <c r="Z840" t="s">
        <v>16025</v>
      </c>
      <c r="AA840" t="s">
        <v>16026</v>
      </c>
      <c r="AB840" t="s">
        <v>16027</v>
      </c>
      <c r="AC840" t="s">
        <v>16028</v>
      </c>
      <c r="AD840" t="s">
        <v>16028</v>
      </c>
      <c r="AE840" t="s">
        <v>16029</v>
      </c>
      <c r="AF840" t="s">
        <v>74</v>
      </c>
      <c r="AG840">
        <v>29</v>
      </c>
      <c r="AH840">
        <v>4</v>
      </c>
      <c r="AI840">
        <v>4</v>
      </c>
      <c r="AJ840">
        <v>1</v>
      </c>
      <c r="AK840">
        <v>8</v>
      </c>
      <c r="AL840" t="s">
        <v>1338</v>
      </c>
      <c r="AM840" t="s">
        <v>1339</v>
      </c>
      <c r="AN840" t="s">
        <v>1340</v>
      </c>
      <c r="AO840" t="s">
        <v>2165</v>
      </c>
      <c r="AP840" t="s">
        <v>2166</v>
      </c>
      <c r="AQ840" t="s">
        <v>74</v>
      </c>
      <c r="AR840" t="s">
        <v>2167</v>
      </c>
      <c r="AS840" t="s">
        <v>2168</v>
      </c>
      <c r="AT840" t="s">
        <v>15076</v>
      </c>
      <c r="AU840">
        <v>2017</v>
      </c>
      <c r="AV840">
        <v>33</v>
      </c>
      <c r="AW840">
        <v>3</v>
      </c>
      <c r="AX840" t="s">
        <v>74</v>
      </c>
      <c r="AY840" t="s">
        <v>74</v>
      </c>
      <c r="AZ840" t="s">
        <v>74</v>
      </c>
      <c r="BA840" t="s">
        <v>74</v>
      </c>
      <c r="BB840">
        <v>880</v>
      </c>
      <c r="BC840">
        <v>888</v>
      </c>
      <c r="BD840" t="s">
        <v>74</v>
      </c>
      <c r="BE840" t="s">
        <v>16030</v>
      </c>
      <c r="BF840" t="str">
        <f>HYPERLINK("http://dx.doi.org/10.1111/mms.12392","http://dx.doi.org/10.1111/mms.12392")</f>
        <v>http://dx.doi.org/10.1111/mms.12392</v>
      </c>
      <c r="BG840" t="s">
        <v>74</v>
      </c>
      <c r="BH840" t="s">
        <v>74</v>
      </c>
      <c r="BI840">
        <v>9</v>
      </c>
      <c r="BJ840" t="s">
        <v>2170</v>
      </c>
      <c r="BK840" t="s">
        <v>101</v>
      </c>
      <c r="BL840" t="s">
        <v>2170</v>
      </c>
      <c r="BM840" t="s">
        <v>16031</v>
      </c>
      <c r="BN840" t="s">
        <v>74</v>
      </c>
      <c r="BO840" t="s">
        <v>74</v>
      </c>
      <c r="BP840" t="s">
        <v>74</v>
      </c>
      <c r="BQ840" t="s">
        <v>74</v>
      </c>
      <c r="BR840" t="s">
        <v>105</v>
      </c>
      <c r="BS840" t="s">
        <v>16032</v>
      </c>
      <c r="BT840" t="str">
        <f>HYPERLINK("https%3A%2F%2Fwww.webofscience.com%2Fwos%2Fwoscc%2Ffull-record%2FWOS:000406078400011","View Full Record in Web of Science")</f>
        <v>View Full Record in Web of Science</v>
      </c>
    </row>
    <row r="841" spans="1:72" x14ac:dyDescent="0.15">
      <c r="A841" t="s">
        <v>72</v>
      </c>
      <c r="B841" t="s">
        <v>3290</v>
      </c>
      <c r="C841" t="s">
        <v>74</v>
      </c>
      <c r="D841" t="s">
        <v>74</v>
      </c>
      <c r="E841" t="s">
        <v>74</v>
      </c>
      <c r="F841" t="s">
        <v>3291</v>
      </c>
      <c r="G841" t="s">
        <v>74</v>
      </c>
      <c r="H841" t="s">
        <v>74</v>
      </c>
      <c r="I841" t="s">
        <v>16033</v>
      </c>
      <c r="J841" t="s">
        <v>16034</v>
      </c>
      <c r="K841" t="s">
        <v>74</v>
      </c>
      <c r="L841" t="s">
        <v>74</v>
      </c>
      <c r="M841" t="s">
        <v>78</v>
      </c>
      <c r="N841" t="s">
        <v>79</v>
      </c>
      <c r="O841" t="s">
        <v>74</v>
      </c>
      <c r="P841" t="s">
        <v>74</v>
      </c>
      <c r="Q841" t="s">
        <v>74</v>
      </c>
      <c r="R841" t="s">
        <v>74</v>
      </c>
      <c r="S841" t="s">
        <v>74</v>
      </c>
      <c r="T841" t="s">
        <v>16035</v>
      </c>
      <c r="U841" t="s">
        <v>16036</v>
      </c>
      <c r="V841" t="s">
        <v>16037</v>
      </c>
      <c r="W841" t="s">
        <v>16038</v>
      </c>
      <c r="X841" t="s">
        <v>3298</v>
      </c>
      <c r="Y841" t="s">
        <v>16039</v>
      </c>
      <c r="Z841" t="s">
        <v>16040</v>
      </c>
      <c r="AA841" t="s">
        <v>16041</v>
      </c>
      <c r="AB841" t="s">
        <v>74</v>
      </c>
      <c r="AC841" t="s">
        <v>16042</v>
      </c>
      <c r="AD841" t="s">
        <v>16043</v>
      </c>
      <c r="AE841" t="s">
        <v>16044</v>
      </c>
      <c r="AF841" t="s">
        <v>74</v>
      </c>
      <c r="AG841">
        <v>42</v>
      </c>
      <c r="AH841">
        <v>35</v>
      </c>
      <c r="AI841">
        <v>40</v>
      </c>
      <c r="AJ841">
        <v>3</v>
      </c>
      <c r="AK841">
        <v>78</v>
      </c>
      <c r="AL841" t="s">
        <v>1338</v>
      </c>
      <c r="AM841" t="s">
        <v>1339</v>
      </c>
      <c r="AN841" t="s">
        <v>1340</v>
      </c>
      <c r="AO841" t="s">
        <v>16045</v>
      </c>
      <c r="AP841" t="s">
        <v>16046</v>
      </c>
      <c r="AQ841" t="s">
        <v>74</v>
      </c>
      <c r="AR841" t="s">
        <v>16047</v>
      </c>
      <c r="AS841" t="s">
        <v>16048</v>
      </c>
      <c r="AT841" t="s">
        <v>15076</v>
      </c>
      <c r="AU841">
        <v>2017</v>
      </c>
      <c r="AV841">
        <v>82</v>
      </c>
      <c r="AW841">
        <v>7</v>
      </c>
      <c r="AX841" t="s">
        <v>74</v>
      </c>
      <c r="AY841" t="s">
        <v>74</v>
      </c>
      <c r="AZ841" t="s">
        <v>74</v>
      </c>
      <c r="BA841" t="s">
        <v>74</v>
      </c>
      <c r="BB841">
        <v>1742</v>
      </c>
      <c r="BC841">
        <v>1749</v>
      </c>
      <c r="BD841" t="s">
        <v>74</v>
      </c>
      <c r="BE841" t="s">
        <v>16049</v>
      </c>
      <c r="BF841" t="str">
        <f>HYPERLINK("http://dx.doi.org/10.1111/1750-3841.13735","http://dx.doi.org/10.1111/1750-3841.13735")</f>
        <v>http://dx.doi.org/10.1111/1750-3841.13735</v>
      </c>
      <c r="BG841" t="s">
        <v>74</v>
      </c>
      <c r="BH841" t="s">
        <v>74</v>
      </c>
      <c r="BI841">
        <v>8</v>
      </c>
      <c r="BJ841" t="s">
        <v>3903</v>
      </c>
      <c r="BK841" t="s">
        <v>101</v>
      </c>
      <c r="BL841" t="s">
        <v>3903</v>
      </c>
      <c r="BM841" t="s">
        <v>16050</v>
      </c>
      <c r="BN841">
        <v>28556182</v>
      </c>
      <c r="BO841" t="s">
        <v>74</v>
      </c>
      <c r="BP841" t="s">
        <v>74</v>
      </c>
      <c r="BQ841" t="s">
        <v>74</v>
      </c>
      <c r="BR841" t="s">
        <v>105</v>
      </c>
      <c r="BS841" t="s">
        <v>16051</v>
      </c>
      <c r="BT841" t="str">
        <f>HYPERLINK("https%3A%2F%2Fwww.webofscience.com%2Fwos%2Fwoscc%2Ffull-record%2FWOS:000405525900032","View Full Record in Web of Science")</f>
        <v>View Full Record in Web of Science</v>
      </c>
    </row>
    <row r="842" spans="1:72" x14ac:dyDescent="0.15">
      <c r="A842" t="s">
        <v>72</v>
      </c>
      <c r="B842" t="s">
        <v>16052</v>
      </c>
      <c r="C842" t="s">
        <v>74</v>
      </c>
      <c r="D842" t="s">
        <v>74</v>
      </c>
      <c r="E842" t="s">
        <v>74</v>
      </c>
      <c r="F842" t="s">
        <v>16053</v>
      </c>
      <c r="G842" t="s">
        <v>74</v>
      </c>
      <c r="H842" t="s">
        <v>74</v>
      </c>
      <c r="I842" t="s">
        <v>16054</v>
      </c>
      <c r="J842" t="s">
        <v>16055</v>
      </c>
      <c r="K842" t="s">
        <v>74</v>
      </c>
      <c r="L842" t="s">
        <v>74</v>
      </c>
      <c r="M842" t="s">
        <v>78</v>
      </c>
      <c r="N842" t="s">
        <v>79</v>
      </c>
      <c r="O842" t="s">
        <v>74</v>
      </c>
      <c r="P842" t="s">
        <v>74</v>
      </c>
      <c r="Q842" t="s">
        <v>74</v>
      </c>
      <c r="R842" t="s">
        <v>74</v>
      </c>
      <c r="S842" t="s">
        <v>74</v>
      </c>
      <c r="T842" t="s">
        <v>16056</v>
      </c>
      <c r="U842" t="s">
        <v>16057</v>
      </c>
      <c r="V842" t="s">
        <v>16058</v>
      </c>
      <c r="W842" t="s">
        <v>16059</v>
      </c>
      <c r="X842" t="s">
        <v>16060</v>
      </c>
      <c r="Y842" t="s">
        <v>16061</v>
      </c>
      <c r="Z842" t="s">
        <v>16062</v>
      </c>
      <c r="AA842" t="s">
        <v>16063</v>
      </c>
      <c r="AB842" t="s">
        <v>16064</v>
      </c>
      <c r="AC842" t="s">
        <v>16065</v>
      </c>
      <c r="AD842" t="s">
        <v>16066</v>
      </c>
      <c r="AE842" t="s">
        <v>16067</v>
      </c>
      <c r="AF842" t="s">
        <v>74</v>
      </c>
      <c r="AG842">
        <v>71</v>
      </c>
      <c r="AH842">
        <v>31</v>
      </c>
      <c r="AI842">
        <v>32</v>
      </c>
      <c r="AJ842">
        <v>2</v>
      </c>
      <c r="AK842">
        <v>26</v>
      </c>
      <c r="AL842" t="s">
        <v>6579</v>
      </c>
      <c r="AM842" t="s">
        <v>6580</v>
      </c>
      <c r="AN842" t="s">
        <v>6581</v>
      </c>
      <c r="AO842" t="s">
        <v>16068</v>
      </c>
      <c r="AP842" t="s">
        <v>74</v>
      </c>
      <c r="AQ842" t="s">
        <v>74</v>
      </c>
      <c r="AR842" t="s">
        <v>16069</v>
      </c>
      <c r="AS842" t="s">
        <v>16070</v>
      </c>
      <c r="AT842" t="s">
        <v>15076</v>
      </c>
      <c r="AU842">
        <v>2017</v>
      </c>
      <c r="AV842">
        <v>28</v>
      </c>
      <c r="AW842" t="s">
        <v>74</v>
      </c>
      <c r="AX842" t="s">
        <v>74</v>
      </c>
      <c r="AY842" t="s">
        <v>74</v>
      </c>
      <c r="AZ842" t="s">
        <v>74</v>
      </c>
      <c r="BA842" t="s">
        <v>74</v>
      </c>
      <c r="BB842">
        <v>27</v>
      </c>
      <c r="BC842">
        <v>34</v>
      </c>
      <c r="BD842" t="s">
        <v>74</v>
      </c>
      <c r="BE842" t="s">
        <v>16071</v>
      </c>
      <c r="BF842" t="str">
        <f>HYPERLINK("http://dx.doi.org/10.1016/j.ejbt.2017.05.001","http://dx.doi.org/10.1016/j.ejbt.2017.05.001")</f>
        <v>http://dx.doi.org/10.1016/j.ejbt.2017.05.001</v>
      </c>
      <c r="BG842" t="s">
        <v>74</v>
      </c>
      <c r="BH842" t="s">
        <v>74</v>
      </c>
      <c r="BI842">
        <v>8</v>
      </c>
      <c r="BJ842" t="s">
        <v>947</v>
      </c>
      <c r="BK842" t="s">
        <v>101</v>
      </c>
      <c r="BL842" t="s">
        <v>947</v>
      </c>
      <c r="BM842" t="s">
        <v>16072</v>
      </c>
      <c r="BN842" t="s">
        <v>74</v>
      </c>
      <c r="BO842" t="s">
        <v>1278</v>
      </c>
      <c r="BP842" t="s">
        <v>74</v>
      </c>
      <c r="BQ842" t="s">
        <v>74</v>
      </c>
      <c r="BR842" t="s">
        <v>105</v>
      </c>
      <c r="BS842" t="s">
        <v>16073</v>
      </c>
      <c r="BT842" t="str">
        <f>HYPERLINK("https%3A%2F%2Fwww.webofscience.com%2Fwos%2Fwoscc%2Ffull-record%2FWOS:000405483200005","View Full Record in Web of Science")</f>
        <v>View Full Record in Web of Science</v>
      </c>
    </row>
    <row r="843" spans="1:72" x14ac:dyDescent="0.15">
      <c r="A843" t="s">
        <v>72</v>
      </c>
      <c r="B843" t="s">
        <v>16074</v>
      </c>
      <c r="C843" t="s">
        <v>74</v>
      </c>
      <c r="D843" t="s">
        <v>74</v>
      </c>
      <c r="E843" t="s">
        <v>74</v>
      </c>
      <c r="F843" t="s">
        <v>16075</v>
      </c>
      <c r="G843" t="s">
        <v>74</v>
      </c>
      <c r="H843" t="s">
        <v>74</v>
      </c>
      <c r="I843" t="s">
        <v>16076</v>
      </c>
      <c r="J843" t="s">
        <v>16077</v>
      </c>
      <c r="K843" t="s">
        <v>74</v>
      </c>
      <c r="L843" t="s">
        <v>74</v>
      </c>
      <c r="M843" t="s">
        <v>78</v>
      </c>
      <c r="N843" t="s">
        <v>79</v>
      </c>
      <c r="O843" t="s">
        <v>74</v>
      </c>
      <c r="P843" t="s">
        <v>74</v>
      </c>
      <c r="Q843" t="s">
        <v>74</v>
      </c>
      <c r="R843" t="s">
        <v>74</v>
      </c>
      <c r="S843" t="s">
        <v>74</v>
      </c>
      <c r="T843" t="s">
        <v>16078</v>
      </c>
      <c r="U843" t="s">
        <v>16079</v>
      </c>
      <c r="V843" t="s">
        <v>16080</v>
      </c>
      <c r="W843" t="s">
        <v>16081</v>
      </c>
      <c r="X843" t="s">
        <v>16082</v>
      </c>
      <c r="Y843" t="s">
        <v>16083</v>
      </c>
      <c r="Z843" t="s">
        <v>16084</v>
      </c>
      <c r="AA843" t="s">
        <v>16085</v>
      </c>
      <c r="AB843" t="s">
        <v>74</v>
      </c>
      <c r="AC843" t="s">
        <v>16086</v>
      </c>
      <c r="AD843" t="s">
        <v>16087</v>
      </c>
      <c r="AE843" t="s">
        <v>16088</v>
      </c>
      <c r="AF843" t="s">
        <v>74</v>
      </c>
      <c r="AG843">
        <v>82</v>
      </c>
      <c r="AH843">
        <v>2</v>
      </c>
      <c r="AI843">
        <v>2</v>
      </c>
      <c r="AJ843">
        <v>0</v>
      </c>
      <c r="AK843">
        <v>25</v>
      </c>
      <c r="AL843" t="s">
        <v>16089</v>
      </c>
      <c r="AM843" t="s">
        <v>16090</v>
      </c>
      <c r="AN843" t="s">
        <v>16091</v>
      </c>
      <c r="AO843" t="s">
        <v>16092</v>
      </c>
      <c r="AP843" t="s">
        <v>16093</v>
      </c>
      <c r="AQ843" t="s">
        <v>74</v>
      </c>
      <c r="AR843" t="s">
        <v>16094</v>
      </c>
      <c r="AS843" t="s">
        <v>16095</v>
      </c>
      <c r="AT843" t="s">
        <v>15076</v>
      </c>
      <c r="AU843">
        <v>2017</v>
      </c>
      <c r="AV843">
        <v>39</v>
      </c>
      <c r="AW843">
        <v>1</v>
      </c>
      <c r="AX843" t="s">
        <v>74</v>
      </c>
      <c r="AY843" t="s">
        <v>74</v>
      </c>
      <c r="AZ843" t="s">
        <v>74</v>
      </c>
      <c r="BA843" t="s">
        <v>74</v>
      </c>
      <c r="BB843">
        <v>43</v>
      </c>
      <c r="BC843">
        <v>57</v>
      </c>
      <c r="BD843" t="s">
        <v>74</v>
      </c>
      <c r="BE843" t="s">
        <v>16096</v>
      </c>
      <c r="BF843" t="str">
        <f>HYPERLINK("http://dx.doi.org/10.2989/1814232X.2017.1303399","http://dx.doi.org/10.2989/1814232X.2017.1303399")</f>
        <v>http://dx.doi.org/10.2989/1814232X.2017.1303399</v>
      </c>
      <c r="BG843" t="s">
        <v>74</v>
      </c>
      <c r="BH843" t="s">
        <v>74</v>
      </c>
      <c r="BI843">
        <v>15</v>
      </c>
      <c r="BJ843" t="s">
        <v>5546</v>
      </c>
      <c r="BK843" t="s">
        <v>101</v>
      </c>
      <c r="BL843" t="s">
        <v>5546</v>
      </c>
      <c r="BM843" t="s">
        <v>16097</v>
      </c>
      <c r="BN843" t="s">
        <v>74</v>
      </c>
      <c r="BO843" t="s">
        <v>2091</v>
      </c>
      <c r="BP843" t="s">
        <v>74</v>
      </c>
      <c r="BQ843" t="s">
        <v>74</v>
      </c>
      <c r="BR843" t="s">
        <v>105</v>
      </c>
      <c r="BS843" t="s">
        <v>16098</v>
      </c>
      <c r="BT843" t="str">
        <f>HYPERLINK("https%3A%2F%2Fwww.webofscience.com%2Fwos%2Fwoscc%2Ffull-record%2FWOS:000405415900004","View Full Record in Web of Science")</f>
        <v>View Full Record in Web of Science</v>
      </c>
    </row>
    <row r="844" spans="1:72" x14ac:dyDescent="0.15">
      <c r="A844" t="s">
        <v>72</v>
      </c>
      <c r="B844" t="s">
        <v>16099</v>
      </c>
      <c r="C844" t="s">
        <v>74</v>
      </c>
      <c r="D844" t="s">
        <v>74</v>
      </c>
      <c r="E844" t="s">
        <v>74</v>
      </c>
      <c r="F844" t="s">
        <v>16100</v>
      </c>
      <c r="G844" t="s">
        <v>74</v>
      </c>
      <c r="H844" t="s">
        <v>74</v>
      </c>
      <c r="I844" t="s">
        <v>16101</v>
      </c>
      <c r="J844" t="s">
        <v>16102</v>
      </c>
      <c r="K844" t="s">
        <v>74</v>
      </c>
      <c r="L844" t="s">
        <v>74</v>
      </c>
      <c r="M844" t="s">
        <v>78</v>
      </c>
      <c r="N844" t="s">
        <v>79</v>
      </c>
      <c r="O844" t="s">
        <v>74</v>
      </c>
      <c r="P844" t="s">
        <v>74</v>
      </c>
      <c r="Q844" t="s">
        <v>74</v>
      </c>
      <c r="R844" t="s">
        <v>74</v>
      </c>
      <c r="S844" t="s">
        <v>74</v>
      </c>
      <c r="T844" t="s">
        <v>16103</v>
      </c>
      <c r="U844" t="s">
        <v>16104</v>
      </c>
      <c r="V844" t="s">
        <v>16105</v>
      </c>
      <c r="W844" t="s">
        <v>16106</v>
      </c>
      <c r="X844" t="s">
        <v>16107</v>
      </c>
      <c r="Y844" t="s">
        <v>16108</v>
      </c>
      <c r="Z844" t="s">
        <v>16109</v>
      </c>
      <c r="AA844" t="s">
        <v>74</v>
      </c>
      <c r="AB844" t="s">
        <v>74</v>
      </c>
      <c r="AC844" t="s">
        <v>16110</v>
      </c>
      <c r="AD844" t="s">
        <v>16111</v>
      </c>
      <c r="AE844" t="s">
        <v>16112</v>
      </c>
      <c r="AF844" t="s">
        <v>74</v>
      </c>
      <c r="AG844">
        <v>84</v>
      </c>
      <c r="AH844">
        <v>11</v>
      </c>
      <c r="AI844">
        <v>13</v>
      </c>
      <c r="AJ844">
        <v>3</v>
      </c>
      <c r="AK844">
        <v>54</v>
      </c>
      <c r="AL844" t="s">
        <v>1981</v>
      </c>
      <c r="AM844" t="s">
        <v>729</v>
      </c>
      <c r="AN844" t="s">
        <v>1982</v>
      </c>
      <c r="AO844" t="s">
        <v>16113</v>
      </c>
      <c r="AP844" t="s">
        <v>16114</v>
      </c>
      <c r="AQ844" t="s">
        <v>74</v>
      </c>
      <c r="AR844" t="s">
        <v>16115</v>
      </c>
      <c r="AS844" t="s">
        <v>16116</v>
      </c>
      <c r="AT844" t="s">
        <v>15076</v>
      </c>
      <c r="AU844">
        <v>2017</v>
      </c>
      <c r="AV844">
        <v>100</v>
      </c>
      <c r="AW844" t="s">
        <v>74</v>
      </c>
      <c r="AX844" t="s">
        <v>74</v>
      </c>
      <c r="AY844" t="s">
        <v>74</v>
      </c>
      <c r="AZ844" t="s">
        <v>74</v>
      </c>
      <c r="BA844" t="s">
        <v>74</v>
      </c>
      <c r="BB844">
        <v>53</v>
      </c>
      <c r="BC844">
        <v>64</v>
      </c>
      <c r="BD844" t="s">
        <v>74</v>
      </c>
      <c r="BE844" t="s">
        <v>16117</v>
      </c>
      <c r="BF844" t="str">
        <f>HYPERLINK("http://dx.doi.org/10.1016/j.jinsphys.2017.05.008","http://dx.doi.org/10.1016/j.jinsphys.2017.05.008")</f>
        <v>http://dx.doi.org/10.1016/j.jinsphys.2017.05.008</v>
      </c>
      <c r="BG844" t="s">
        <v>74</v>
      </c>
      <c r="BH844" t="s">
        <v>74</v>
      </c>
      <c r="BI844">
        <v>12</v>
      </c>
      <c r="BJ844" t="s">
        <v>16118</v>
      </c>
      <c r="BK844" t="s">
        <v>101</v>
      </c>
      <c r="BL844" t="s">
        <v>16118</v>
      </c>
      <c r="BM844" t="s">
        <v>16119</v>
      </c>
      <c r="BN844">
        <v>28529155</v>
      </c>
      <c r="BO844" t="s">
        <v>74</v>
      </c>
      <c r="BP844" t="s">
        <v>74</v>
      </c>
      <c r="BQ844" t="s">
        <v>74</v>
      </c>
      <c r="BR844" t="s">
        <v>105</v>
      </c>
      <c r="BS844" t="s">
        <v>16120</v>
      </c>
      <c r="BT844" t="str">
        <f>HYPERLINK("https%3A%2F%2Fwww.webofscience.com%2Fwos%2Fwoscc%2Ffull-record%2FWOS:000405155400008","View Full Record in Web of Science")</f>
        <v>View Full Record in Web of Science</v>
      </c>
    </row>
    <row r="845" spans="1:72" x14ac:dyDescent="0.15">
      <c r="A845" t="s">
        <v>72</v>
      </c>
      <c r="B845" t="s">
        <v>16121</v>
      </c>
      <c r="C845" t="s">
        <v>74</v>
      </c>
      <c r="D845" t="s">
        <v>74</v>
      </c>
      <c r="E845" t="s">
        <v>74</v>
      </c>
      <c r="F845" t="s">
        <v>16122</v>
      </c>
      <c r="G845" t="s">
        <v>74</v>
      </c>
      <c r="H845" t="s">
        <v>74</v>
      </c>
      <c r="I845" t="s">
        <v>16123</v>
      </c>
      <c r="J845" t="s">
        <v>2784</v>
      </c>
      <c r="K845" t="s">
        <v>74</v>
      </c>
      <c r="L845" t="s">
        <v>74</v>
      </c>
      <c r="M845" t="s">
        <v>78</v>
      </c>
      <c r="N845" t="s">
        <v>79</v>
      </c>
      <c r="O845" t="s">
        <v>74</v>
      </c>
      <c r="P845" t="s">
        <v>74</v>
      </c>
      <c r="Q845" t="s">
        <v>74</v>
      </c>
      <c r="R845" t="s">
        <v>74</v>
      </c>
      <c r="S845" t="s">
        <v>74</v>
      </c>
      <c r="T845" t="s">
        <v>16124</v>
      </c>
      <c r="U845" t="s">
        <v>16125</v>
      </c>
      <c r="V845" t="s">
        <v>16126</v>
      </c>
      <c r="W845" t="s">
        <v>16127</v>
      </c>
      <c r="X845" t="s">
        <v>16128</v>
      </c>
      <c r="Y845" t="s">
        <v>16129</v>
      </c>
      <c r="Z845" t="s">
        <v>16130</v>
      </c>
      <c r="AA845" t="s">
        <v>74</v>
      </c>
      <c r="AB845" t="s">
        <v>16131</v>
      </c>
      <c r="AC845" t="s">
        <v>16132</v>
      </c>
      <c r="AD845" t="s">
        <v>16132</v>
      </c>
      <c r="AE845" t="s">
        <v>16133</v>
      </c>
      <c r="AF845" t="s">
        <v>74</v>
      </c>
      <c r="AG845">
        <v>39</v>
      </c>
      <c r="AH845">
        <v>12</v>
      </c>
      <c r="AI845">
        <v>14</v>
      </c>
      <c r="AJ845">
        <v>1</v>
      </c>
      <c r="AK845">
        <v>15</v>
      </c>
      <c r="AL845" t="s">
        <v>5810</v>
      </c>
      <c r="AM845" t="s">
        <v>5811</v>
      </c>
      <c r="AN845" t="s">
        <v>5812</v>
      </c>
      <c r="AO845" t="s">
        <v>74</v>
      </c>
      <c r="AP845" t="s">
        <v>2799</v>
      </c>
      <c r="AQ845" t="s">
        <v>74</v>
      </c>
      <c r="AR845" t="s">
        <v>2784</v>
      </c>
      <c r="AS845" t="s">
        <v>2784</v>
      </c>
      <c r="AT845" t="s">
        <v>15076</v>
      </c>
      <c r="AU845">
        <v>2017</v>
      </c>
      <c r="AV845">
        <v>134</v>
      </c>
      <c r="AW845">
        <v>3</v>
      </c>
      <c r="AX845" t="s">
        <v>74</v>
      </c>
      <c r="AY845" t="s">
        <v>74</v>
      </c>
      <c r="AZ845" t="s">
        <v>74</v>
      </c>
      <c r="BA845" t="s">
        <v>74</v>
      </c>
      <c r="BB845">
        <v>520</v>
      </c>
      <c r="BC845">
        <v>529</v>
      </c>
      <c r="BD845" t="s">
        <v>74</v>
      </c>
      <c r="BE845" t="s">
        <v>16134</v>
      </c>
      <c r="BF845" t="str">
        <f>HYPERLINK("http://dx.doi.org/10.1642/AUK-16-69.1","http://dx.doi.org/10.1642/AUK-16-69.1")</f>
        <v>http://dx.doi.org/10.1642/AUK-16-69.1</v>
      </c>
      <c r="BG845" t="s">
        <v>74</v>
      </c>
      <c r="BH845" t="s">
        <v>74</v>
      </c>
      <c r="BI845">
        <v>10</v>
      </c>
      <c r="BJ845" t="s">
        <v>2801</v>
      </c>
      <c r="BK845" t="s">
        <v>101</v>
      </c>
      <c r="BL845" t="s">
        <v>2802</v>
      </c>
      <c r="BM845" t="s">
        <v>16135</v>
      </c>
      <c r="BN845" t="s">
        <v>74</v>
      </c>
      <c r="BO845" t="s">
        <v>855</v>
      </c>
      <c r="BP845" t="s">
        <v>74</v>
      </c>
      <c r="BQ845" t="s">
        <v>74</v>
      </c>
      <c r="BR845" t="s">
        <v>105</v>
      </c>
      <c r="BS845" t="s">
        <v>16136</v>
      </c>
      <c r="BT845" t="str">
        <f>HYPERLINK("https%3A%2F%2Fwww.webofscience.com%2Fwos%2Fwoscc%2Ffull-record%2FWOS:000405095500004","View Full Record in Web of Science")</f>
        <v>View Full Record in Web of Science</v>
      </c>
    </row>
    <row r="846" spans="1:72" x14ac:dyDescent="0.15">
      <c r="A846" t="s">
        <v>72</v>
      </c>
      <c r="B846" t="s">
        <v>16137</v>
      </c>
      <c r="C846" t="s">
        <v>74</v>
      </c>
      <c r="D846" t="s">
        <v>74</v>
      </c>
      <c r="E846" t="s">
        <v>74</v>
      </c>
      <c r="F846" t="s">
        <v>16138</v>
      </c>
      <c r="G846" t="s">
        <v>74</v>
      </c>
      <c r="H846" t="s">
        <v>74</v>
      </c>
      <c r="I846" t="s">
        <v>16139</v>
      </c>
      <c r="J846" t="s">
        <v>7237</v>
      </c>
      <c r="K846" t="s">
        <v>74</v>
      </c>
      <c r="L846" t="s">
        <v>74</v>
      </c>
      <c r="M846" t="s">
        <v>78</v>
      </c>
      <c r="N846" t="s">
        <v>79</v>
      </c>
      <c r="O846" t="s">
        <v>74</v>
      </c>
      <c r="P846" t="s">
        <v>74</v>
      </c>
      <c r="Q846" t="s">
        <v>74</v>
      </c>
      <c r="R846" t="s">
        <v>74</v>
      </c>
      <c r="S846" t="s">
        <v>74</v>
      </c>
      <c r="T846" t="s">
        <v>16140</v>
      </c>
      <c r="U846" t="s">
        <v>16141</v>
      </c>
      <c r="V846" t="s">
        <v>16142</v>
      </c>
      <c r="W846" t="s">
        <v>16143</v>
      </c>
      <c r="X846" t="s">
        <v>16144</v>
      </c>
      <c r="Y846" t="s">
        <v>16145</v>
      </c>
      <c r="Z846" t="s">
        <v>16146</v>
      </c>
      <c r="AA846" t="s">
        <v>16147</v>
      </c>
      <c r="AB846" t="s">
        <v>16148</v>
      </c>
      <c r="AC846" t="s">
        <v>16149</v>
      </c>
      <c r="AD846" t="s">
        <v>16150</v>
      </c>
      <c r="AE846" t="s">
        <v>16151</v>
      </c>
      <c r="AF846" t="s">
        <v>74</v>
      </c>
      <c r="AG846">
        <v>71</v>
      </c>
      <c r="AH846">
        <v>8</v>
      </c>
      <c r="AI846">
        <v>9</v>
      </c>
      <c r="AJ846">
        <v>1</v>
      </c>
      <c r="AK846">
        <v>19</v>
      </c>
      <c r="AL846" t="s">
        <v>1338</v>
      </c>
      <c r="AM846" t="s">
        <v>1339</v>
      </c>
      <c r="AN846" t="s">
        <v>1340</v>
      </c>
      <c r="AO846" t="s">
        <v>7248</v>
      </c>
      <c r="AP846" t="s">
        <v>7249</v>
      </c>
      <c r="AQ846" t="s">
        <v>74</v>
      </c>
      <c r="AR846" t="s">
        <v>7250</v>
      </c>
      <c r="AS846" t="s">
        <v>7251</v>
      </c>
      <c r="AT846" t="s">
        <v>15076</v>
      </c>
      <c r="AU846">
        <v>2017</v>
      </c>
      <c r="AV846">
        <v>91</v>
      </c>
      <c r="AW846">
        <v>1</v>
      </c>
      <c r="AX846" t="s">
        <v>74</v>
      </c>
      <c r="AY846" t="s">
        <v>74</v>
      </c>
      <c r="AZ846" t="s">
        <v>74</v>
      </c>
      <c r="BA846" t="s">
        <v>74</v>
      </c>
      <c r="BB846">
        <v>278</v>
      </c>
      <c r="BC846">
        <v>301</v>
      </c>
      <c r="BD846" t="s">
        <v>74</v>
      </c>
      <c r="BE846" t="s">
        <v>16152</v>
      </c>
      <c r="BF846" t="str">
        <f>HYPERLINK("http://dx.doi.org/10.1111/jfb.13344","http://dx.doi.org/10.1111/jfb.13344")</f>
        <v>http://dx.doi.org/10.1111/jfb.13344</v>
      </c>
      <c r="BG846" t="s">
        <v>74</v>
      </c>
      <c r="BH846" t="s">
        <v>74</v>
      </c>
      <c r="BI846">
        <v>24</v>
      </c>
      <c r="BJ846" t="s">
        <v>4008</v>
      </c>
      <c r="BK846" t="s">
        <v>101</v>
      </c>
      <c r="BL846" t="s">
        <v>4008</v>
      </c>
      <c r="BM846" t="s">
        <v>16153</v>
      </c>
      <c r="BN846">
        <v>28691401</v>
      </c>
      <c r="BO846" t="s">
        <v>74</v>
      </c>
      <c r="BP846" t="s">
        <v>74</v>
      </c>
      <c r="BQ846" t="s">
        <v>74</v>
      </c>
      <c r="BR846" t="s">
        <v>105</v>
      </c>
      <c r="BS846" t="s">
        <v>16154</v>
      </c>
      <c r="BT846" t="str">
        <f>HYPERLINK("https%3A%2F%2Fwww.webofscience.com%2Fwos%2Fwoscc%2Ffull-record%2FWOS:000405242900013","View Full Record in Web of Science")</f>
        <v>View Full Record in Web of Science</v>
      </c>
    </row>
    <row r="847" spans="1:72" x14ac:dyDescent="0.15">
      <c r="A847" t="s">
        <v>72</v>
      </c>
      <c r="B847" t="s">
        <v>16155</v>
      </c>
      <c r="C847" t="s">
        <v>74</v>
      </c>
      <c r="D847" t="s">
        <v>74</v>
      </c>
      <c r="E847" t="s">
        <v>74</v>
      </c>
      <c r="F847" t="s">
        <v>16156</v>
      </c>
      <c r="G847" t="s">
        <v>74</v>
      </c>
      <c r="H847" t="s">
        <v>74</v>
      </c>
      <c r="I847" t="s">
        <v>16157</v>
      </c>
      <c r="J847" t="s">
        <v>1562</v>
      </c>
      <c r="K847" t="s">
        <v>74</v>
      </c>
      <c r="L847" t="s">
        <v>74</v>
      </c>
      <c r="M847" t="s">
        <v>78</v>
      </c>
      <c r="N847" t="s">
        <v>79</v>
      </c>
      <c r="O847" t="s">
        <v>74</v>
      </c>
      <c r="P847" t="s">
        <v>74</v>
      </c>
      <c r="Q847" t="s">
        <v>74</v>
      </c>
      <c r="R847" t="s">
        <v>74</v>
      </c>
      <c r="S847" t="s">
        <v>74</v>
      </c>
      <c r="T847" t="s">
        <v>74</v>
      </c>
      <c r="U847" t="s">
        <v>16158</v>
      </c>
      <c r="V847" t="s">
        <v>16159</v>
      </c>
      <c r="W847" t="s">
        <v>16160</v>
      </c>
      <c r="X847" t="s">
        <v>16161</v>
      </c>
      <c r="Y847" t="s">
        <v>16162</v>
      </c>
      <c r="Z847" t="s">
        <v>16163</v>
      </c>
      <c r="AA847" t="s">
        <v>16164</v>
      </c>
      <c r="AB847" t="s">
        <v>16165</v>
      </c>
      <c r="AC847" t="s">
        <v>16166</v>
      </c>
      <c r="AD847" t="s">
        <v>16167</v>
      </c>
      <c r="AE847" t="s">
        <v>16168</v>
      </c>
      <c r="AF847" t="s">
        <v>74</v>
      </c>
      <c r="AG847">
        <v>39</v>
      </c>
      <c r="AH847">
        <v>22</v>
      </c>
      <c r="AI847">
        <v>24</v>
      </c>
      <c r="AJ847">
        <v>3</v>
      </c>
      <c r="AK847">
        <v>18</v>
      </c>
      <c r="AL847" t="s">
        <v>1366</v>
      </c>
      <c r="AM847" t="s">
        <v>1367</v>
      </c>
      <c r="AN847" t="s">
        <v>1368</v>
      </c>
      <c r="AO847" t="s">
        <v>1575</v>
      </c>
      <c r="AP847" t="s">
        <v>1576</v>
      </c>
      <c r="AQ847" t="s">
        <v>74</v>
      </c>
      <c r="AR847" t="s">
        <v>1577</v>
      </c>
      <c r="AS847" t="s">
        <v>1578</v>
      </c>
      <c r="AT847" t="s">
        <v>15076</v>
      </c>
      <c r="AU847">
        <v>2017</v>
      </c>
      <c r="AV847">
        <v>47</v>
      </c>
      <c r="AW847">
        <v>7</v>
      </c>
      <c r="AX847" t="s">
        <v>74</v>
      </c>
      <c r="AY847" t="s">
        <v>74</v>
      </c>
      <c r="AZ847" t="s">
        <v>74</v>
      </c>
      <c r="BA847" t="s">
        <v>74</v>
      </c>
      <c r="BB847">
        <v>1799</v>
      </c>
      <c r="BC847">
        <v>1816</v>
      </c>
      <c r="BD847" t="s">
        <v>74</v>
      </c>
      <c r="BE847" t="s">
        <v>16169</v>
      </c>
      <c r="BF847" t="str">
        <f>HYPERLINK("http://dx.doi.org/10.1175/JPO-D-16-0220.1","http://dx.doi.org/10.1175/JPO-D-16-0220.1")</f>
        <v>http://dx.doi.org/10.1175/JPO-D-16-0220.1</v>
      </c>
      <c r="BG847" t="s">
        <v>74</v>
      </c>
      <c r="BH847" t="s">
        <v>74</v>
      </c>
      <c r="BI847">
        <v>18</v>
      </c>
      <c r="BJ847" t="s">
        <v>1459</v>
      </c>
      <c r="BK847" t="s">
        <v>101</v>
      </c>
      <c r="BL847" t="s">
        <v>1459</v>
      </c>
      <c r="BM847" t="s">
        <v>15218</v>
      </c>
      <c r="BN847" t="s">
        <v>74</v>
      </c>
      <c r="BO847" t="s">
        <v>699</v>
      </c>
      <c r="BP847" t="s">
        <v>74</v>
      </c>
      <c r="BQ847" t="s">
        <v>74</v>
      </c>
      <c r="BR847" t="s">
        <v>105</v>
      </c>
      <c r="BS847" t="s">
        <v>16170</v>
      </c>
      <c r="BT847" t="str">
        <f>HYPERLINK("https%3A%2F%2Fwww.webofscience.com%2Fwos%2Fwoscc%2Ffull-record%2FWOS:000405111400018","View Full Record in Web of Science")</f>
        <v>View Full Record in Web of Science</v>
      </c>
    </row>
    <row r="848" spans="1:72" x14ac:dyDescent="0.15">
      <c r="A848" t="s">
        <v>72</v>
      </c>
      <c r="B848" t="s">
        <v>16171</v>
      </c>
      <c r="C848" t="s">
        <v>74</v>
      </c>
      <c r="D848" t="s">
        <v>74</v>
      </c>
      <c r="E848" t="s">
        <v>74</v>
      </c>
      <c r="F848" t="s">
        <v>16172</v>
      </c>
      <c r="G848" t="s">
        <v>74</v>
      </c>
      <c r="H848" t="s">
        <v>74</v>
      </c>
      <c r="I848" t="s">
        <v>16173</v>
      </c>
      <c r="J848" t="s">
        <v>16174</v>
      </c>
      <c r="K848" t="s">
        <v>74</v>
      </c>
      <c r="L848" t="s">
        <v>74</v>
      </c>
      <c r="M848" t="s">
        <v>78</v>
      </c>
      <c r="N848" t="s">
        <v>79</v>
      </c>
      <c r="O848" t="s">
        <v>74</v>
      </c>
      <c r="P848" t="s">
        <v>74</v>
      </c>
      <c r="Q848" t="s">
        <v>74</v>
      </c>
      <c r="R848" t="s">
        <v>74</v>
      </c>
      <c r="S848" t="s">
        <v>74</v>
      </c>
      <c r="T848" t="s">
        <v>74</v>
      </c>
      <c r="U848" t="s">
        <v>16175</v>
      </c>
      <c r="V848" t="s">
        <v>74</v>
      </c>
      <c r="W848" t="s">
        <v>16176</v>
      </c>
      <c r="X848" t="s">
        <v>16177</v>
      </c>
      <c r="Y848" t="s">
        <v>16178</v>
      </c>
      <c r="Z848" t="s">
        <v>16179</v>
      </c>
      <c r="AA848" t="s">
        <v>16180</v>
      </c>
      <c r="AB848" t="s">
        <v>16181</v>
      </c>
      <c r="AC848" t="s">
        <v>16182</v>
      </c>
      <c r="AD848" t="s">
        <v>16183</v>
      </c>
      <c r="AE848" t="s">
        <v>16184</v>
      </c>
      <c r="AF848" t="s">
        <v>74</v>
      </c>
      <c r="AG848">
        <v>10</v>
      </c>
      <c r="AH848">
        <v>20</v>
      </c>
      <c r="AI848">
        <v>23</v>
      </c>
      <c r="AJ848">
        <v>0</v>
      </c>
      <c r="AK848">
        <v>4</v>
      </c>
      <c r="AL848" t="s">
        <v>1338</v>
      </c>
      <c r="AM848" t="s">
        <v>1339</v>
      </c>
      <c r="AN848" t="s">
        <v>1340</v>
      </c>
      <c r="AO848" t="s">
        <v>16185</v>
      </c>
      <c r="AP848" t="s">
        <v>16186</v>
      </c>
      <c r="AQ848" t="s">
        <v>74</v>
      </c>
      <c r="AR848" t="s">
        <v>16174</v>
      </c>
      <c r="AS848" t="s">
        <v>16187</v>
      </c>
      <c r="AT848" t="s">
        <v>15076</v>
      </c>
      <c r="AU848">
        <v>2017</v>
      </c>
      <c r="AV848">
        <v>72</v>
      </c>
      <c r="AW848">
        <v>7</v>
      </c>
      <c r="AX848" t="s">
        <v>74</v>
      </c>
      <c r="AY848" t="s">
        <v>74</v>
      </c>
      <c r="AZ848" t="s">
        <v>1188</v>
      </c>
      <c r="BA848" t="s">
        <v>74</v>
      </c>
      <c r="BB848">
        <v>192</v>
      </c>
      <c r="BC848">
        <v>196</v>
      </c>
      <c r="BD848" t="s">
        <v>74</v>
      </c>
      <c r="BE848" t="s">
        <v>16188</v>
      </c>
      <c r="BF848" t="str">
        <f>HYPERLINK("http://dx.doi.org/10.1002/wea.3028","http://dx.doi.org/10.1002/wea.3028")</f>
        <v>http://dx.doi.org/10.1002/wea.3028</v>
      </c>
      <c r="BG848" t="s">
        <v>74</v>
      </c>
      <c r="BH848" t="s">
        <v>74</v>
      </c>
      <c r="BI848">
        <v>6</v>
      </c>
      <c r="BJ848" t="s">
        <v>162</v>
      </c>
      <c r="BK848" t="s">
        <v>101</v>
      </c>
      <c r="BL848" t="s">
        <v>162</v>
      </c>
      <c r="BM848" t="s">
        <v>16189</v>
      </c>
      <c r="BN848" t="s">
        <v>74</v>
      </c>
      <c r="BO848" t="s">
        <v>1240</v>
      </c>
      <c r="BP848" t="s">
        <v>74</v>
      </c>
      <c r="BQ848" t="s">
        <v>74</v>
      </c>
      <c r="BR848" t="s">
        <v>105</v>
      </c>
      <c r="BS848" t="s">
        <v>16190</v>
      </c>
      <c r="BT848" t="str">
        <f>HYPERLINK("https%3A%2F%2Fwww.webofscience.com%2Fwos%2Fwoscc%2Ffull-record%2FWOS:000405134800006","View Full Record in Web of Science")</f>
        <v>View Full Record in Web of Science</v>
      </c>
    </row>
    <row r="849" spans="1:72" x14ac:dyDescent="0.15">
      <c r="A849" t="s">
        <v>72</v>
      </c>
      <c r="B849" t="s">
        <v>16191</v>
      </c>
      <c r="C849" t="s">
        <v>74</v>
      </c>
      <c r="D849" t="s">
        <v>74</v>
      </c>
      <c r="E849" t="s">
        <v>74</v>
      </c>
      <c r="F849" t="s">
        <v>16192</v>
      </c>
      <c r="G849" t="s">
        <v>74</v>
      </c>
      <c r="H849" t="s">
        <v>74</v>
      </c>
      <c r="I849" t="s">
        <v>16193</v>
      </c>
      <c r="J849" t="s">
        <v>12020</v>
      </c>
      <c r="K849" t="s">
        <v>74</v>
      </c>
      <c r="L849" t="s">
        <v>74</v>
      </c>
      <c r="M849" t="s">
        <v>78</v>
      </c>
      <c r="N849" t="s">
        <v>79</v>
      </c>
      <c r="O849" t="s">
        <v>74</v>
      </c>
      <c r="P849" t="s">
        <v>74</v>
      </c>
      <c r="Q849" t="s">
        <v>74</v>
      </c>
      <c r="R849" t="s">
        <v>74</v>
      </c>
      <c r="S849" t="s">
        <v>74</v>
      </c>
      <c r="T849" t="s">
        <v>16194</v>
      </c>
      <c r="U849" t="s">
        <v>16195</v>
      </c>
      <c r="V849" t="s">
        <v>16196</v>
      </c>
      <c r="W849" t="s">
        <v>16197</v>
      </c>
      <c r="X849" t="s">
        <v>16198</v>
      </c>
      <c r="Y849" t="s">
        <v>16199</v>
      </c>
      <c r="Z849" t="s">
        <v>16200</v>
      </c>
      <c r="AA849" t="s">
        <v>16201</v>
      </c>
      <c r="AB849" t="s">
        <v>16202</v>
      </c>
      <c r="AC849" t="s">
        <v>16203</v>
      </c>
      <c r="AD849" t="s">
        <v>16204</v>
      </c>
      <c r="AE849" t="s">
        <v>16205</v>
      </c>
      <c r="AF849" t="s">
        <v>74</v>
      </c>
      <c r="AG849">
        <v>84</v>
      </c>
      <c r="AH849">
        <v>45</v>
      </c>
      <c r="AI849">
        <v>46</v>
      </c>
      <c r="AJ849">
        <v>0</v>
      </c>
      <c r="AK849">
        <v>51</v>
      </c>
      <c r="AL849" t="s">
        <v>728</v>
      </c>
      <c r="AM849" t="s">
        <v>729</v>
      </c>
      <c r="AN849" t="s">
        <v>730</v>
      </c>
      <c r="AO849" t="s">
        <v>12033</v>
      </c>
      <c r="AP849" t="s">
        <v>12034</v>
      </c>
      <c r="AQ849" t="s">
        <v>74</v>
      </c>
      <c r="AR849" t="s">
        <v>12035</v>
      </c>
      <c r="AS849" t="s">
        <v>12036</v>
      </c>
      <c r="AT849" t="s">
        <v>15076</v>
      </c>
      <c r="AU849">
        <v>2017</v>
      </c>
      <c r="AV849">
        <v>211</v>
      </c>
      <c r="AW849" t="s">
        <v>74</v>
      </c>
      <c r="AX849" t="s">
        <v>12037</v>
      </c>
      <c r="AY849" t="s">
        <v>74</v>
      </c>
      <c r="AZ849" t="s">
        <v>74</v>
      </c>
      <c r="BA849" t="s">
        <v>74</v>
      </c>
      <c r="BB849">
        <v>76</v>
      </c>
      <c r="BC849">
        <v>84</v>
      </c>
      <c r="BD849" t="s">
        <v>74</v>
      </c>
      <c r="BE849" t="s">
        <v>16206</v>
      </c>
      <c r="BF849" t="str">
        <f>HYPERLINK("http://dx.doi.org/10.1016/j.biocon.2017.05.009","http://dx.doi.org/10.1016/j.biocon.2017.05.009")</f>
        <v>http://dx.doi.org/10.1016/j.biocon.2017.05.009</v>
      </c>
      <c r="BG849" t="s">
        <v>74</v>
      </c>
      <c r="BH849" t="s">
        <v>74</v>
      </c>
      <c r="BI849">
        <v>9</v>
      </c>
      <c r="BJ849" t="s">
        <v>12039</v>
      </c>
      <c r="BK849" t="s">
        <v>765</v>
      </c>
      <c r="BL849" t="s">
        <v>2593</v>
      </c>
      <c r="BM849" t="s">
        <v>16207</v>
      </c>
      <c r="BN849" t="s">
        <v>74</v>
      </c>
      <c r="BO849" t="s">
        <v>1240</v>
      </c>
      <c r="BP849" t="s">
        <v>74</v>
      </c>
      <c r="BQ849" t="s">
        <v>74</v>
      </c>
      <c r="BR849" t="s">
        <v>105</v>
      </c>
      <c r="BS849" t="s">
        <v>16208</v>
      </c>
      <c r="BT849" t="str">
        <f>HYPERLINK("https%3A%2F%2Fwww.webofscience.com%2Fwos%2Fwoscc%2Ffull-record%2FWOS:000404809900009","View Full Record in Web of Science")</f>
        <v>View Full Record in Web of Science</v>
      </c>
    </row>
    <row r="850" spans="1:72" x14ac:dyDescent="0.15">
      <c r="A850" t="s">
        <v>72</v>
      </c>
      <c r="B850" t="s">
        <v>16209</v>
      </c>
      <c r="C850" t="s">
        <v>74</v>
      </c>
      <c r="D850" t="s">
        <v>74</v>
      </c>
      <c r="E850" t="s">
        <v>74</v>
      </c>
      <c r="F850" t="s">
        <v>16210</v>
      </c>
      <c r="G850" t="s">
        <v>74</v>
      </c>
      <c r="H850" t="s">
        <v>74</v>
      </c>
      <c r="I850" t="s">
        <v>16211</v>
      </c>
      <c r="J850" t="s">
        <v>16212</v>
      </c>
      <c r="K850" t="s">
        <v>74</v>
      </c>
      <c r="L850" t="s">
        <v>74</v>
      </c>
      <c r="M850" t="s">
        <v>78</v>
      </c>
      <c r="N850" t="s">
        <v>79</v>
      </c>
      <c r="O850" t="s">
        <v>74</v>
      </c>
      <c r="P850" t="s">
        <v>74</v>
      </c>
      <c r="Q850" t="s">
        <v>74</v>
      </c>
      <c r="R850" t="s">
        <v>74</v>
      </c>
      <c r="S850" t="s">
        <v>74</v>
      </c>
      <c r="T850" t="s">
        <v>16213</v>
      </c>
      <c r="U850" t="s">
        <v>16214</v>
      </c>
      <c r="V850" t="s">
        <v>16215</v>
      </c>
      <c r="W850" t="s">
        <v>16216</v>
      </c>
      <c r="X850" t="s">
        <v>16217</v>
      </c>
      <c r="Y850" t="s">
        <v>16218</v>
      </c>
      <c r="Z850" t="s">
        <v>16219</v>
      </c>
      <c r="AA850" t="s">
        <v>16220</v>
      </c>
      <c r="AB850" t="s">
        <v>16221</v>
      </c>
      <c r="AC850" t="s">
        <v>16222</v>
      </c>
      <c r="AD850" t="s">
        <v>16223</v>
      </c>
      <c r="AE850" t="s">
        <v>16224</v>
      </c>
      <c r="AF850" t="s">
        <v>74</v>
      </c>
      <c r="AG850">
        <v>87</v>
      </c>
      <c r="AH850">
        <v>19</v>
      </c>
      <c r="AI850">
        <v>20</v>
      </c>
      <c r="AJ850">
        <v>0</v>
      </c>
      <c r="AK850">
        <v>13</v>
      </c>
      <c r="AL850" t="s">
        <v>16225</v>
      </c>
      <c r="AM850" t="s">
        <v>15277</v>
      </c>
      <c r="AN850" t="s">
        <v>16226</v>
      </c>
      <c r="AO850" t="s">
        <v>16227</v>
      </c>
      <c r="AP850" t="s">
        <v>74</v>
      </c>
      <c r="AQ850" t="s">
        <v>74</v>
      </c>
      <c r="AR850" t="s">
        <v>16228</v>
      </c>
      <c r="AS850" t="s">
        <v>16229</v>
      </c>
      <c r="AT850" t="s">
        <v>15076</v>
      </c>
      <c r="AU850">
        <v>2017</v>
      </c>
      <c r="AV850">
        <v>7</v>
      </c>
      <c r="AW850">
        <v>7</v>
      </c>
      <c r="AX850" t="s">
        <v>74</v>
      </c>
      <c r="AY850" t="s">
        <v>74</v>
      </c>
      <c r="AZ850" t="s">
        <v>74</v>
      </c>
      <c r="BA850" t="s">
        <v>74</v>
      </c>
      <c r="BB850">
        <v>2195</v>
      </c>
      <c r="BC850">
        <v>2207</v>
      </c>
      <c r="BD850" t="s">
        <v>74</v>
      </c>
      <c r="BE850" t="s">
        <v>16230</v>
      </c>
      <c r="BF850" t="str">
        <f>HYPERLINK("http://dx.doi.org/10.1534/g3.117.040063","http://dx.doi.org/10.1534/g3.117.040063")</f>
        <v>http://dx.doi.org/10.1534/g3.117.040063</v>
      </c>
      <c r="BG850" t="s">
        <v>74</v>
      </c>
      <c r="BH850" t="s">
        <v>74</v>
      </c>
      <c r="BI850">
        <v>13</v>
      </c>
      <c r="BJ850" t="s">
        <v>9769</v>
      </c>
      <c r="BK850" t="s">
        <v>101</v>
      </c>
      <c r="BL850" t="s">
        <v>9769</v>
      </c>
      <c r="BM850" t="s">
        <v>16231</v>
      </c>
      <c r="BN850">
        <v>28576775</v>
      </c>
      <c r="BO850" t="s">
        <v>658</v>
      </c>
      <c r="BP850" t="s">
        <v>74</v>
      </c>
      <c r="BQ850" t="s">
        <v>74</v>
      </c>
      <c r="BR850" t="s">
        <v>105</v>
      </c>
      <c r="BS850" t="s">
        <v>16232</v>
      </c>
      <c r="BT850" t="str">
        <f>HYPERLINK("https%3A%2F%2Fwww.webofscience.com%2Fwos%2Fwoscc%2Ffull-record%2FWOS:000404991600017","View Full Record in Web of Science")</f>
        <v>View Full Record in Web of Science</v>
      </c>
    </row>
    <row r="851" spans="1:72" x14ac:dyDescent="0.15">
      <c r="A851" t="s">
        <v>72</v>
      </c>
      <c r="B851" t="s">
        <v>16233</v>
      </c>
      <c r="C851" t="s">
        <v>74</v>
      </c>
      <c r="D851" t="s">
        <v>74</v>
      </c>
      <c r="E851" t="s">
        <v>74</v>
      </c>
      <c r="F851" t="s">
        <v>16234</v>
      </c>
      <c r="G851" t="s">
        <v>74</v>
      </c>
      <c r="H851" t="s">
        <v>74</v>
      </c>
      <c r="I851" t="s">
        <v>16235</v>
      </c>
      <c r="J851" t="s">
        <v>12295</v>
      </c>
      <c r="K851" t="s">
        <v>74</v>
      </c>
      <c r="L851" t="s">
        <v>74</v>
      </c>
      <c r="M851" t="s">
        <v>78</v>
      </c>
      <c r="N851" t="s">
        <v>79</v>
      </c>
      <c r="O851" t="s">
        <v>74</v>
      </c>
      <c r="P851" t="s">
        <v>74</v>
      </c>
      <c r="Q851" t="s">
        <v>74</v>
      </c>
      <c r="R851" t="s">
        <v>74</v>
      </c>
      <c r="S851" t="s">
        <v>74</v>
      </c>
      <c r="T851" t="s">
        <v>16236</v>
      </c>
      <c r="U851" t="s">
        <v>16237</v>
      </c>
      <c r="V851" t="s">
        <v>16238</v>
      </c>
      <c r="W851" t="s">
        <v>16239</v>
      </c>
      <c r="X851" t="s">
        <v>9275</v>
      </c>
      <c r="Y851" t="s">
        <v>16240</v>
      </c>
      <c r="Z851" t="s">
        <v>14835</v>
      </c>
      <c r="AA851" t="s">
        <v>14836</v>
      </c>
      <c r="AB851" t="s">
        <v>16241</v>
      </c>
      <c r="AC851" t="s">
        <v>14838</v>
      </c>
      <c r="AD851" t="s">
        <v>14839</v>
      </c>
      <c r="AE851" t="s">
        <v>16242</v>
      </c>
      <c r="AF851" t="s">
        <v>74</v>
      </c>
      <c r="AG851">
        <v>49</v>
      </c>
      <c r="AH851">
        <v>4</v>
      </c>
      <c r="AI851">
        <v>5</v>
      </c>
      <c r="AJ851">
        <v>2</v>
      </c>
      <c r="AK851">
        <v>22</v>
      </c>
      <c r="AL851" t="s">
        <v>208</v>
      </c>
      <c r="AM851" t="s">
        <v>209</v>
      </c>
      <c r="AN851" t="s">
        <v>210</v>
      </c>
      <c r="AO851" t="s">
        <v>12308</v>
      </c>
      <c r="AP851" t="s">
        <v>12309</v>
      </c>
      <c r="AQ851" t="s">
        <v>74</v>
      </c>
      <c r="AR851" t="s">
        <v>12310</v>
      </c>
      <c r="AS851" t="s">
        <v>12311</v>
      </c>
      <c r="AT851" t="s">
        <v>15076</v>
      </c>
      <c r="AU851">
        <v>2017</v>
      </c>
      <c r="AV851">
        <v>36</v>
      </c>
      <c r="AW851">
        <v>7</v>
      </c>
      <c r="AX851" t="s">
        <v>74</v>
      </c>
      <c r="AY851" t="s">
        <v>74</v>
      </c>
      <c r="AZ851" t="s">
        <v>74</v>
      </c>
      <c r="BA851" t="s">
        <v>74</v>
      </c>
      <c r="BB851">
        <v>4</v>
      </c>
      <c r="BC851">
        <v>14</v>
      </c>
      <c r="BD851" t="s">
        <v>74</v>
      </c>
      <c r="BE851" t="s">
        <v>16243</v>
      </c>
      <c r="BF851" t="str">
        <f>HYPERLINK("http://dx.doi.org/10.1007/s13131-017-1078-z","http://dx.doi.org/10.1007/s13131-017-1078-z")</f>
        <v>http://dx.doi.org/10.1007/s13131-017-1078-z</v>
      </c>
      <c r="BG851" t="s">
        <v>74</v>
      </c>
      <c r="BH851" t="s">
        <v>74</v>
      </c>
      <c r="BI851">
        <v>11</v>
      </c>
      <c r="BJ851" t="s">
        <v>1459</v>
      </c>
      <c r="BK851" t="s">
        <v>101</v>
      </c>
      <c r="BL851" t="s">
        <v>1459</v>
      </c>
      <c r="BM851" t="s">
        <v>16244</v>
      </c>
      <c r="BN851" t="s">
        <v>74</v>
      </c>
      <c r="BO851" t="s">
        <v>74</v>
      </c>
      <c r="BP851" t="s">
        <v>74</v>
      </c>
      <c r="BQ851" t="s">
        <v>74</v>
      </c>
      <c r="BR851" t="s">
        <v>105</v>
      </c>
      <c r="BS851" t="s">
        <v>16245</v>
      </c>
      <c r="BT851" t="str">
        <f>HYPERLINK("https%3A%2F%2Fwww.webofscience.com%2Fwos%2Fwoscc%2Ffull-record%2FWOS:000404766500002","View Full Record in Web of Science")</f>
        <v>View Full Record in Web of Science</v>
      </c>
    </row>
    <row r="852" spans="1:72" x14ac:dyDescent="0.15">
      <c r="A852" t="s">
        <v>72</v>
      </c>
      <c r="B852" t="s">
        <v>16246</v>
      </c>
      <c r="C852" t="s">
        <v>74</v>
      </c>
      <c r="D852" t="s">
        <v>74</v>
      </c>
      <c r="E852" t="s">
        <v>74</v>
      </c>
      <c r="F852" t="s">
        <v>16247</v>
      </c>
      <c r="G852" t="s">
        <v>74</v>
      </c>
      <c r="H852" t="s">
        <v>74</v>
      </c>
      <c r="I852" t="s">
        <v>16248</v>
      </c>
      <c r="J852" t="s">
        <v>16249</v>
      </c>
      <c r="K852" t="s">
        <v>74</v>
      </c>
      <c r="L852" t="s">
        <v>74</v>
      </c>
      <c r="M852" t="s">
        <v>78</v>
      </c>
      <c r="N852" t="s">
        <v>79</v>
      </c>
      <c r="O852" t="s">
        <v>74</v>
      </c>
      <c r="P852" t="s">
        <v>74</v>
      </c>
      <c r="Q852" t="s">
        <v>74</v>
      </c>
      <c r="R852" t="s">
        <v>74</v>
      </c>
      <c r="S852" t="s">
        <v>74</v>
      </c>
      <c r="T852" t="s">
        <v>16250</v>
      </c>
      <c r="U852" t="s">
        <v>16251</v>
      </c>
      <c r="V852" t="s">
        <v>16252</v>
      </c>
      <c r="W852" t="s">
        <v>16253</v>
      </c>
      <c r="X852" t="s">
        <v>16254</v>
      </c>
      <c r="Y852" t="s">
        <v>16255</v>
      </c>
      <c r="Z852" t="s">
        <v>16256</v>
      </c>
      <c r="AA852" t="s">
        <v>16257</v>
      </c>
      <c r="AB852" t="s">
        <v>16258</v>
      </c>
      <c r="AC852" t="s">
        <v>16259</v>
      </c>
      <c r="AD852" t="s">
        <v>16260</v>
      </c>
      <c r="AE852" t="s">
        <v>16261</v>
      </c>
      <c r="AF852" t="s">
        <v>74</v>
      </c>
      <c r="AG852">
        <v>48</v>
      </c>
      <c r="AH852">
        <v>1</v>
      </c>
      <c r="AI852">
        <v>1</v>
      </c>
      <c r="AJ852">
        <v>0</v>
      </c>
      <c r="AK852">
        <v>7</v>
      </c>
      <c r="AL852" t="s">
        <v>16262</v>
      </c>
      <c r="AM852" t="s">
        <v>16263</v>
      </c>
      <c r="AN852" t="s">
        <v>16264</v>
      </c>
      <c r="AO852" t="s">
        <v>16265</v>
      </c>
      <c r="AP852" t="s">
        <v>74</v>
      </c>
      <c r="AQ852" t="s">
        <v>74</v>
      </c>
      <c r="AR852" t="s">
        <v>16266</v>
      </c>
      <c r="AS852" t="s">
        <v>16267</v>
      </c>
      <c r="AT852" t="s">
        <v>15076</v>
      </c>
      <c r="AU852">
        <v>2017</v>
      </c>
      <c r="AV852">
        <v>12</v>
      </c>
      <c r="AW852">
        <v>7</v>
      </c>
      <c r="AX852" t="s">
        <v>74</v>
      </c>
      <c r="AY852" t="s">
        <v>74</v>
      </c>
      <c r="AZ852" t="s">
        <v>74</v>
      </c>
      <c r="BA852" t="s">
        <v>74</v>
      </c>
      <c r="BB852">
        <v>34</v>
      </c>
      <c r="BC852">
        <v>44</v>
      </c>
      <c r="BD852" t="s">
        <v>74</v>
      </c>
      <c r="BE852" t="s">
        <v>74</v>
      </c>
      <c r="BF852" t="s">
        <v>74</v>
      </c>
      <c r="BG852" t="s">
        <v>74</v>
      </c>
      <c r="BH852" t="s">
        <v>74</v>
      </c>
      <c r="BI852">
        <v>11</v>
      </c>
      <c r="BJ852" t="s">
        <v>947</v>
      </c>
      <c r="BK852" t="s">
        <v>3172</v>
      </c>
      <c r="BL852" t="s">
        <v>947</v>
      </c>
      <c r="BM852" t="s">
        <v>16268</v>
      </c>
      <c r="BN852" t="s">
        <v>74</v>
      </c>
      <c r="BO852" t="s">
        <v>74</v>
      </c>
      <c r="BP852" t="s">
        <v>74</v>
      </c>
      <c r="BQ852" t="s">
        <v>74</v>
      </c>
      <c r="BR852" t="s">
        <v>105</v>
      </c>
      <c r="BS852" t="s">
        <v>16269</v>
      </c>
      <c r="BT852" t="str">
        <f>HYPERLINK("https%3A%2F%2Fwww.webofscience.com%2Fwos%2Fwoscc%2Ffull-record%2FWOS:000404458300006","View Full Record in Web of Science")</f>
        <v>View Full Record in Web of Science</v>
      </c>
    </row>
    <row r="853" spans="1:72" x14ac:dyDescent="0.15">
      <c r="A853" t="s">
        <v>72</v>
      </c>
      <c r="B853" t="s">
        <v>16270</v>
      </c>
      <c r="C853" t="s">
        <v>74</v>
      </c>
      <c r="D853" t="s">
        <v>74</v>
      </c>
      <c r="E853" t="s">
        <v>74</v>
      </c>
      <c r="F853" t="s">
        <v>16271</v>
      </c>
      <c r="G853" t="s">
        <v>74</v>
      </c>
      <c r="H853" t="s">
        <v>74</v>
      </c>
      <c r="I853" t="s">
        <v>16272</v>
      </c>
      <c r="J853" t="s">
        <v>2445</v>
      </c>
      <c r="K853" t="s">
        <v>74</v>
      </c>
      <c r="L853" t="s">
        <v>74</v>
      </c>
      <c r="M853" t="s">
        <v>78</v>
      </c>
      <c r="N853" t="s">
        <v>79</v>
      </c>
      <c r="O853" t="s">
        <v>74</v>
      </c>
      <c r="P853" t="s">
        <v>74</v>
      </c>
      <c r="Q853" t="s">
        <v>74</v>
      </c>
      <c r="R853" t="s">
        <v>74</v>
      </c>
      <c r="S853" t="s">
        <v>74</v>
      </c>
      <c r="T853" t="s">
        <v>16273</v>
      </c>
      <c r="U853" t="s">
        <v>16274</v>
      </c>
      <c r="V853" t="s">
        <v>16275</v>
      </c>
      <c r="W853" t="s">
        <v>16276</v>
      </c>
      <c r="X853" t="s">
        <v>16277</v>
      </c>
      <c r="Y853" t="s">
        <v>16278</v>
      </c>
      <c r="Z853" t="s">
        <v>16279</v>
      </c>
      <c r="AA853" t="s">
        <v>15415</v>
      </c>
      <c r="AB853" t="s">
        <v>16280</v>
      </c>
      <c r="AC853" t="s">
        <v>16281</v>
      </c>
      <c r="AD853" t="s">
        <v>16282</v>
      </c>
      <c r="AE853" t="s">
        <v>16283</v>
      </c>
      <c r="AF853" t="s">
        <v>74</v>
      </c>
      <c r="AG853">
        <v>53</v>
      </c>
      <c r="AH853">
        <v>11</v>
      </c>
      <c r="AI853">
        <v>12</v>
      </c>
      <c r="AJ853">
        <v>1</v>
      </c>
      <c r="AK853">
        <v>11</v>
      </c>
      <c r="AL853" t="s">
        <v>728</v>
      </c>
      <c r="AM853" t="s">
        <v>729</v>
      </c>
      <c r="AN853" t="s">
        <v>730</v>
      </c>
      <c r="AO853" t="s">
        <v>2458</v>
      </c>
      <c r="AP853" t="s">
        <v>2459</v>
      </c>
      <c r="AQ853" t="s">
        <v>74</v>
      </c>
      <c r="AR853" t="s">
        <v>2460</v>
      </c>
      <c r="AS853" t="s">
        <v>2461</v>
      </c>
      <c r="AT853" t="s">
        <v>15076</v>
      </c>
      <c r="AU853">
        <v>2017</v>
      </c>
      <c r="AV853">
        <v>115</v>
      </c>
      <c r="AW853" t="s">
        <v>74</v>
      </c>
      <c r="AX853" t="s">
        <v>74</v>
      </c>
      <c r="AY853" t="s">
        <v>74</v>
      </c>
      <c r="AZ853" t="s">
        <v>74</v>
      </c>
      <c r="BA853" t="s">
        <v>74</v>
      </c>
      <c r="BB853">
        <v>14</v>
      </c>
      <c r="BC853">
        <v>26</v>
      </c>
      <c r="BD853" t="s">
        <v>74</v>
      </c>
      <c r="BE853" t="s">
        <v>16284</v>
      </c>
      <c r="BF853" t="str">
        <f>HYPERLINK("http://dx.doi.org/10.1016/j.ocemod.2017.05.005","http://dx.doi.org/10.1016/j.ocemod.2017.05.005")</f>
        <v>http://dx.doi.org/10.1016/j.ocemod.2017.05.005</v>
      </c>
      <c r="BG853" t="s">
        <v>74</v>
      </c>
      <c r="BH853" t="s">
        <v>74</v>
      </c>
      <c r="BI853">
        <v>13</v>
      </c>
      <c r="BJ853" t="s">
        <v>2463</v>
      </c>
      <c r="BK853" t="s">
        <v>101</v>
      </c>
      <c r="BL853" t="s">
        <v>2463</v>
      </c>
      <c r="BM853" t="s">
        <v>16285</v>
      </c>
      <c r="BN853" t="s">
        <v>74</v>
      </c>
      <c r="BO853" t="s">
        <v>7331</v>
      </c>
      <c r="BP853" t="s">
        <v>74</v>
      </c>
      <c r="BQ853" t="s">
        <v>74</v>
      </c>
      <c r="BR853" t="s">
        <v>105</v>
      </c>
      <c r="BS853" t="s">
        <v>16286</v>
      </c>
      <c r="BT853" t="str">
        <f>HYPERLINK("https%3A%2F%2Fwww.webofscience.com%2Fwos%2Fwoscc%2Ffull-record%2FWOS:000404495800002","View Full Record in Web of Science")</f>
        <v>View Full Record in Web of Science</v>
      </c>
    </row>
    <row r="854" spans="1:72" x14ac:dyDescent="0.15">
      <c r="A854" t="s">
        <v>72</v>
      </c>
      <c r="B854" t="s">
        <v>16287</v>
      </c>
      <c r="C854" t="s">
        <v>74</v>
      </c>
      <c r="D854" t="s">
        <v>74</v>
      </c>
      <c r="E854" t="s">
        <v>74</v>
      </c>
      <c r="F854" t="s">
        <v>16288</v>
      </c>
      <c r="G854" t="s">
        <v>74</v>
      </c>
      <c r="H854" t="s">
        <v>74</v>
      </c>
      <c r="I854" t="s">
        <v>16289</v>
      </c>
      <c r="J854" t="s">
        <v>2445</v>
      </c>
      <c r="K854" t="s">
        <v>74</v>
      </c>
      <c r="L854" t="s">
        <v>74</v>
      </c>
      <c r="M854" t="s">
        <v>78</v>
      </c>
      <c r="N854" t="s">
        <v>79</v>
      </c>
      <c r="O854" t="s">
        <v>74</v>
      </c>
      <c r="P854" t="s">
        <v>74</v>
      </c>
      <c r="Q854" t="s">
        <v>74</v>
      </c>
      <c r="R854" t="s">
        <v>74</v>
      </c>
      <c r="S854" t="s">
        <v>74</v>
      </c>
      <c r="T854" t="s">
        <v>16290</v>
      </c>
      <c r="U854" t="s">
        <v>16291</v>
      </c>
      <c r="V854" t="s">
        <v>16292</v>
      </c>
      <c r="W854" t="s">
        <v>16293</v>
      </c>
      <c r="X854" t="s">
        <v>16294</v>
      </c>
      <c r="Y854" t="s">
        <v>16295</v>
      </c>
      <c r="Z854" t="s">
        <v>16296</v>
      </c>
      <c r="AA854" t="s">
        <v>16297</v>
      </c>
      <c r="AB854" t="s">
        <v>16298</v>
      </c>
      <c r="AC854" t="s">
        <v>16299</v>
      </c>
      <c r="AD854" t="s">
        <v>16300</v>
      </c>
      <c r="AE854" t="s">
        <v>16301</v>
      </c>
      <c r="AF854" t="s">
        <v>74</v>
      </c>
      <c r="AG854">
        <v>134</v>
      </c>
      <c r="AH854">
        <v>51</v>
      </c>
      <c r="AI854">
        <v>55</v>
      </c>
      <c r="AJ854">
        <v>0</v>
      </c>
      <c r="AK854">
        <v>22</v>
      </c>
      <c r="AL854" t="s">
        <v>728</v>
      </c>
      <c r="AM854" t="s">
        <v>729</v>
      </c>
      <c r="AN854" t="s">
        <v>730</v>
      </c>
      <c r="AO854" t="s">
        <v>2458</v>
      </c>
      <c r="AP854" t="s">
        <v>2459</v>
      </c>
      <c r="AQ854" t="s">
        <v>74</v>
      </c>
      <c r="AR854" t="s">
        <v>2460</v>
      </c>
      <c r="AS854" t="s">
        <v>2461</v>
      </c>
      <c r="AT854" t="s">
        <v>15076</v>
      </c>
      <c r="AU854">
        <v>2017</v>
      </c>
      <c r="AV854">
        <v>115</v>
      </c>
      <c r="AW854" t="s">
        <v>74</v>
      </c>
      <c r="AX854" t="s">
        <v>74</v>
      </c>
      <c r="AY854" t="s">
        <v>74</v>
      </c>
      <c r="AZ854" t="s">
        <v>74</v>
      </c>
      <c r="BA854" t="s">
        <v>74</v>
      </c>
      <c r="BB854">
        <v>42</v>
      </c>
      <c r="BC854">
        <v>58</v>
      </c>
      <c r="BD854" t="s">
        <v>74</v>
      </c>
      <c r="BE854" t="s">
        <v>16302</v>
      </c>
      <c r="BF854" t="str">
        <f>HYPERLINK("http://dx.doi.org/10.1016/j.ocemod.2017.05.007","http://dx.doi.org/10.1016/j.ocemod.2017.05.007")</f>
        <v>http://dx.doi.org/10.1016/j.ocemod.2017.05.007</v>
      </c>
      <c r="BG854" t="s">
        <v>74</v>
      </c>
      <c r="BH854" t="s">
        <v>74</v>
      </c>
      <c r="BI854">
        <v>17</v>
      </c>
      <c r="BJ854" t="s">
        <v>2463</v>
      </c>
      <c r="BK854" t="s">
        <v>101</v>
      </c>
      <c r="BL854" t="s">
        <v>2463</v>
      </c>
      <c r="BM854" t="s">
        <v>16285</v>
      </c>
      <c r="BN854" t="s">
        <v>74</v>
      </c>
      <c r="BO854" t="s">
        <v>511</v>
      </c>
      <c r="BP854" t="s">
        <v>74</v>
      </c>
      <c r="BQ854" t="s">
        <v>74</v>
      </c>
      <c r="BR854" t="s">
        <v>105</v>
      </c>
      <c r="BS854" t="s">
        <v>16303</v>
      </c>
      <c r="BT854" t="str">
        <f>HYPERLINK("https%3A%2F%2Fwww.webofscience.com%2Fwos%2Fwoscc%2Ffull-record%2FWOS:000404495800004","View Full Record in Web of Science")</f>
        <v>View Full Record in Web of Science</v>
      </c>
    </row>
    <row r="855" spans="1:72" x14ac:dyDescent="0.15">
      <c r="A855" t="s">
        <v>72</v>
      </c>
      <c r="B855" t="s">
        <v>16304</v>
      </c>
      <c r="C855" t="s">
        <v>74</v>
      </c>
      <c r="D855" t="s">
        <v>74</v>
      </c>
      <c r="E855" t="s">
        <v>74</v>
      </c>
      <c r="F855" t="s">
        <v>16305</v>
      </c>
      <c r="G855" t="s">
        <v>74</v>
      </c>
      <c r="H855" t="s">
        <v>74</v>
      </c>
      <c r="I855" t="s">
        <v>16306</v>
      </c>
      <c r="J855" t="s">
        <v>2445</v>
      </c>
      <c r="K855" t="s">
        <v>74</v>
      </c>
      <c r="L855" t="s">
        <v>74</v>
      </c>
      <c r="M855" t="s">
        <v>78</v>
      </c>
      <c r="N855" t="s">
        <v>79</v>
      </c>
      <c r="O855" t="s">
        <v>74</v>
      </c>
      <c r="P855" t="s">
        <v>74</v>
      </c>
      <c r="Q855" t="s">
        <v>74</v>
      </c>
      <c r="R855" t="s">
        <v>74</v>
      </c>
      <c r="S855" t="s">
        <v>74</v>
      </c>
      <c r="T855" t="s">
        <v>16307</v>
      </c>
      <c r="U855" t="s">
        <v>16308</v>
      </c>
      <c r="V855" t="s">
        <v>16309</v>
      </c>
      <c r="W855" t="s">
        <v>16310</v>
      </c>
      <c r="X855" t="s">
        <v>16311</v>
      </c>
      <c r="Y855" t="s">
        <v>16312</v>
      </c>
      <c r="Z855" t="s">
        <v>16313</v>
      </c>
      <c r="AA855" t="s">
        <v>16314</v>
      </c>
      <c r="AB855" t="s">
        <v>16315</v>
      </c>
      <c r="AC855" t="s">
        <v>16316</v>
      </c>
      <c r="AD855" t="s">
        <v>16317</v>
      </c>
      <c r="AE855" t="s">
        <v>16318</v>
      </c>
      <c r="AF855" t="s">
        <v>74</v>
      </c>
      <c r="AG855">
        <v>33</v>
      </c>
      <c r="AH855">
        <v>1</v>
      </c>
      <c r="AI855">
        <v>1</v>
      </c>
      <c r="AJ855">
        <v>0</v>
      </c>
      <c r="AK855">
        <v>5</v>
      </c>
      <c r="AL855" t="s">
        <v>728</v>
      </c>
      <c r="AM855" t="s">
        <v>729</v>
      </c>
      <c r="AN855" t="s">
        <v>730</v>
      </c>
      <c r="AO855" t="s">
        <v>2458</v>
      </c>
      <c r="AP855" t="s">
        <v>2459</v>
      </c>
      <c r="AQ855" t="s">
        <v>74</v>
      </c>
      <c r="AR855" t="s">
        <v>2460</v>
      </c>
      <c r="AS855" t="s">
        <v>2461</v>
      </c>
      <c r="AT855" t="s">
        <v>15076</v>
      </c>
      <c r="AU855">
        <v>2017</v>
      </c>
      <c r="AV855">
        <v>115</v>
      </c>
      <c r="AW855" t="s">
        <v>74</v>
      </c>
      <c r="AX855" t="s">
        <v>74</v>
      </c>
      <c r="AY855" t="s">
        <v>74</v>
      </c>
      <c r="AZ855" t="s">
        <v>74</v>
      </c>
      <c r="BA855" t="s">
        <v>74</v>
      </c>
      <c r="BB855">
        <v>77</v>
      </c>
      <c r="BC855">
        <v>85</v>
      </c>
      <c r="BD855" t="s">
        <v>74</v>
      </c>
      <c r="BE855" t="s">
        <v>16319</v>
      </c>
      <c r="BF855" t="str">
        <f>HYPERLINK("http://dx.doi.org/10.1016/j.ocemod.2017.05.010","http://dx.doi.org/10.1016/j.ocemod.2017.05.010")</f>
        <v>http://dx.doi.org/10.1016/j.ocemod.2017.05.010</v>
      </c>
      <c r="BG855" t="s">
        <v>74</v>
      </c>
      <c r="BH855" t="s">
        <v>74</v>
      </c>
      <c r="BI855">
        <v>9</v>
      </c>
      <c r="BJ855" t="s">
        <v>2463</v>
      </c>
      <c r="BK855" t="s">
        <v>101</v>
      </c>
      <c r="BL855" t="s">
        <v>2463</v>
      </c>
      <c r="BM855" t="s">
        <v>16285</v>
      </c>
      <c r="BN855" t="s">
        <v>74</v>
      </c>
      <c r="BO855" t="s">
        <v>164</v>
      </c>
      <c r="BP855" t="s">
        <v>74</v>
      </c>
      <c r="BQ855" t="s">
        <v>74</v>
      </c>
      <c r="BR855" t="s">
        <v>105</v>
      </c>
      <c r="BS855" t="s">
        <v>16320</v>
      </c>
      <c r="BT855" t="str">
        <f>HYPERLINK("https%3A%2F%2Fwww.webofscience.com%2Fwos%2Fwoscc%2Ffull-record%2FWOS:000404495800007","View Full Record in Web of Science")</f>
        <v>View Full Record in Web of Science</v>
      </c>
    </row>
    <row r="856" spans="1:72" x14ac:dyDescent="0.15">
      <c r="A856" t="s">
        <v>72</v>
      </c>
      <c r="B856" t="s">
        <v>16321</v>
      </c>
      <c r="C856" t="s">
        <v>74</v>
      </c>
      <c r="D856" t="s">
        <v>74</v>
      </c>
      <c r="E856" t="s">
        <v>74</v>
      </c>
      <c r="F856" t="s">
        <v>16322</v>
      </c>
      <c r="G856" t="s">
        <v>74</v>
      </c>
      <c r="H856" t="s">
        <v>74</v>
      </c>
      <c r="I856" t="s">
        <v>16323</v>
      </c>
      <c r="J856" t="s">
        <v>16324</v>
      </c>
      <c r="K856" t="s">
        <v>74</v>
      </c>
      <c r="L856" t="s">
        <v>74</v>
      </c>
      <c r="M856" t="s">
        <v>78</v>
      </c>
      <c r="N856" t="s">
        <v>79</v>
      </c>
      <c r="O856" t="s">
        <v>74</v>
      </c>
      <c r="P856" t="s">
        <v>74</v>
      </c>
      <c r="Q856" t="s">
        <v>74</v>
      </c>
      <c r="R856" t="s">
        <v>74</v>
      </c>
      <c r="S856" t="s">
        <v>74</v>
      </c>
      <c r="T856" t="s">
        <v>16325</v>
      </c>
      <c r="U856" t="s">
        <v>74</v>
      </c>
      <c r="V856" t="s">
        <v>16326</v>
      </c>
      <c r="W856" t="s">
        <v>16327</v>
      </c>
      <c r="X856" t="s">
        <v>15213</v>
      </c>
      <c r="Y856" t="s">
        <v>16328</v>
      </c>
      <c r="Z856" t="s">
        <v>16329</v>
      </c>
      <c r="AA856" t="s">
        <v>16330</v>
      </c>
      <c r="AB856" t="s">
        <v>16331</v>
      </c>
      <c r="AC856" t="s">
        <v>16332</v>
      </c>
      <c r="AD856" t="s">
        <v>16333</v>
      </c>
      <c r="AE856" t="s">
        <v>16334</v>
      </c>
      <c r="AF856" t="s">
        <v>74</v>
      </c>
      <c r="AG856">
        <v>21</v>
      </c>
      <c r="AH856">
        <v>1</v>
      </c>
      <c r="AI856">
        <v>1</v>
      </c>
      <c r="AJ856">
        <v>0</v>
      </c>
      <c r="AK856">
        <v>2</v>
      </c>
      <c r="AL856" t="s">
        <v>16335</v>
      </c>
      <c r="AM856" t="s">
        <v>16336</v>
      </c>
      <c r="AN856" t="s">
        <v>16337</v>
      </c>
      <c r="AO856" t="s">
        <v>16338</v>
      </c>
      <c r="AP856" t="s">
        <v>74</v>
      </c>
      <c r="AQ856" t="s">
        <v>74</v>
      </c>
      <c r="AR856" t="s">
        <v>16339</v>
      </c>
      <c r="AS856" t="s">
        <v>16340</v>
      </c>
      <c r="AT856" t="s">
        <v>15830</v>
      </c>
      <c r="AU856">
        <v>2017</v>
      </c>
      <c r="AV856">
        <v>44</v>
      </c>
      <c r="AW856">
        <v>4</v>
      </c>
      <c r="AX856" t="s">
        <v>74</v>
      </c>
      <c r="AY856" t="s">
        <v>74</v>
      </c>
      <c r="AZ856" t="s">
        <v>74</v>
      </c>
      <c r="BA856" t="s">
        <v>74</v>
      </c>
      <c r="BB856">
        <v>299</v>
      </c>
      <c r="BC856">
        <v>308</v>
      </c>
      <c r="BD856" t="s">
        <v>74</v>
      </c>
      <c r="BE856" t="s">
        <v>74</v>
      </c>
      <c r="BF856" t="s">
        <v>74</v>
      </c>
      <c r="BG856" t="s">
        <v>74</v>
      </c>
      <c r="BH856" t="s">
        <v>74</v>
      </c>
      <c r="BI856">
        <v>10</v>
      </c>
      <c r="BJ856" t="s">
        <v>16341</v>
      </c>
      <c r="BK856" t="s">
        <v>101</v>
      </c>
      <c r="BL856" t="s">
        <v>16342</v>
      </c>
      <c r="BM856" t="s">
        <v>16343</v>
      </c>
      <c r="BN856">
        <v>28783885</v>
      </c>
      <c r="BO856" t="s">
        <v>74</v>
      </c>
      <c r="BP856" t="s">
        <v>74</v>
      </c>
      <c r="BQ856" t="s">
        <v>74</v>
      </c>
      <c r="BR856" t="s">
        <v>105</v>
      </c>
      <c r="BS856" t="s">
        <v>16344</v>
      </c>
      <c r="BT856" t="str">
        <f>HYPERLINK("https%3A%2F%2Fwww.webofscience.com%2Fwos%2Fwoscc%2Ffull-record%2FWOS:000404221800001","View Full Record in Web of Science")</f>
        <v>View Full Record in Web of Science</v>
      </c>
    </row>
    <row r="857" spans="1:72" x14ac:dyDescent="0.15">
      <c r="A857" t="s">
        <v>72</v>
      </c>
      <c r="B857" t="s">
        <v>16345</v>
      </c>
      <c r="C857" t="s">
        <v>74</v>
      </c>
      <c r="D857" t="s">
        <v>74</v>
      </c>
      <c r="E857" t="s">
        <v>74</v>
      </c>
      <c r="F857" t="s">
        <v>16346</v>
      </c>
      <c r="G857" t="s">
        <v>74</v>
      </c>
      <c r="H857" t="s">
        <v>74</v>
      </c>
      <c r="I857" t="s">
        <v>16347</v>
      </c>
      <c r="J857" t="s">
        <v>2406</v>
      </c>
      <c r="K857" t="s">
        <v>74</v>
      </c>
      <c r="L857" t="s">
        <v>74</v>
      </c>
      <c r="M857" t="s">
        <v>78</v>
      </c>
      <c r="N857" t="s">
        <v>79</v>
      </c>
      <c r="O857" t="s">
        <v>74</v>
      </c>
      <c r="P857" t="s">
        <v>74</v>
      </c>
      <c r="Q857" t="s">
        <v>74</v>
      </c>
      <c r="R857" t="s">
        <v>74</v>
      </c>
      <c r="S857" t="s">
        <v>74</v>
      </c>
      <c r="T857" t="s">
        <v>74</v>
      </c>
      <c r="U857" t="s">
        <v>16348</v>
      </c>
      <c r="V857" t="s">
        <v>16349</v>
      </c>
      <c r="W857" t="s">
        <v>16350</v>
      </c>
      <c r="X857" t="s">
        <v>16351</v>
      </c>
      <c r="Y857" t="s">
        <v>16352</v>
      </c>
      <c r="Z857" t="s">
        <v>16353</v>
      </c>
      <c r="AA857" t="s">
        <v>16354</v>
      </c>
      <c r="AB857" t="s">
        <v>16355</v>
      </c>
      <c r="AC857" t="s">
        <v>16356</v>
      </c>
      <c r="AD857" t="s">
        <v>16357</v>
      </c>
      <c r="AE857" t="s">
        <v>16358</v>
      </c>
      <c r="AF857" t="s">
        <v>74</v>
      </c>
      <c r="AG857">
        <v>47</v>
      </c>
      <c r="AH857">
        <v>10</v>
      </c>
      <c r="AI857">
        <v>10</v>
      </c>
      <c r="AJ857">
        <v>0</v>
      </c>
      <c r="AK857">
        <v>15</v>
      </c>
      <c r="AL857" t="s">
        <v>1366</v>
      </c>
      <c r="AM857" t="s">
        <v>1367</v>
      </c>
      <c r="AN857" t="s">
        <v>1368</v>
      </c>
      <c r="AO857" t="s">
        <v>2418</v>
      </c>
      <c r="AP857" t="s">
        <v>2419</v>
      </c>
      <c r="AQ857" t="s">
        <v>74</v>
      </c>
      <c r="AR857" t="s">
        <v>2420</v>
      </c>
      <c r="AS857" t="s">
        <v>2421</v>
      </c>
      <c r="AT857" t="s">
        <v>15076</v>
      </c>
      <c r="AU857">
        <v>2017</v>
      </c>
      <c r="AV857">
        <v>30</v>
      </c>
      <c r="AW857">
        <v>14</v>
      </c>
      <c r="AX857" t="s">
        <v>74</v>
      </c>
      <c r="AY857" t="s">
        <v>74</v>
      </c>
      <c r="AZ857" t="s">
        <v>74</v>
      </c>
      <c r="BA857" t="s">
        <v>74</v>
      </c>
      <c r="BB857">
        <v>5187</v>
      </c>
      <c r="BC857">
        <v>5203</v>
      </c>
      <c r="BD857" t="s">
        <v>74</v>
      </c>
      <c r="BE857" t="s">
        <v>16359</v>
      </c>
      <c r="BF857" t="str">
        <f>HYPERLINK("http://dx.doi.org/10.1175/JCLI-D-16-0840.1","http://dx.doi.org/10.1175/JCLI-D-16-0840.1")</f>
        <v>http://dx.doi.org/10.1175/JCLI-D-16-0840.1</v>
      </c>
      <c r="BG857" t="s">
        <v>74</v>
      </c>
      <c r="BH857" t="s">
        <v>74</v>
      </c>
      <c r="BI857">
        <v>17</v>
      </c>
      <c r="BJ857" t="s">
        <v>162</v>
      </c>
      <c r="BK857" t="s">
        <v>101</v>
      </c>
      <c r="BL857" t="s">
        <v>162</v>
      </c>
      <c r="BM857" t="s">
        <v>16360</v>
      </c>
      <c r="BN857" t="s">
        <v>74</v>
      </c>
      <c r="BO857" t="s">
        <v>511</v>
      </c>
      <c r="BP857" t="s">
        <v>74</v>
      </c>
      <c r="BQ857" t="s">
        <v>74</v>
      </c>
      <c r="BR857" t="s">
        <v>105</v>
      </c>
      <c r="BS857" t="s">
        <v>16361</v>
      </c>
      <c r="BT857" t="str">
        <f>HYPERLINK("https%3A%2F%2Fwww.webofscience.com%2Fwos%2Fwoscc%2Ffull-record%2FWOS:000404018600004","View Full Record in Web of Science")</f>
        <v>View Full Record in Web of Science</v>
      </c>
    </row>
    <row r="858" spans="1:72" x14ac:dyDescent="0.15">
      <c r="A858" t="s">
        <v>72</v>
      </c>
      <c r="B858" t="s">
        <v>16362</v>
      </c>
      <c r="C858" t="s">
        <v>74</v>
      </c>
      <c r="D858" t="s">
        <v>74</v>
      </c>
      <c r="E858" t="s">
        <v>74</v>
      </c>
      <c r="F858" t="s">
        <v>16363</v>
      </c>
      <c r="G858" t="s">
        <v>74</v>
      </c>
      <c r="H858" t="s">
        <v>74</v>
      </c>
      <c r="I858" t="s">
        <v>16364</v>
      </c>
      <c r="J858" t="s">
        <v>2339</v>
      </c>
      <c r="K858" t="s">
        <v>74</v>
      </c>
      <c r="L858" t="s">
        <v>74</v>
      </c>
      <c r="M858" t="s">
        <v>78</v>
      </c>
      <c r="N858" t="s">
        <v>79</v>
      </c>
      <c r="O858" t="s">
        <v>74</v>
      </c>
      <c r="P858" t="s">
        <v>74</v>
      </c>
      <c r="Q858" t="s">
        <v>74</v>
      </c>
      <c r="R858" t="s">
        <v>74</v>
      </c>
      <c r="S858" t="s">
        <v>74</v>
      </c>
      <c r="T858" t="s">
        <v>74</v>
      </c>
      <c r="U858" t="s">
        <v>16365</v>
      </c>
      <c r="V858" t="s">
        <v>16366</v>
      </c>
      <c r="W858" t="s">
        <v>16367</v>
      </c>
      <c r="X858" t="s">
        <v>16368</v>
      </c>
      <c r="Y858" t="s">
        <v>16369</v>
      </c>
      <c r="Z858" t="s">
        <v>74</v>
      </c>
      <c r="AA858" t="s">
        <v>16370</v>
      </c>
      <c r="AB858" t="s">
        <v>16371</v>
      </c>
      <c r="AC858" t="s">
        <v>16372</v>
      </c>
      <c r="AD858" t="s">
        <v>16373</v>
      </c>
      <c r="AE858" t="s">
        <v>16374</v>
      </c>
      <c r="AF858" t="s">
        <v>74</v>
      </c>
      <c r="AG858">
        <v>23</v>
      </c>
      <c r="AH858">
        <v>13</v>
      </c>
      <c r="AI858">
        <v>14</v>
      </c>
      <c r="AJ858">
        <v>1</v>
      </c>
      <c r="AK858">
        <v>18</v>
      </c>
      <c r="AL858" t="s">
        <v>1292</v>
      </c>
      <c r="AM858" t="s">
        <v>1293</v>
      </c>
      <c r="AN858" t="s">
        <v>1294</v>
      </c>
      <c r="AO858" t="s">
        <v>2349</v>
      </c>
      <c r="AP858" t="s">
        <v>2350</v>
      </c>
      <c r="AQ858" t="s">
        <v>74</v>
      </c>
      <c r="AR858" t="s">
        <v>2339</v>
      </c>
      <c r="AS858" t="s">
        <v>102</v>
      </c>
      <c r="AT858" t="s">
        <v>15076</v>
      </c>
      <c r="AU858">
        <v>2017</v>
      </c>
      <c r="AV858">
        <v>45</v>
      </c>
      <c r="AW858">
        <v>7</v>
      </c>
      <c r="AX858" t="s">
        <v>74</v>
      </c>
      <c r="AY858" t="s">
        <v>74</v>
      </c>
      <c r="AZ858" t="s">
        <v>74</v>
      </c>
      <c r="BA858" t="s">
        <v>74</v>
      </c>
      <c r="BB858">
        <v>663</v>
      </c>
      <c r="BC858">
        <v>666</v>
      </c>
      <c r="BD858" t="s">
        <v>74</v>
      </c>
      <c r="BE858" t="s">
        <v>16375</v>
      </c>
      <c r="BF858" t="str">
        <f>HYPERLINK("http://dx.doi.org/10.1130/G38890.1","http://dx.doi.org/10.1130/G38890.1")</f>
        <v>http://dx.doi.org/10.1130/G38890.1</v>
      </c>
      <c r="BG858" t="s">
        <v>74</v>
      </c>
      <c r="BH858" t="s">
        <v>74</v>
      </c>
      <c r="BI858">
        <v>4</v>
      </c>
      <c r="BJ858" t="s">
        <v>102</v>
      </c>
      <c r="BK858" t="s">
        <v>101</v>
      </c>
      <c r="BL858" t="s">
        <v>102</v>
      </c>
      <c r="BM858" t="s">
        <v>16376</v>
      </c>
      <c r="BN858" t="s">
        <v>74</v>
      </c>
      <c r="BO858" t="s">
        <v>74</v>
      </c>
      <c r="BP858" t="s">
        <v>74</v>
      </c>
      <c r="BQ858" t="s">
        <v>74</v>
      </c>
      <c r="BR858" t="s">
        <v>105</v>
      </c>
      <c r="BS858" t="s">
        <v>16377</v>
      </c>
      <c r="BT858" t="str">
        <f>HYPERLINK("https%3A%2F%2Fwww.webofscience.com%2Fwos%2Fwoscc%2Ffull-record%2FWOS:000404104300026","View Full Record in Web of Science")</f>
        <v>View Full Record in Web of Science</v>
      </c>
    </row>
    <row r="859" spans="1:72" x14ac:dyDescent="0.15">
      <c r="A859" t="s">
        <v>72</v>
      </c>
      <c r="B859" t="s">
        <v>16378</v>
      </c>
      <c r="C859" t="s">
        <v>74</v>
      </c>
      <c r="D859" t="s">
        <v>74</v>
      </c>
      <c r="E859" t="s">
        <v>74</v>
      </c>
      <c r="F859" t="s">
        <v>16379</v>
      </c>
      <c r="G859" t="s">
        <v>74</v>
      </c>
      <c r="H859" t="s">
        <v>74</v>
      </c>
      <c r="I859" t="s">
        <v>16380</v>
      </c>
      <c r="J859" t="s">
        <v>16381</v>
      </c>
      <c r="K859" t="s">
        <v>74</v>
      </c>
      <c r="L859" t="s">
        <v>74</v>
      </c>
      <c r="M859" t="s">
        <v>78</v>
      </c>
      <c r="N859" t="s">
        <v>79</v>
      </c>
      <c r="O859" t="s">
        <v>74</v>
      </c>
      <c r="P859" t="s">
        <v>74</v>
      </c>
      <c r="Q859" t="s">
        <v>74</v>
      </c>
      <c r="R859" t="s">
        <v>74</v>
      </c>
      <c r="S859" t="s">
        <v>74</v>
      </c>
      <c r="T859" t="s">
        <v>16382</v>
      </c>
      <c r="U859" t="s">
        <v>16383</v>
      </c>
      <c r="V859" t="s">
        <v>16384</v>
      </c>
      <c r="W859" t="s">
        <v>16385</v>
      </c>
      <c r="X859" t="s">
        <v>16386</v>
      </c>
      <c r="Y859" t="s">
        <v>16387</v>
      </c>
      <c r="Z859" t="s">
        <v>16388</v>
      </c>
      <c r="AA859" t="s">
        <v>16389</v>
      </c>
      <c r="AB859" t="s">
        <v>16390</v>
      </c>
      <c r="AC859" t="s">
        <v>16391</v>
      </c>
      <c r="AD859" t="s">
        <v>16392</v>
      </c>
      <c r="AE859" t="s">
        <v>16393</v>
      </c>
      <c r="AF859" t="s">
        <v>74</v>
      </c>
      <c r="AG859">
        <v>32</v>
      </c>
      <c r="AH859">
        <v>4</v>
      </c>
      <c r="AI859">
        <v>4</v>
      </c>
      <c r="AJ859">
        <v>0</v>
      </c>
      <c r="AK859">
        <v>18</v>
      </c>
      <c r="AL859" t="s">
        <v>502</v>
      </c>
      <c r="AM859" t="s">
        <v>372</v>
      </c>
      <c r="AN859" t="s">
        <v>503</v>
      </c>
      <c r="AO859" t="s">
        <v>16394</v>
      </c>
      <c r="AP859" t="s">
        <v>16395</v>
      </c>
      <c r="AQ859" t="s">
        <v>74</v>
      </c>
      <c r="AR859" t="s">
        <v>16396</v>
      </c>
      <c r="AS859" t="s">
        <v>16397</v>
      </c>
      <c r="AT859" t="s">
        <v>16014</v>
      </c>
      <c r="AU859">
        <v>2017</v>
      </c>
      <c r="AV859">
        <v>155</v>
      </c>
      <c r="AW859" t="s">
        <v>74</v>
      </c>
      <c r="AX859" t="s">
        <v>74</v>
      </c>
      <c r="AY859" t="s">
        <v>74</v>
      </c>
      <c r="AZ859" t="s">
        <v>74</v>
      </c>
      <c r="BA859" t="s">
        <v>74</v>
      </c>
      <c r="BB859">
        <v>379</v>
      </c>
      <c r="BC859">
        <v>389</v>
      </c>
      <c r="BD859" t="s">
        <v>74</v>
      </c>
      <c r="BE859" t="s">
        <v>16398</v>
      </c>
      <c r="BF859" t="str">
        <f>HYPERLINK("http://dx.doi.org/10.1016/j.colsurfb.2017.04.011","http://dx.doi.org/10.1016/j.colsurfb.2017.04.011")</f>
        <v>http://dx.doi.org/10.1016/j.colsurfb.2017.04.011</v>
      </c>
      <c r="BG859" t="s">
        <v>74</v>
      </c>
      <c r="BH859" t="s">
        <v>74</v>
      </c>
      <c r="BI859">
        <v>11</v>
      </c>
      <c r="BJ859" t="s">
        <v>16399</v>
      </c>
      <c r="BK859" t="s">
        <v>101</v>
      </c>
      <c r="BL859" t="s">
        <v>16400</v>
      </c>
      <c r="BM859" t="s">
        <v>16401</v>
      </c>
      <c r="BN859">
        <v>28456049</v>
      </c>
      <c r="BO859" t="s">
        <v>74</v>
      </c>
      <c r="BP859" t="s">
        <v>74</v>
      </c>
      <c r="BQ859" t="s">
        <v>74</v>
      </c>
      <c r="BR859" t="s">
        <v>105</v>
      </c>
      <c r="BS859" t="s">
        <v>16402</v>
      </c>
      <c r="BT859" t="str">
        <f>HYPERLINK("https%3A%2F%2Fwww.webofscience.com%2Fwos%2Fwoscc%2Ffull-record%2FWOS:000403738000044","View Full Record in Web of Science")</f>
        <v>View Full Record in Web of Science</v>
      </c>
    </row>
    <row r="860" spans="1:72" x14ac:dyDescent="0.15">
      <c r="A860" t="s">
        <v>72</v>
      </c>
      <c r="B860" t="s">
        <v>16403</v>
      </c>
      <c r="C860" t="s">
        <v>74</v>
      </c>
      <c r="D860" t="s">
        <v>74</v>
      </c>
      <c r="E860" t="s">
        <v>74</v>
      </c>
      <c r="F860" t="s">
        <v>16404</v>
      </c>
      <c r="G860" t="s">
        <v>74</v>
      </c>
      <c r="H860" t="s">
        <v>74</v>
      </c>
      <c r="I860" t="s">
        <v>16405</v>
      </c>
      <c r="J860" t="s">
        <v>16406</v>
      </c>
      <c r="K860" t="s">
        <v>74</v>
      </c>
      <c r="L860" t="s">
        <v>74</v>
      </c>
      <c r="M860" t="s">
        <v>78</v>
      </c>
      <c r="N860" t="s">
        <v>5758</v>
      </c>
      <c r="O860" t="s">
        <v>74</v>
      </c>
      <c r="P860" t="s">
        <v>74</v>
      </c>
      <c r="Q860" t="s">
        <v>74</v>
      </c>
      <c r="R860" t="s">
        <v>74</v>
      </c>
      <c r="S860" t="s">
        <v>74</v>
      </c>
      <c r="T860" t="s">
        <v>74</v>
      </c>
      <c r="U860" t="s">
        <v>74</v>
      </c>
      <c r="V860" t="s">
        <v>74</v>
      </c>
      <c r="W860" t="s">
        <v>16407</v>
      </c>
      <c r="X860" t="s">
        <v>16408</v>
      </c>
      <c r="Y860" t="s">
        <v>16409</v>
      </c>
      <c r="Z860" t="s">
        <v>74</v>
      </c>
      <c r="AA860" t="s">
        <v>16410</v>
      </c>
      <c r="AB860" t="s">
        <v>74</v>
      </c>
      <c r="AC860" t="s">
        <v>74</v>
      </c>
      <c r="AD860" t="s">
        <v>74</v>
      </c>
      <c r="AE860" t="s">
        <v>74</v>
      </c>
      <c r="AF860" t="s">
        <v>74</v>
      </c>
      <c r="AG860">
        <v>1</v>
      </c>
      <c r="AH860">
        <v>0</v>
      </c>
      <c r="AI860">
        <v>0</v>
      </c>
      <c r="AJ860">
        <v>0</v>
      </c>
      <c r="AK860">
        <v>3</v>
      </c>
      <c r="AL860" t="s">
        <v>1270</v>
      </c>
      <c r="AM860" t="s">
        <v>286</v>
      </c>
      <c r="AN860" t="s">
        <v>1271</v>
      </c>
      <c r="AO860" t="s">
        <v>16411</v>
      </c>
      <c r="AP860" t="s">
        <v>16412</v>
      </c>
      <c r="AQ860" t="s">
        <v>74</v>
      </c>
      <c r="AR860" t="s">
        <v>16413</v>
      </c>
      <c r="AS860" t="s">
        <v>16414</v>
      </c>
      <c r="AT860" t="s">
        <v>15076</v>
      </c>
      <c r="AU860">
        <v>2017</v>
      </c>
      <c r="AV860">
        <v>7</v>
      </c>
      <c r="AW860">
        <v>2</v>
      </c>
      <c r="AX860" t="s">
        <v>74</v>
      </c>
      <c r="AY860" t="s">
        <v>74</v>
      </c>
      <c r="AZ860" t="s">
        <v>74</v>
      </c>
      <c r="BA860" t="s">
        <v>74</v>
      </c>
      <c r="BB860">
        <v>389</v>
      </c>
      <c r="BC860">
        <v>390</v>
      </c>
      <c r="BD860" t="s">
        <v>74</v>
      </c>
      <c r="BE860" t="s">
        <v>16415</v>
      </c>
      <c r="BF860" t="str">
        <f>HYPERLINK("http://dx.doi.org/10.1017/S2044251317000054","http://dx.doi.org/10.1017/S2044251317000054")</f>
        <v>http://dx.doi.org/10.1017/S2044251317000054</v>
      </c>
      <c r="BG860" t="s">
        <v>74</v>
      </c>
      <c r="BH860" t="s">
        <v>74</v>
      </c>
      <c r="BI860">
        <v>3</v>
      </c>
      <c r="BJ860" t="s">
        <v>2048</v>
      </c>
      <c r="BK860" t="s">
        <v>3172</v>
      </c>
      <c r="BL860" t="s">
        <v>2050</v>
      </c>
      <c r="BM860" t="s">
        <v>16416</v>
      </c>
      <c r="BN860" t="s">
        <v>74</v>
      </c>
      <c r="BO860" t="s">
        <v>74</v>
      </c>
      <c r="BP860" t="s">
        <v>74</v>
      </c>
      <c r="BQ860" t="s">
        <v>74</v>
      </c>
      <c r="BR860" t="s">
        <v>105</v>
      </c>
      <c r="BS860" t="s">
        <v>16417</v>
      </c>
      <c r="BT860" t="str">
        <f>HYPERLINK("https%3A%2F%2Fwww.webofscience.com%2Fwos%2Fwoscc%2Ffull-record%2FWOS:000403943700012","View Full Record in Web of Science")</f>
        <v>View Full Record in Web of Science</v>
      </c>
    </row>
    <row r="861" spans="1:72" x14ac:dyDescent="0.15">
      <c r="A861" t="s">
        <v>72</v>
      </c>
      <c r="B861" t="s">
        <v>16418</v>
      </c>
      <c r="C861" t="s">
        <v>74</v>
      </c>
      <c r="D861" t="s">
        <v>74</v>
      </c>
      <c r="E861" t="s">
        <v>74</v>
      </c>
      <c r="F861" t="s">
        <v>16419</v>
      </c>
      <c r="G861" t="s">
        <v>74</v>
      </c>
      <c r="H861" t="s">
        <v>74</v>
      </c>
      <c r="I861" t="s">
        <v>16420</v>
      </c>
      <c r="J861" t="s">
        <v>2511</v>
      </c>
      <c r="K861" t="s">
        <v>74</v>
      </c>
      <c r="L861" t="s">
        <v>74</v>
      </c>
      <c r="M861" t="s">
        <v>78</v>
      </c>
      <c r="N861" t="s">
        <v>79</v>
      </c>
      <c r="O861" t="s">
        <v>74</v>
      </c>
      <c r="P861" t="s">
        <v>74</v>
      </c>
      <c r="Q861" t="s">
        <v>74</v>
      </c>
      <c r="R861" t="s">
        <v>74</v>
      </c>
      <c r="S861" t="s">
        <v>74</v>
      </c>
      <c r="T861" t="s">
        <v>16421</v>
      </c>
      <c r="U861" t="s">
        <v>16422</v>
      </c>
      <c r="V861" t="s">
        <v>16423</v>
      </c>
      <c r="W861" t="s">
        <v>16424</v>
      </c>
      <c r="X861" t="s">
        <v>16425</v>
      </c>
      <c r="Y861" t="s">
        <v>16426</v>
      </c>
      <c r="Z861" t="s">
        <v>16427</v>
      </c>
      <c r="AA861" t="s">
        <v>74</v>
      </c>
      <c r="AB861" t="s">
        <v>74</v>
      </c>
      <c r="AC861" t="s">
        <v>16428</v>
      </c>
      <c r="AD861" t="s">
        <v>16429</v>
      </c>
      <c r="AE861" t="s">
        <v>16430</v>
      </c>
      <c r="AF861" t="s">
        <v>74</v>
      </c>
      <c r="AG861">
        <v>34</v>
      </c>
      <c r="AH861">
        <v>16</v>
      </c>
      <c r="AI861">
        <v>19</v>
      </c>
      <c r="AJ861">
        <v>0</v>
      </c>
      <c r="AK861">
        <v>13</v>
      </c>
      <c r="AL861" t="s">
        <v>2520</v>
      </c>
      <c r="AM861" t="s">
        <v>2521</v>
      </c>
      <c r="AN861" t="s">
        <v>2522</v>
      </c>
      <c r="AO861" t="s">
        <v>2523</v>
      </c>
      <c r="AP861" t="s">
        <v>2524</v>
      </c>
      <c r="AQ861" t="s">
        <v>74</v>
      </c>
      <c r="AR861" t="s">
        <v>2525</v>
      </c>
      <c r="AS861" t="s">
        <v>2526</v>
      </c>
      <c r="AT861" t="s">
        <v>15076</v>
      </c>
      <c r="AU861">
        <v>2017</v>
      </c>
      <c r="AV861">
        <v>21</v>
      </c>
      <c r="AW861">
        <v>3</v>
      </c>
      <c r="AX861" t="s">
        <v>74</v>
      </c>
      <c r="AY861" t="s">
        <v>74</v>
      </c>
      <c r="AZ861" t="s">
        <v>74</v>
      </c>
      <c r="BA861" t="s">
        <v>74</v>
      </c>
      <c r="BB861">
        <v>1037</v>
      </c>
      <c r="BC861">
        <v>1048</v>
      </c>
      <c r="BD861" t="s">
        <v>74</v>
      </c>
      <c r="BE861" t="s">
        <v>16431</v>
      </c>
      <c r="BF861" t="str">
        <f>HYPERLINK("http://dx.doi.org/10.1007/s10291-016-0591-4","http://dx.doi.org/10.1007/s10291-016-0591-4")</f>
        <v>http://dx.doi.org/10.1007/s10291-016-0591-4</v>
      </c>
      <c r="BG861" t="s">
        <v>74</v>
      </c>
      <c r="BH861" t="s">
        <v>74</v>
      </c>
      <c r="BI861">
        <v>12</v>
      </c>
      <c r="BJ861" t="s">
        <v>2528</v>
      </c>
      <c r="BK861" t="s">
        <v>101</v>
      </c>
      <c r="BL861" t="s">
        <v>2528</v>
      </c>
      <c r="BM861" t="s">
        <v>16432</v>
      </c>
      <c r="BN861" t="s">
        <v>74</v>
      </c>
      <c r="BO861" t="s">
        <v>74</v>
      </c>
      <c r="BP861" t="s">
        <v>74</v>
      </c>
      <c r="BQ861" t="s">
        <v>74</v>
      </c>
      <c r="BR861" t="s">
        <v>105</v>
      </c>
      <c r="BS861" t="s">
        <v>16433</v>
      </c>
      <c r="BT861" t="str">
        <f>HYPERLINK("https%3A%2F%2Fwww.webofscience.com%2Fwos%2Fwoscc%2Ffull-record%2FWOS:000403949500018","View Full Record in Web of Science")</f>
        <v>View Full Record in Web of Science</v>
      </c>
    </row>
    <row r="862" spans="1:72" x14ac:dyDescent="0.15">
      <c r="A862" t="s">
        <v>72</v>
      </c>
      <c r="B862" t="s">
        <v>16434</v>
      </c>
      <c r="C862" t="s">
        <v>74</v>
      </c>
      <c r="D862" t="s">
        <v>74</v>
      </c>
      <c r="E862" t="s">
        <v>74</v>
      </c>
      <c r="F862" t="s">
        <v>16435</v>
      </c>
      <c r="G862" t="s">
        <v>74</v>
      </c>
      <c r="H862" t="s">
        <v>74</v>
      </c>
      <c r="I862" t="s">
        <v>16436</v>
      </c>
      <c r="J862" t="s">
        <v>2927</v>
      </c>
      <c r="K862" t="s">
        <v>74</v>
      </c>
      <c r="L862" t="s">
        <v>74</v>
      </c>
      <c r="M862" t="s">
        <v>78</v>
      </c>
      <c r="N862" t="s">
        <v>79</v>
      </c>
      <c r="O862" t="s">
        <v>74</v>
      </c>
      <c r="P862" t="s">
        <v>74</v>
      </c>
      <c r="Q862" t="s">
        <v>74</v>
      </c>
      <c r="R862" t="s">
        <v>74</v>
      </c>
      <c r="S862" t="s">
        <v>74</v>
      </c>
      <c r="T862" t="s">
        <v>16437</v>
      </c>
      <c r="U862" t="s">
        <v>16438</v>
      </c>
      <c r="V862" t="s">
        <v>16439</v>
      </c>
      <c r="W862" t="s">
        <v>16440</v>
      </c>
      <c r="X862" t="s">
        <v>16441</v>
      </c>
      <c r="Y862" t="s">
        <v>16442</v>
      </c>
      <c r="Z862" t="s">
        <v>16443</v>
      </c>
      <c r="AA862" t="s">
        <v>16444</v>
      </c>
      <c r="AB862" t="s">
        <v>16445</v>
      </c>
      <c r="AC862" t="s">
        <v>74</v>
      </c>
      <c r="AD862" t="s">
        <v>74</v>
      </c>
      <c r="AE862" t="s">
        <v>74</v>
      </c>
      <c r="AF862" t="s">
        <v>74</v>
      </c>
      <c r="AG862">
        <v>29</v>
      </c>
      <c r="AH862">
        <v>9</v>
      </c>
      <c r="AI862">
        <v>9</v>
      </c>
      <c r="AJ862">
        <v>0</v>
      </c>
      <c r="AK862">
        <v>24</v>
      </c>
      <c r="AL862" t="s">
        <v>208</v>
      </c>
      <c r="AM862" t="s">
        <v>209</v>
      </c>
      <c r="AN862" t="s">
        <v>210</v>
      </c>
      <c r="AO862" t="s">
        <v>2939</v>
      </c>
      <c r="AP862" t="s">
        <v>2940</v>
      </c>
      <c r="AQ862" t="s">
        <v>74</v>
      </c>
      <c r="AR862" t="s">
        <v>2941</v>
      </c>
      <c r="AS862" t="s">
        <v>2942</v>
      </c>
      <c r="AT862" t="s">
        <v>15076</v>
      </c>
      <c r="AU862">
        <v>2017</v>
      </c>
      <c r="AV862">
        <v>49</v>
      </c>
      <c r="AW862" t="s">
        <v>4976</v>
      </c>
      <c r="AX862" t="s">
        <v>74</v>
      </c>
      <c r="AY862" t="s">
        <v>74</v>
      </c>
      <c r="AZ862" t="s">
        <v>74</v>
      </c>
      <c r="BA862" t="s">
        <v>74</v>
      </c>
      <c r="BB862">
        <v>391</v>
      </c>
      <c r="BC862">
        <v>401</v>
      </c>
      <c r="BD862" t="s">
        <v>74</v>
      </c>
      <c r="BE862" t="s">
        <v>16446</v>
      </c>
      <c r="BF862" t="str">
        <f>HYPERLINK("http://dx.doi.org/10.1007/s00382-016-3349-3","http://dx.doi.org/10.1007/s00382-016-3349-3")</f>
        <v>http://dx.doi.org/10.1007/s00382-016-3349-3</v>
      </c>
      <c r="BG862" t="s">
        <v>74</v>
      </c>
      <c r="BH862" t="s">
        <v>74</v>
      </c>
      <c r="BI862">
        <v>11</v>
      </c>
      <c r="BJ862" t="s">
        <v>162</v>
      </c>
      <c r="BK862" t="s">
        <v>101</v>
      </c>
      <c r="BL862" t="s">
        <v>162</v>
      </c>
      <c r="BM862" t="s">
        <v>16447</v>
      </c>
      <c r="BN862" t="s">
        <v>74</v>
      </c>
      <c r="BO862" t="s">
        <v>74</v>
      </c>
      <c r="BP862" t="s">
        <v>74</v>
      </c>
      <c r="BQ862" t="s">
        <v>74</v>
      </c>
      <c r="BR862" t="s">
        <v>105</v>
      </c>
      <c r="BS862" t="s">
        <v>16448</v>
      </c>
      <c r="BT862" t="str">
        <f>HYPERLINK("https%3A%2F%2Fwww.webofscience.com%2Fwos%2Fwoscc%2Ffull-record%2FWOS:000403716500023","View Full Record in Web of Science")</f>
        <v>View Full Record in Web of Science</v>
      </c>
    </row>
    <row r="863" spans="1:72" x14ac:dyDescent="0.15">
      <c r="A863" t="s">
        <v>72</v>
      </c>
      <c r="B863" t="s">
        <v>16449</v>
      </c>
      <c r="C863" t="s">
        <v>74</v>
      </c>
      <c r="D863" t="s">
        <v>74</v>
      </c>
      <c r="E863" t="s">
        <v>74</v>
      </c>
      <c r="F863" t="s">
        <v>16450</v>
      </c>
      <c r="G863" t="s">
        <v>74</v>
      </c>
      <c r="H863" t="s">
        <v>74</v>
      </c>
      <c r="I863" t="s">
        <v>16451</v>
      </c>
      <c r="J863" t="s">
        <v>7496</v>
      </c>
      <c r="K863" t="s">
        <v>74</v>
      </c>
      <c r="L863" t="s">
        <v>74</v>
      </c>
      <c r="M863" t="s">
        <v>78</v>
      </c>
      <c r="N863" t="s">
        <v>79</v>
      </c>
      <c r="O863" t="s">
        <v>74</v>
      </c>
      <c r="P863" t="s">
        <v>74</v>
      </c>
      <c r="Q863" t="s">
        <v>74</v>
      </c>
      <c r="R863" t="s">
        <v>74</v>
      </c>
      <c r="S863" t="s">
        <v>74</v>
      </c>
      <c r="T863" t="s">
        <v>16452</v>
      </c>
      <c r="U863" t="s">
        <v>16453</v>
      </c>
      <c r="V863" t="s">
        <v>16454</v>
      </c>
      <c r="W863" t="s">
        <v>16455</v>
      </c>
      <c r="X863" t="s">
        <v>16456</v>
      </c>
      <c r="Y863" t="s">
        <v>16457</v>
      </c>
      <c r="Z863" t="s">
        <v>4383</v>
      </c>
      <c r="AA863" t="s">
        <v>16458</v>
      </c>
      <c r="AB863" t="s">
        <v>12617</v>
      </c>
      <c r="AC863" t="s">
        <v>16459</v>
      </c>
      <c r="AD863" t="s">
        <v>16460</v>
      </c>
      <c r="AE863" t="s">
        <v>16461</v>
      </c>
      <c r="AF863" t="s">
        <v>74</v>
      </c>
      <c r="AG863">
        <v>61</v>
      </c>
      <c r="AH863">
        <v>1</v>
      </c>
      <c r="AI863">
        <v>3</v>
      </c>
      <c r="AJ863">
        <v>0</v>
      </c>
      <c r="AK863">
        <v>16</v>
      </c>
      <c r="AL863" t="s">
        <v>7508</v>
      </c>
      <c r="AM863" t="s">
        <v>7509</v>
      </c>
      <c r="AN863" t="s">
        <v>7939</v>
      </c>
      <c r="AO863" t="s">
        <v>7511</v>
      </c>
      <c r="AP863" t="s">
        <v>7512</v>
      </c>
      <c r="AQ863" t="s">
        <v>74</v>
      </c>
      <c r="AR863" t="s">
        <v>7496</v>
      </c>
      <c r="AS863" t="s">
        <v>7513</v>
      </c>
      <c r="AT863" t="s">
        <v>15076</v>
      </c>
      <c r="AU863">
        <v>2017</v>
      </c>
      <c r="AV863">
        <v>21</v>
      </c>
      <c r="AW863">
        <v>4</v>
      </c>
      <c r="AX863" t="s">
        <v>74</v>
      </c>
      <c r="AY863" t="s">
        <v>74</v>
      </c>
      <c r="AZ863" t="s">
        <v>74</v>
      </c>
      <c r="BA863" t="s">
        <v>74</v>
      </c>
      <c r="BB863">
        <v>817</v>
      </c>
      <c r="BC863">
        <v>827</v>
      </c>
      <c r="BD863" t="s">
        <v>74</v>
      </c>
      <c r="BE863" t="s">
        <v>16462</v>
      </c>
      <c r="BF863" t="str">
        <f>HYPERLINK("http://dx.doi.org/10.1007/s00792-017-0945-z","http://dx.doi.org/10.1007/s00792-017-0945-z")</f>
        <v>http://dx.doi.org/10.1007/s00792-017-0945-z</v>
      </c>
      <c r="BG863" t="s">
        <v>74</v>
      </c>
      <c r="BH863" t="s">
        <v>74</v>
      </c>
      <c r="BI863">
        <v>11</v>
      </c>
      <c r="BJ863" t="s">
        <v>3584</v>
      </c>
      <c r="BK863" t="s">
        <v>101</v>
      </c>
      <c r="BL863" t="s">
        <v>3584</v>
      </c>
      <c r="BM863" t="s">
        <v>16463</v>
      </c>
      <c r="BN863">
        <v>28597046</v>
      </c>
      <c r="BO863" t="s">
        <v>74</v>
      </c>
      <c r="BP863" t="s">
        <v>74</v>
      </c>
      <c r="BQ863" t="s">
        <v>74</v>
      </c>
      <c r="BR863" t="s">
        <v>105</v>
      </c>
      <c r="BS863" t="s">
        <v>16464</v>
      </c>
      <c r="BT863" t="str">
        <f>HYPERLINK("https%3A%2F%2Fwww.webofscience.com%2Fwos%2Fwoscc%2Ffull-record%2FWOS:000403945900013","View Full Record in Web of Science")</f>
        <v>View Full Record in Web of Science</v>
      </c>
    </row>
    <row r="864" spans="1:72" x14ac:dyDescent="0.15">
      <c r="A864" t="s">
        <v>72</v>
      </c>
      <c r="B864" t="s">
        <v>16465</v>
      </c>
      <c r="C864" t="s">
        <v>74</v>
      </c>
      <c r="D864" t="s">
        <v>74</v>
      </c>
      <c r="E864" t="s">
        <v>74</v>
      </c>
      <c r="F864" t="s">
        <v>16466</v>
      </c>
      <c r="G864" t="s">
        <v>74</v>
      </c>
      <c r="H864" t="s">
        <v>74</v>
      </c>
      <c r="I864" t="s">
        <v>16467</v>
      </c>
      <c r="J864" t="s">
        <v>16468</v>
      </c>
      <c r="K864" t="s">
        <v>74</v>
      </c>
      <c r="L864" t="s">
        <v>74</v>
      </c>
      <c r="M864" t="s">
        <v>78</v>
      </c>
      <c r="N864" t="s">
        <v>79</v>
      </c>
      <c r="O864" t="s">
        <v>74</v>
      </c>
      <c r="P864" t="s">
        <v>74</v>
      </c>
      <c r="Q864" t="s">
        <v>74</v>
      </c>
      <c r="R864" t="s">
        <v>74</v>
      </c>
      <c r="S864" t="s">
        <v>74</v>
      </c>
      <c r="T864" t="s">
        <v>16469</v>
      </c>
      <c r="U864" t="s">
        <v>16470</v>
      </c>
      <c r="V864" t="s">
        <v>16471</v>
      </c>
      <c r="W864" t="s">
        <v>16472</v>
      </c>
      <c r="X864" t="s">
        <v>16473</v>
      </c>
      <c r="Y864" t="s">
        <v>16474</v>
      </c>
      <c r="Z864" t="s">
        <v>16475</v>
      </c>
      <c r="AA864" t="s">
        <v>74</v>
      </c>
      <c r="AB864" t="s">
        <v>16476</v>
      </c>
      <c r="AC864" t="s">
        <v>16477</v>
      </c>
      <c r="AD864" t="s">
        <v>16477</v>
      </c>
      <c r="AE864" t="s">
        <v>16478</v>
      </c>
      <c r="AF864" t="s">
        <v>74</v>
      </c>
      <c r="AG864">
        <v>51</v>
      </c>
      <c r="AH864">
        <v>2</v>
      </c>
      <c r="AI864">
        <v>2</v>
      </c>
      <c r="AJ864">
        <v>0</v>
      </c>
      <c r="AK864">
        <v>7</v>
      </c>
      <c r="AL864" t="s">
        <v>728</v>
      </c>
      <c r="AM864" t="s">
        <v>729</v>
      </c>
      <c r="AN864" t="s">
        <v>730</v>
      </c>
      <c r="AO864" t="s">
        <v>16479</v>
      </c>
      <c r="AP864" t="s">
        <v>16480</v>
      </c>
      <c r="AQ864" t="s">
        <v>74</v>
      </c>
      <c r="AR864" t="s">
        <v>16481</v>
      </c>
      <c r="AS864" t="s">
        <v>16482</v>
      </c>
      <c r="AT864" t="s">
        <v>16014</v>
      </c>
      <c r="AU864">
        <v>2017</v>
      </c>
      <c r="AV864">
        <v>143</v>
      </c>
      <c r="AW864" t="s">
        <v>74</v>
      </c>
      <c r="AX864" t="s">
        <v>74</v>
      </c>
      <c r="AY864" t="s">
        <v>74</v>
      </c>
      <c r="AZ864" t="s">
        <v>1188</v>
      </c>
      <c r="BA864" t="s">
        <v>74</v>
      </c>
      <c r="BB864">
        <v>122</v>
      </c>
      <c r="BC864">
        <v>135</v>
      </c>
      <c r="BD864" t="s">
        <v>74</v>
      </c>
      <c r="BE864" t="s">
        <v>16483</v>
      </c>
      <c r="BF864" t="str">
        <f>HYPERLINK("http://dx.doi.org/10.1016/j.ocecoaman.2016.08.012","http://dx.doi.org/10.1016/j.ocecoaman.2016.08.012")</f>
        <v>http://dx.doi.org/10.1016/j.ocecoaman.2016.08.012</v>
      </c>
      <c r="BG864" t="s">
        <v>74</v>
      </c>
      <c r="BH864" t="s">
        <v>74</v>
      </c>
      <c r="BI864">
        <v>14</v>
      </c>
      <c r="BJ864" t="s">
        <v>16484</v>
      </c>
      <c r="BK864" t="s">
        <v>101</v>
      </c>
      <c r="BL864" t="s">
        <v>16484</v>
      </c>
      <c r="BM864" t="s">
        <v>16485</v>
      </c>
      <c r="BN864" t="s">
        <v>74</v>
      </c>
      <c r="BO864" t="s">
        <v>74</v>
      </c>
      <c r="BP864" t="s">
        <v>74</v>
      </c>
      <c r="BQ864" t="s">
        <v>74</v>
      </c>
      <c r="BR864" t="s">
        <v>105</v>
      </c>
      <c r="BS864" t="s">
        <v>16486</v>
      </c>
      <c r="BT864" t="str">
        <f>HYPERLINK("https%3A%2F%2Fwww.webofscience.com%2Fwos%2Fwoscc%2Ffull-record%2FWOS:000403737200013","View Full Record in Web of Science")</f>
        <v>View Full Record in Web of Science</v>
      </c>
    </row>
    <row r="865" spans="1:72" x14ac:dyDescent="0.15">
      <c r="A865" t="s">
        <v>72</v>
      </c>
      <c r="B865" t="s">
        <v>16487</v>
      </c>
      <c r="C865" t="s">
        <v>74</v>
      </c>
      <c r="D865" t="s">
        <v>74</v>
      </c>
      <c r="E865" t="s">
        <v>74</v>
      </c>
      <c r="F865" t="s">
        <v>16488</v>
      </c>
      <c r="G865" t="s">
        <v>74</v>
      </c>
      <c r="H865" t="s">
        <v>74</v>
      </c>
      <c r="I865" t="s">
        <v>16489</v>
      </c>
      <c r="J865" t="s">
        <v>16490</v>
      </c>
      <c r="K865" t="s">
        <v>74</v>
      </c>
      <c r="L865" t="s">
        <v>74</v>
      </c>
      <c r="M865" t="s">
        <v>78</v>
      </c>
      <c r="N865" t="s">
        <v>79</v>
      </c>
      <c r="O865" t="s">
        <v>74</v>
      </c>
      <c r="P865" t="s">
        <v>74</v>
      </c>
      <c r="Q865" t="s">
        <v>74</v>
      </c>
      <c r="R865" t="s">
        <v>74</v>
      </c>
      <c r="S865" t="s">
        <v>74</v>
      </c>
      <c r="T865" t="s">
        <v>16491</v>
      </c>
      <c r="U865" t="s">
        <v>74</v>
      </c>
      <c r="V865" t="s">
        <v>16492</v>
      </c>
      <c r="W865" t="s">
        <v>16493</v>
      </c>
      <c r="X865" t="s">
        <v>16494</v>
      </c>
      <c r="Y865" t="s">
        <v>16495</v>
      </c>
      <c r="Z865" t="s">
        <v>16496</v>
      </c>
      <c r="AA865" t="s">
        <v>16497</v>
      </c>
      <c r="AB865" t="s">
        <v>16498</v>
      </c>
      <c r="AC865" t="s">
        <v>16499</v>
      </c>
      <c r="AD865" t="s">
        <v>16500</v>
      </c>
      <c r="AE865" t="s">
        <v>16501</v>
      </c>
      <c r="AF865" t="s">
        <v>74</v>
      </c>
      <c r="AG865">
        <v>20</v>
      </c>
      <c r="AH865">
        <v>24</v>
      </c>
      <c r="AI865">
        <v>24</v>
      </c>
      <c r="AJ865">
        <v>1</v>
      </c>
      <c r="AK865">
        <v>23</v>
      </c>
      <c r="AL865" t="s">
        <v>11816</v>
      </c>
      <c r="AM865" t="s">
        <v>182</v>
      </c>
      <c r="AN865" t="s">
        <v>11817</v>
      </c>
      <c r="AO865" t="s">
        <v>16502</v>
      </c>
      <c r="AP865" t="s">
        <v>16503</v>
      </c>
      <c r="AQ865" t="s">
        <v>74</v>
      </c>
      <c r="AR865" t="s">
        <v>16504</v>
      </c>
      <c r="AS865" t="s">
        <v>16505</v>
      </c>
      <c r="AT865" t="s">
        <v>15076</v>
      </c>
      <c r="AU865">
        <v>2017</v>
      </c>
      <c r="AV865">
        <v>231</v>
      </c>
      <c r="AW865">
        <v>9</v>
      </c>
      <c r="AX865" t="s">
        <v>74</v>
      </c>
      <c r="AY865" t="s">
        <v>74</v>
      </c>
      <c r="AZ865" t="s">
        <v>74</v>
      </c>
      <c r="BA865" t="s">
        <v>74</v>
      </c>
      <c r="BB865">
        <v>1660</v>
      </c>
      <c r="BC865">
        <v>1675</v>
      </c>
      <c r="BD865" t="s">
        <v>74</v>
      </c>
      <c r="BE865" t="s">
        <v>16506</v>
      </c>
      <c r="BF865" t="str">
        <f>HYPERLINK("http://dx.doi.org/10.1177/0954410016656881","http://dx.doi.org/10.1177/0954410016656881")</f>
        <v>http://dx.doi.org/10.1177/0954410016656881</v>
      </c>
      <c r="BG865" t="s">
        <v>74</v>
      </c>
      <c r="BH865" t="s">
        <v>74</v>
      </c>
      <c r="BI865">
        <v>16</v>
      </c>
      <c r="BJ865" t="s">
        <v>16507</v>
      </c>
      <c r="BK865" t="s">
        <v>101</v>
      </c>
      <c r="BL865" t="s">
        <v>1556</v>
      </c>
      <c r="BM865" t="s">
        <v>16508</v>
      </c>
      <c r="BN865" t="s">
        <v>74</v>
      </c>
      <c r="BO865" t="s">
        <v>74</v>
      </c>
      <c r="BP865" t="s">
        <v>74</v>
      </c>
      <c r="BQ865" t="s">
        <v>74</v>
      </c>
      <c r="BR865" t="s">
        <v>105</v>
      </c>
      <c r="BS865" t="s">
        <v>16509</v>
      </c>
      <c r="BT865" t="str">
        <f>HYPERLINK("https%3A%2F%2Fwww.webofscience.com%2Fwos%2Fwoscc%2Ffull-record%2FWOS:000403888600008","View Full Record in Web of Science")</f>
        <v>View Full Record in Web of Science</v>
      </c>
    </row>
    <row r="866" spans="1:72" x14ac:dyDescent="0.15">
      <c r="A866" t="s">
        <v>72</v>
      </c>
      <c r="B866" t="s">
        <v>16510</v>
      </c>
      <c r="C866" t="s">
        <v>74</v>
      </c>
      <c r="D866" t="s">
        <v>74</v>
      </c>
      <c r="E866" t="s">
        <v>74</v>
      </c>
      <c r="F866" t="s">
        <v>16511</v>
      </c>
      <c r="G866" t="s">
        <v>74</v>
      </c>
      <c r="H866" t="s">
        <v>74</v>
      </c>
      <c r="I866" t="s">
        <v>16512</v>
      </c>
      <c r="J866" t="s">
        <v>16513</v>
      </c>
      <c r="K866" t="s">
        <v>74</v>
      </c>
      <c r="L866" t="s">
        <v>74</v>
      </c>
      <c r="M866" t="s">
        <v>78</v>
      </c>
      <c r="N866" t="s">
        <v>79</v>
      </c>
      <c r="O866" t="s">
        <v>74</v>
      </c>
      <c r="P866" t="s">
        <v>74</v>
      </c>
      <c r="Q866" t="s">
        <v>74</v>
      </c>
      <c r="R866" t="s">
        <v>74</v>
      </c>
      <c r="S866" t="s">
        <v>74</v>
      </c>
      <c r="T866" t="s">
        <v>16514</v>
      </c>
      <c r="U866" t="s">
        <v>16515</v>
      </c>
      <c r="V866" t="s">
        <v>16516</v>
      </c>
      <c r="W866" t="s">
        <v>16517</v>
      </c>
      <c r="X866" t="s">
        <v>16518</v>
      </c>
      <c r="Y866" t="s">
        <v>16519</v>
      </c>
      <c r="Z866" t="s">
        <v>16520</v>
      </c>
      <c r="AA866" t="s">
        <v>74</v>
      </c>
      <c r="AB866" t="s">
        <v>16521</v>
      </c>
      <c r="AC866" t="s">
        <v>16522</v>
      </c>
      <c r="AD866" t="s">
        <v>16523</v>
      </c>
      <c r="AE866" t="s">
        <v>16524</v>
      </c>
      <c r="AF866" t="s">
        <v>74</v>
      </c>
      <c r="AG866">
        <v>110</v>
      </c>
      <c r="AH866">
        <v>25</v>
      </c>
      <c r="AI866">
        <v>26</v>
      </c>
      <c r="AJ866">
        <v>1</v>
      </c>
      <c r="AK866">
        <v>34</v>
      </c>
      <c r="AL866" t="s">
        <v>5918</v>
      </c>
      <c r="AM866" t="s">
        <v>729</v>
      </c>
      <c r="AN866" t="s">
        <v>5919</v>
      </c>
      <c r="AO866" t="s">
        <v>16525</v>
      </c>
      <c r="AP866" t="s">
        <v>16526</v>
      </c>
      <c r="AQ866" t="s">
        <v>74</v>
      </c>
      <c r="AR866" t="s">
        <v>16527</v>
      </c>
      <c r="AS866" t="s">
        <v>16528</v>
      </c>
      <c r="AT866" t="s">
        <v>15076</v>
      </c>
      <c r="AU866">
        <v>2017</v>
      </c>
      <c r="AV866">
        <v>66</v>
      </c>
      <c r="AW866">
        <v>4</v>
      </c>
      <c r="AX866" t="s">
        <v>74</v>
      </c>
      <c r="AY866" t="s">
        <v>74</v>
      </c>
      <c r="AZ866" t="s">
        <v>74</v>
      </c>
      <c r="BA866" t="s">
        <v>74</v>
      </c>
      <c r="BB866">
        <v>569</v>
      </c>
      <c r="BC866">
        <v>589</v>
      </c>
      <c r="BD866" t="s">
        <v>74</v>
      </c>
      <c r="BE866" t="s">
        <v>16529</v>
      </c>
      <c r="BF866" t="str">
        <f>HYPERLINK("http://dx.doi.org/10.1093/sysbio/syw078","http://dx.doi.org/10.1093/sysbio/syw078")</f>
        <v>http://dx.doi.org/10.1093/sysbio/syw078</v>
      </c>
      <c r="BG866" t="s">
        <v>74</v>
      </c>
      <c r="BH866" t="s">
        <v>74</v>
      </c>
      <c r="BI866">
        <v>21</v>
      </c>
      <c r="BJ866" t="s">
        <v>16530</v>
      </c>
      <c r="BK866" t="s">
        <v>101</v>
      </c>
      <c r="BL866" t="s">
        <v>16530</v>
      </c>
      <c r="BM866" t="s">
        <v>16531</v>
      </c>
      <c r="BN866">
        <v>28123112</v>
      </c>
      <c r="BO866" t="s">
        <v>104</v>
      </c>
      <c r="BP866" t="s">
        <v>74</v>
      </c>
      <c r="BQ866" t="s">
        <v>74</v>
      </c>
      <c r="BR866" t="s">
        <v>105</v>
      </c>
      <c r="BS866" t="s">
        <v>16532</v>
      </c>
      <c r="BT866" t="str">
        <f>HYPERLINK("https%3A%2F%2Fwww.webofscience.com%2Fwos%2Fwoscc%2Ffull-record%2FWOS:000403933600006","View Full Record in Web of Science")</f>
        <v>View Full Record in Web of Science</v>
      </c>
    </row>
    <row r="867" spans="1:72" x14ac:dyDescent="0.15">
      <c r="A867" t="s">
        <v>72</v>
      </c>
      <c r="B867" t="s">
        <v>16533</v>
      </c>
      <c r="C867" t="s">
        <v>74</v>
      </c>
      <c r="D867" t="s">
        <v>74</v>
      </c>
      <c r="E867" t="s">
        <v>74</v>
      </c>
      <c r="F867" t="s">
        <v>16534</v>
      </c>
      <c r="G867" t="s">
        <v>74</v>
      </c>
      <c r="H867" t="s">
        <v>74</v>
      </c>
      <c r="I867" t="s">
        <v>16535</v>
      </c>
      <c r="J867" t="s">
        <v>16536</v>
      </c>
      <c r="K867" t="s">
        <v>74</v>
      </c>
      <c r="L867" t="s">
        <v>74</v>
      </c>
      <c r="M867" t="s">
        <v>78</v>
      </c>
      <c r="N867" t="s">
        <v>79</v>
      </c>
      <c r="O867" t="s">
        <v>74</v>
      </c>
      <c r="P867" t="s">
        <v>74</v>
      </c>
      <c r="Q867" t="s">
        <v>74</v>
      </c>
      <c r="R867" t="s">
        <v>74</v>
      </c>
      <c r="S867" t="s">
        <v>74</v>
      </c>
      <c r="T867" t="s">
        <v>16537</v>
      </c>
      <c r="U867" t="s">
        <v>16538</v>
      </c>
      <c r="V867" t="s">
        <v>16539</v>
      </c>
      <c r="W867" t="s">
        <v>16540</v>
      </c>
      <c r="X867" t="s">
        <v>16541</v>
      </c>
      <c r="Y867" t="s">
        <v>16542</v>
      </c>
      <c r="Z867" t="s">
        <v>16543</v>
      </c>
      <c r="AA867" t="s">
        <v>16544</v>
      </c>
      <c r="AB867" t="s">
        <v>16545</v>
      </c>
      <c r="AC867" t="s">
        <v>16546</v>
      </c>
      <c r="AD867" t="s">
        <v>16547</v>
      </c>
      <c r="AE867" t="s">
        <v>16548</v>
      </c>
      <c r="AF867" t="s">
        <v>74</v>
      </c>
      <c r="AG867">
        <v>82</v>
      </c>
      <c r="AH867">
        <v>26</v>
      </c>
      <c r="AI867">
        <v>29</v>
      </c>
      <c r="AJ867">
        <v>2</v>
      </c>
      <c r="AK867">
        <v>84</v>
      </c>
      <c r="AL867" t="s">
        <v>3166</v>
      </c>
      <c r="AM867" t="s">
        <v>92</v>
      </c>
      <c r="AN867" t="s">
        <v>3167</v>
      </c>
      <c r="AO867" t="s">
        <v>16549</v>
      </c>
      <c r="AP867" t="s">
        <v>16550</v>
      </c>
      <c r="AQ867" t="s">
        <v>74</v>
      </c>
      <c r="AR867" t="s">
        <v>16551</v>
      </c>
      <c r="AS867" t="s">
        <v>16552</v>
      </c>
      <c r="AT867" t="s">
        <v>15076</v>
      </c>
      <c r="AU867">
        <v>2017</v>
      </c>
      <c r="AV867">
        <v>83</v>
      </c>
      <c r="AW867">
        <v>13</v>
      </c>
      <c r="AX867" t="s">
        <v>74</v>
      </c>
      <c r="AY867" t="s">
        <v>74</v>
      </c>
      <c r="AZ867" t="s">
        <v>74</v>
      </c>
      <c r="BA867" t="s">
        <v>74</v>
      </c>
      <c r="BB867" t="s">
        <v>74</v>
      </c>
      <c r="BC867" t="s">
        <v>74</v>
      </c>
      <c r="BD867" t="s">
        <v>16553</v>
      </c>
      <c r="BE867" t="s">
        <v>16554</v>
      </c>
      <c r="BF867" t="str">
        <f>HYPERLINK("http://dx.doi.org/10.1128/AEM.00449-17","http://dx.doi.org/10.1128/AEM.00449-17")</f>
        <v>http://dx.doi.org/10.1128/AEM.00449-17</v>
      </c>
      <c r="BG867" t="s">
        <v>74</v>
      </c>
      <c r="BH867" t="s">
        <v>74</v>
      </c>
      <c r="BI867">
        <v>14</v>
      </c>
      <c r="BJ867" t="s">
        <v>6657</v>
      </c>
      <c r="BK867" t="s">
        <v>101</v>
      </c>
      <c r="BL867" t="s">
        <v>6657</v>
      </c>
      <c r="BM867" t="s">
        <v>16555</v>
      </c>
      <c r="BN867">
        <v>28455329</v>
      </c>
      <c r="BO867" t="s">
        <v>1691</v>
      </c>
      <c r="BP867" t="s">
        <v>74</v>
      </c>
      <c r="BQ867" t="s">
        <v>74</v>
      </c>
      <c r="BR867" t="s">
        <v>105</v>
      </c>
      <c r="BS867" t="s">
        <v>16556</v>
      </c>
      <c r="BT867" t="str">
        <f>HYPERLINK("https%3A%2F%2Fwww.webofscience.com%2Fwos%2Fwoscc%2Ffull-record%2FWOS:000403495700009","View Full Record in Web of Science")</f>
        <v>View Full Record in Web of Science</v>
      </c>
    </row>
    <row r="868" spans="1:72" x14ac:dyDescent="0.15">
      <c r="A868" t="s">
        <v>72</v>
      </c>
      <c r="B868" t="s">
        <v>16557</v>
      </c>
      <c r="C868" t="s">
        <v>74</v>
      </c>
      <c r="D868" t="s">
        <v>74</v>
      </c>
      <c r="E868" t="s">
        <v>74</v>
      </c>
      <c r="F868" t="s">
        <v>16558</v>
      </c>
      <c r="G868" t="s">
        <v>74</v>
      </c>
      <c r="H868" t="s">
        <v>74</v>
      </c>
      <c r="I868" t="s">
        <v>16559</v>
      </c>
      <c r="J868" t="s">
        <v>16560</v>
      </c>
      <c r="K868" t="s">
        <v>74</v>
      </c>
      <c r="L868" t="s">
        <v>74</v>
      </c>
      <c r="M868" t="s">
        <v>78</v>
      </c>
      <c r="N868" t="s">
        <v>79</v>
      </c>
      <c r="O868" t="s">
        <v>74</v>
      </c>
      <c r="P868" t="s">
        <v>74</v>
      </c>
      <c r="Q868" t="s">
        <v>74</v>
      </c>
      <c r="R868" t="s">
        <v>74</v>
      </c>
      <c r="S868" t="s">
        <v>74</v>
      </c>
      <c r="T868" t="s">
        <v>16561</v>
      </c>
      <c r="U868" t="s">
        <v>16562</v>
      </c>
      <c r="V868" t="s">
        <v>16563</v>
      </c>
      <c r="W868" t="s">
        <v>16564</v>
      </c>
      <c r="X868" t="s">
        <v>16565</v>
      </c>
      <c r="Y868" t="s">
        <v>16566</v>
      </c>
      <c r="Z868" t="s">
        <v>16567</v>
      </c>
      <c r="AA868" t="s">
        <v>16568</v>
      </c>
      <c r="AB868" t="s">
        <v>16569</v>
      </c>
      <c r="AC868" t="s">
        <v>16570</v>
      </c>
      <c r="AD868" t="s">
        <v>16571</v>
      </c>
      <c r="AE868" t="s">
        <v>16572</v>
      </c>
      <c r="AF868" t="s">
        <v>74</v>
      </c>
      <c r="AG868">
        <v>40</v>
      </c>
      <c r="AH868">
        <v>13</v>
      </c>
      <c r="AI868">
        <v>13</v>
      </c>
      <c r="AJ868">
        <v>0</v>
      </c>
      <c r="AK868">
        <v>24</v>
      </c>
      <c r="AL868" t="s">
        <v>208</v>
      </c>
      <c r="AM868" t="s">
        <v>209</v>
      </c>
      <c r="AN868" t="s">
        <v>2659</v>
      </c>
      <c r="AO868" t="s">
        <v>16573</v>
      </c>
      <c r="AP868" t="s">
        <v>16574</v>
      </c>
      <c r="AQ868" t="s">
        <v>74</v>
      </c>
      <c r="AR868" t="s">
        <v>16575</v>
      </c>
      <c r="AS868" t="s">
        <v>16576</v>
      </c>
      <c r="AT868" t="s">
        <v>15076</v>
      </c>
      <c r="AU868">
        <v>2017</v>
      </c>
      <c r="AV868">
        <v>31</v>
      </c>
      <c r="AW868">
        <v>5</v>
      </c>
      <c r="AX868" t="s">
        <v>74</v>
      </c>
      <c r="AY868" t="s">
        <v>74</v>
      </c>
      <c r="AZ868" t="s">
        <v>74</v>
      </c>
      <c r="BA868" t="s">
        <v>74</v>
      </c>
      <c r="BB868">
        <v>1107</v>
      </c>
      <c r="BC868">
        <v>1121</v>
      </c>
      <c r="BD868" t="s">
        <v>74</v>
      </c>
      <c r="BE868" t="s">
        <v>16577</v>
      </c>
      <c r="BF868" t="str">
        <f>HYPERLINK("http://dx.doi.org/10.1007/s00477-016-1217-7","http://dx.doi.org/10.1007/s00477-016-1217-7")</f>
        <v>http://dx.doi.org/10.1007/s00477-016-1217-7</v>
      </c>
      <c r="BG868" t="s">
        <v>74</v>
      </c>
      <c r="BH868" t="s">
        <v>74</v>
      </c>
      <c r="BI868">
        <v>15</v>
      </c>
      <c r="BJ868" t="s">
        <v>16578</v>
      </c>
      <c r="BK868" t="s">
        <v>101</v>
      </c>
      <c r="BL868" t="s">
        <v>16579</v>
      </c>
      <c r="BM868" t="s">
        <v>16580</v>
      </c>
      <c r="BN868" t="s">
        <v>74</v>
      </c>
      <c r="BO868" t="s">
        <v>1240</v>
      </c>
      <c r="BP868" t="s">
        <v>74</v>
      </c>
      <c r="BQ868" t="s">
        <v>74</v>
      </c>
      <c r="BR868" t="s">
        <v>105</v>
      </c>
      <c r="BS868" t="s">
        <v>16581</v>
      </c>
      <c r="BT868" t="str">
        <f>HYPERLINK("https%3A%2F%2Fwww.webofscience.com%2Fwos%2Fwoscc%2Ffull-record%2FWOS:000403553900005","View Full Record in Web of Science")</f>
        <v>View Full Record in Web of Science</v>
      </c>
    </row>
    <row r="869" spans="1:72" x14ac:dyDescent="0.15">
      <c r="A869" t="s">
        <v>72</v>
      </c>
      <c r="B869" t="s">
        <v>16582</v>
      </c>
      <c r="C869" t="s">
        <v>74</v>
      </c>
      <c r="D869" t="s">
        <v>74</v>
      </c>
      <c r="E869" t="s">
        <v>74</v>
      </c>
      <c r="F869" t="s">
        <v>16583</v>
      </c>
      <c r="G869" t="s">
        <v>74</v>
      </c>
      <c r="H869" t="s">
        <v>74</v>
      </c>
      <c r="I869" t="s">
        <v>16584</v>
      </c>
      <c r="J869" t="s">
        <v>10044</v>
      </c>
      <c r="K869" t="s">
        <v>74</v>
      </c>
      <c r="L869" t="s">
        <v>74</v>
      </c>
      <c r="M869" t="s">
        <v>78</v>
      </c>
      <c r="N869" t="s">
        <v>79</v>
      </c>
      <c r="O869" t="s">
        <v>74</v>
      </c>
      <c r="P869" t="s">
        <v>74</v>
      </c>
      <c r="Q869" t="s">
        <v>74</v>
      </c>
      <c r="R869" t="s">
        <v>74</v>
      </c>
      <c r="S869" t="s">
        <v>74</v>
      </c>
      <c r="T869" t="s">
        <v>16585</v>
      </c>
      <c r="U869" t="s">
        <v>16586</v>
      </c>
      <c r="V869" t="s">
        <v>16587</v>
      </c>
      <c r="W869" t="s">
        <v>16588</v>
      </c>
      <c r="X869" t="s">
        <v>16589</v>
      </c>
      <c r="Y869" t="s">
        <v>16590</v>
      </c>
      <c r="Z869" t="s">
        <v>16591</v>
      </c>
      <c r="AA869" t="s">
        <v>16592</v>
      </c>
      <c r="AB869" t="s">
        <v>16593</v>
      </c>
      <c r="AC869" t="s">
        <v>16594</v>
      </c>
      <c r="AD869" t="s">
        <v>16595</v>
      </c>
      <c r="AE869" t="s">
        <v>16596</v>
      </c>
      <c r="AF869" t="s">
        <v>74</v>
      </c>
      <c r="AG869">
        <v>34</v>
      </c>
      <c r="AH869">
        <v>3</v>
      </c>
      <c r="AI869">
        <v>5</v>
      </c>
      <c r="AJ869">
        <v>1</v>
      </c>
      <c r="AK869">
        <v>20</v>
      </c>
      <c r="AL869" t="s">
        <v>728</v>
      </c>
      <c r="AM869" t="s">
        <v>729</v>
      </c>
      <c r="AN869" t="s">
        <v>730</v>
      </c>
      <c r="AO869" t="s">
        <v>10057</v>
      </c>
      <c r="AP869" t="s">
        <v>10058</v>
      </c>
      <c r="AQ869" t="s">
        <v>74</v>
      </c>
      <c r="AR869" t="s">
        <v>10059</v>
      </c>
      <c r="AS869" t="s">
        <v>10060</v>
      </c>
      <c r="AT869" t="s">
        <v>16014</v>
      </c>
      <c r="AU869">
        <v>2017</v>
      </c>
      <c r="AV869">
        <v>60</v>
      </c>
      <c r="AW869">
        <v>1</v>
      </c>
      <c r="AX869" t="s">
        <v>74</v>
      </c>
      <c r="AY869" t="s">
        <v>74</v>
      </c>
      <c r="AZ869" t="s">
        <v>74</v>
      </c>
      <c r="BA869" t="s">
        <v>74</v>
      </c>
      <c r="BB869">
        <v>130</v>
      </c>
      <c r="BC869">
        <v>143</v>
      </c>
      <c r="BD869" t="s">
        <v>74</v>
      </c>
      <c r="BE869" t="s">
        <v>16597</v>
      </c>
      <c r="BF869" t="str">
        <f>HYPERLINK("http://dx.doi.org/10.1016/j.asr.2017.03.037","http://dx.doi.org/10.1016/j.asr.2017.03.037")</f>
        <v>http://dx.doi.org/10.1016/j.asr.2017.03.037</v>
      </c>
      <c r="BG869" t="s">
        <v>74</v>
      </c>
      <c r="BH869" t="s">
        <v>74</v>
      </c>
      <c r="BI869">
        <v>14</v>
      </c>
      <c r="BJ869" t="s">
        <v>10062</v>
      </c>
      <c r="BK869" t="s">
        <v>101</v>
      </c>
      <c r="BL869" t="s">
        <v>10063</v>
      </c>
      <c r="BM869" t="s">
        <v>16598</v>
      </c>
      <c r="BN869" t="s">
        <v>74</v>
      </c>
      <c r="BO869" t="s">
        <v>511</v>
      </c>
      <c r="BP869" t="s">
        <v>74</v>
      </c>
      <c r="BQ869" t="s">
        <v>74</v>
      </c>
      <c r="BR869" t="s">
        <v>105</v>
      </c>
      <c r="BS869" t="s">
        <v>16599</v>
      </c>
      <c r="BT869" t="str">
        <f>HYPERLINK("https%3A%2F%2Fwww.webofscience.com%2Fwos%2Fwoscc%2Ffull-record%2FWOS:000404304700011","View Full Record in Web of Science")</f>
        <v>View Full Record in Web of Science</v>
      </c>
    </row>
    <row r="870" spans="1:72" x14ac:dyDescent="0.15">
      <c r="A870" t="s">
        <v>72</v>
      </c>
      <c r="B870" t="s">
        <v>16600</v>
      </c>
      <c r="C870" t="s">
        <v>74</v>
      </c>
      <c r="D870" t="s">
        <v>74</v>
      </c>
      <c r="E870" t="s">
        <v>74</v>
      </c>
      <c r="F870" t="s">
        <v>16601</v>
      </c>
      <c r="G870" t="s">
        <v>74</v>
      </c>
      <c r="H870" t="s">
        <v>74</v>
      </c>
      <c r="I870" t="s">
        <v>16602</v>
      </c>
      <c r="J870" t="s">
        <v>16603</v>
      </c>
      <c r="K870" t="s">
        <v>74</v>
      </c>
      <c r="L870" t="s">
        <v>74</v>
      </c>
      <c r="M870" t="s">
        <v>78</v>
      </c>
      <c r="N870" t="s">
        <v>79</v>
      </c>
      <c r="O870" t="s">
        <v>74</v>
      </c>
      <c r="P870" t="s">
        <v>74</v>
      </c>
      <c r="Q870" t="s">
        <v>74</v>
      </c>
      <c r="R870" t="s">
        <v>74</v>
      </c>
      <c r="S870" t="s">
        <v>74</v>
      </c>
      <c r="T870" t="s">
        <v>16604</v>
      </c>
      <c r="U870" t="s">
        <v>16605</v>
      </c>
      <c r="V870" t="s">
        <v>16606</v>
      </c>
      <c r="W870" t="s">
        <v>16607</v>
      </c>
      <c r="X870" t="s">
        <v>16608</v>
      </c>
      <c r="Y870" t="s">
        <v>16609</v>
      </c>
      <c r="Z870" t="s">
        <v>16610</v>
      </c>
      <c r="AA870" t="s">
        <v>16611</v>
      </c>
      <c r="AB870" t="s">
        <v>16612</v>
      </c>
      <c r="AC870" t="s">
        <v>16613</v>
      </c>
      <c r="AD870" t="s">
        <v>16614</v>
      </c>
      <c r="AE870" t="s">
        <v>16615</v>
      </c>
      <c r="AF870" t="s">
        <v>74</v>
      </c>
      <c r="AG870">
        <v>62</v>
      </c>
      <c r="AH870">
        <v>19</v>
      </c>
      <c r="AI870">
        <v>20</v>
      </c>
      <c r="AJ870">
        <v>1</v>
      </c>
      <c r="AK870">
        <v>5</v>
      </c>
      <c r="AL870" t="s">
        <v>12239</v>
      </c>
      <c r="AM870" t="s">
        <v>341</v>
      </c>
      <c r="AN870" t="s">
        <v>342</v>
      </c>
      <c r="AO870" t="s">
        <v>16616</v>
      </c>
      <c r="AP870" t="s">
        <v>16617</v>
      </c>
      <c r="AQ870" t="s">
        <v>74</v>
      </c>
      <c r="AR870" t="s">
        <v>16618</v>
      </c>
      <c r="AS870" t="s">
        <v>16619</v>
      </c>
      <c r="AT870" t="s">
        <v>15076</v>
      </c>
      <c r="AU870">
        <v>2017</v>
      </c>
      <c r="AV870">
        <v>154</v>
      </c>
      <c r="AW870">
        <v>1</v>
      </c>
      <c r="AX870" t="s">
        <v>74</v>
      </c>
      <c r="AY870" t="s">
        <v>74</v>
      </c>
      <c r="AZ870" t="s">
        <v>74</v>
      </c>
      <c r="BA870" t="s">
        <v>74</v>
      </c>
      <c r="BB870" t="s">
        <v>74</v>
      </c>
      <c r="BC870" t="s">
        <v>74</v>
      </c>
      <c r="BD870">
        <v>6</v>
      </c>
      <c r="BE870" t="s">
        <v>16620</v>
      </c>
      <c r="BF870" t="str">
        <f>HYPERLINK("http://dx.doi.org/10.3847/1538-3881/aa73dc","http://dx.doi.org/10.3847/1538-3881/aa73dc")</f>
        <v>http://dx.doi.org/10.3847/1538-3881/aa73dc</v>
      </c>
      <c r="BG870" t="s">
        <v>74</v>
      </c>
      <c r="BH870" t="s">
        <v>74</v>
      </c>
      <c r="BI870">
        <v>16</v>
      </c>
      <c r="BJ870" t="s">
        <v>349</v>
      </c>
      <c r="BK870" t="s">
        <v>101</v>
      </c>
      <c r="BL870" t="s">
        <v>349</v>
      </c>
      <c r="BM870" t="s">
        <v>16621</v>
      </c>
      <c r="BN870" t="s">
        <v>74</v>
      </c>
      <c r="BO870" t="s">
        <v>9140</v>
      </c>
      <c r="BP870" t="s">
        <v>74</v>
      </c>
      <c r="BQ870" t="s">
        <v>74</v>
      </c>
      <c r="BR870" t="s">
        <v>105</v>
      </c>
      <c r="BS870" t="s">
        <v>16622</v>
      </c>
      <c r="BT870" t="str">
        <f>HYPERLINK("https%3A%2F%2Fwww.webofscience.com%2Fwos%2Fwoscc%2Ffull-record%2FWOS:000403478000001","View Full Record in Web of Science")</f>
        <v>View Full Record in Web of Science</v>
      </c>
    </row>
    <row r="871" spans="1:72" x14ac:dyDescent="0.15">
      <c r="A871" t="s">
        <v>72</v>
      </c>
      <c r="B871" t="s">
        <v>16623</v>
      </c>
      <c r="C871" t="s">
        <v>74</v>
      </c>
      <c r="D871" t="s">
        <v>74</v>
      </c>
      <c r="E871" t="s">
        <v>74</v>
      </c>
      <c r="F871" t="s">
        <v>16624</v>
      </c>
      <c r="G871" t="s">
        <v>74</v>
      </c>
      <c r="H871" t="s">
        <v>74</v>
      </c>
      <c r="I871" t="s">
        <v>16625</v>
      </c>
      <c r="J871" t="s">
        <v>2302</v>
      </c>
      <c r="K871" t="s">
        <v>74</v>
      </c>
      <c r="L871" t="s">
        <v>74</v>
      </c>
      <c r="M871" t="s">
        <v>78</v>
      </c>
      <c r="N871" t="s">
        <v>79</v>
      </c>
      <c r="O871" t="s">
        <v>74</v>
      </c>
      <c r="P871" t="s">
        <v>74</v>
      </c>
      <c r="Q871" t="s">
        <v>74</v>
      </c>
      <c r="R871" t="s">
        <v>74</v>
      </c>
      <c r="S871" t="s">
        <v>74</v>
      </c>
      <c r="T871" t="s">
        <v>16626</v>
      </c>
      <c r="U871" t="s">
        <v>16627</v>
      </c>
      <c r="V871" t="s">
        <v>16628</v>
      </c>
      <c r="W871" t="s">
        <v>16629</v>
      </c>
      <c r="X871" t="s">
        <v>16630</v>
      </c>
      <c r="Y871" t="s">
        <v>16631</v>
      </c>
      <c r="Z871" t="s">
        <v>16632</v>
      </c>
      <c r="AA871" t="s">
        <v>16633</v>
      </c>
      <c r="AB871" t="s">
        <v>16634</v>
      </c>
      <c r="AC871" t="s">
        <v>16635</v>
      </c>
      <c r="AD871" t="s">
        <v>16636</v>
      </c>
      <c r="AE871" t="s">
        <v>16637</v>
      </c>
      <c r="AF871" t="s">
        <v>74</v>
      </c>
      <c r="AG871">
        <v>40</v>
      </c>
      <c r="AH871">
        <v>11</v>
      </c>
      <c r="AI871">
        <v>12</v>
      </c>
      <c r="AJ871">
        <v>0</v>
      </c>
      <c r="AK871">
        <v>6</v>
      </c>
      <c r="AL871" t="s">
        <v>1981</v>
      </c>
      <c r="AM871" t="s">
        <v>729</v>
      </c>
      <c r="AN871" t="s">
        <v>1982</v>
      </c>
      <c r="AO871" t="s">
        <v>2315</v>
      </c>
      <c r="AP871" t="s">
        <v>2316</v>
      </c>
      <c r="AQ871" t="s">
        <v>74</v>
      </c>
      <c r="AR871" t="s">
        <v>2317</v>
      </c>
      <c r="AS871" t="s">
        <v>2318</v>
      </c>
      <c r="AT871" t="s">
        <v>15076</v>
      </c>
      <c r="AU871">
        <v>2017</v>
      </c>
      <c r="AV871">
        <v>161</v>
      </c>
      <c r="AW871" t="s">
        <v>74</v>
      </c>
      <c r="AX871" t="s">
        <v>74</v>
      </c>
      <c r="AY871" t="s">
        <v>74</v>
      </c>
      <c r="AZ871" t="s">
        <v>74</v>
      </c>
      <c r="BA871" t="s">
        <v>74</v>
      </c>
      <c r="BB871">
        <v>48</v>
      </c>
      <c r="BC871">
        <v>60</v>
      </c>
      <c r="BD871" t="s">
        <v>74</v>
      </c>
      <c r="BE871" t="s">
        <v>16638</v>
      </c>
      <c r="BF871" t="str">
        <f>HYPERLINK("http://dx.doi.org/10.1016/j.atmosenv.2017.04.020","http://dx.doi.org/10.1016/j.atmosenv.2017.04.020")</f>
        <v>http://dx.doi.org/10.1016/j.atmosenv.2017.04.020</v>
      </c>
      <c r="BG871" t="s">
        <v>74</v>
      </c>
      <c r="BH871" t="s">
        <v>74</v>
      </c>
      <c r="BI871">
        <v>13</v>
      </c>
      <c r="BJ871" t="s">
        <v>834</v>
      </c>
      <c r="BK871" t="s">
        <v>101</v>
      </c>
      <c r="BL871" t="s">
        <v>835</v>
      </c>
      <c r="BM871" t="s">
        <v>16639</v>
      </c>
      <c r="BN871" t="s">
        <v>74</v>
      </c>
      <c r="BO871" t="s">
        <v>16640</v>
      </c>
      <c r="BP871" t="s">
        <v>74</v>
      </c>
      <c r="BQ871" t="s">
        <v>74</v>
      </c>
      <c r="BR871" t="s">
        <v>105</v>
      </c>
      <c r="BS871" t="s">
        <v>16641</v>
      </c>
      <c r="BT871" t="str">
        <f>HYPERLINK("https%3A%2F%2Fwww.webofscience.com%2Fwos%2Fwoscc%2Ffull-record%2FWOS:000403515900006","View Full Record in Web of Science")</f>
        <v>View Full Record in Web of Science</v>
      </c>
    </row>
    <row r="872" spans="1:72" x14ac:dyDescent="0.15">
      <c r="A872" t="s">
        <v>72</v>
      </c>
      <c r="B872" t="s">
        <v>16642</v>
      </c>
      <c r="C872" t="s">
        <v>74</v>
      </c>
      <c r="D872" t="s">
        <v>74</v>
      </c>
      <c r="E872" t="s">
        <v>74</v>
      </c>
      <c r="F872" t="s">
        <v>16643</v>
      </c>
      <c r="G872" t="s">
        <v>74</v>
      </c>
      <c r="H872" t="s">
        <v>74</v>
      </c>
      <c r="I872" t="s">
        <v>16644</v>
      </c>
      <c r="J872" t="s">
        <v>16645</v>
      </c>
      <c r="K872" t="s">
        <v>74</v>
      </c>
      <c r="L872" t="s">
        <v>74</v>
      </c>
      <c r="M872" t="s">
        <v>78</v>
      </c>
      <c r="N872" t="s">
        <v>79</v>
      </c>
      <c r="O872" t="s">
        <v>74</v>
      </c>
      <c r="P872" t="s">
        <v>74</v>
      </c>
      <c r="Q872" t="s">
        <v>74</v>
      </c>
      <c r="R872" t="s">
        <v>74</v>
      </c>
      <c r="S872" t="s">
        <v>74</v>
      </c>
      <c r="T872" t="s">
        <v>16646</v>
      </c>
      <c r="U872" t="s">
        <v>16647</v>
      </c>
      <c r="V872" t="s">
        <v>16648</v>
      </c>
      <c r="W872" t="s">
        <v>16649</v>
      </c>
      <c r="X872" t="s">
        <v>16650</v>
      </c>
      <c r="Y872" t="s">
        <v>16651</v>
      </c>
      <c r="Z872" t="s">
        <v>16652</v>
      </c>
      <c r="AA872" t="s">
        <v>74</v>
      </c>
      <c r="AB872" t="s">
        <v>74</v>
      </c>
      <c r="AC872" t="s">
        <v>16653</v>
      </c>
      <c r="AD872" t="s">
        <v>16654</v>
      </c>
      <c r="AE872" t="s">
        <v>16655</v>
      </c>
      <c r="AF872" t="s">
        <v>74</v>
      </c>
      <c r="AG872">
        <v>33</v>
      </c>
      <c r="AH872">
        <v>0</v>
      </c>
      <c r="AI872">
        <v>0</v>
      </c>
      <c r="AJ872">
        <v>0</v>
      </c>
      <c r="AK872">
        <v>3</v>
      </c>
      <c r="AL872" t="s">
        <v>502</v>
      </c>
      <c r="AM872" t="s">
        <v>372</v>
      </c>
      <c r="AN872" t="s">
        <v>503</v>
      </c>
      <c r="AO872" t="s">
        <v>16656</v>
      </c>
      <c r="AP872" t="s">
        <v>74</v>
      </c>
      <c r="AQ872" t="s">
        <v>74</v>
      </c>
      <c r="AR872" t="s">
        <v>16657</v>
      </c>
      <c r="AS872" t="s">
        <v>16658</v>
      </c>
      <c r="AT872" t="s">
        <v>15076</v>
      </c>
      <c r="AU872">
        <v>2017</v>
      </c>
      <c r="AV872">
        <v>11</v>
      </c>
      <c r="AW872" t="s">
        <v>74</v>
      </c>
      <c r="AX872" t="s">
        <v>74</v>
      </c>
      <c r="AY872" t="s">
        <v>74</v>
      </c>
      <c r="AZ872" t="s">
        <v>74</v>
      </c>
      <c r="BA872" t="s">
        <v>74</v>
      </c>
      <c r="BB872">
        <v>19</v>
      </c>
      <c r="BC872">
        <v>25</v>
      </c>
      <c r="BD872" t="s">
        <v>74</v>
      </c>
      <c r="BE872" t="s">
        <v>16659</v>
      </c>
      <c r="BF872" t="str">
        <f>HYPERLINK("http://dx.doi.org/10.1016/j.bcab.2017.05.008","http://dx.doi.org/10.1016/j.bcab.2017.05.008")</f>
        <v>http://dx.doi.org/10.1016/j.bcab.2017.05.008</v>
      </c>
      <c r="BG872" t="s">
        <v>74</v>
      </c>
      <c r="BH872" t="s">
        <v>74</v>
      </c>
      <c r="BI872">
        <v>7</v>
      </c>
      <c r="BJ872" t="s">
        <v>947</v>
      </c>
      <c r="BK872" t="s">
        <v>3172</v>
      </c>
      <c r="BL872" t="s">
        <v>947</v>
      </c>
      <c r="BM872" t="s">
        <v>16660</v>
      </c>
      <c r="BN872" t="s">
        <v>74</v>
      </c>
      <c r="BO872" t="s">
        <v>74</v>
      </c>
      <c r="BP872" t="s">
        <v>74</v>
      </c>
      <c r="BQ872" t="s">
        <v>74</v>
      </c>
      <c r="BR872" t="s">
        <v>105</v>
      </c>
      <c r="BS872" t="s">
        <v>16661</v>
      </c>
      <c r="BT872" t="str">
        <f>HYPERLINK("https%3A%2F%2Fwww.webofscience.com%2Fwos%2Fwoscc%2Ffull-record%2FWOS:000414500200003","View Full Record in Web of Science")</f>
        <v>View Full Record in Web of Science</v>
      </c>
    </row>
    <row r="873" spans="1:72" x14ac:dyDescent="0.15">
      <c r="A873" t="s">
        <v>72</v>
      </c>
      <c r="B873" t="s">
        <v>16662</v>
      </c>
      <c r="C873" t="s">
        <v>74</v>
      </c>
      <c r="D873" t="s">
        <v>74</v>
      </c>
      <c r="E873" t="s">
        <v>74</v>
      </c>
      <c r="F873" t="s">
        <v>16663</v>
      </c>
      <c r="G873" t="s">
        <v>74</v>
      </c>
      <c r="H873" t="s">
        <v>74</v>
      </c>
      <c r="I873" t="s">
        <v>16664</v>
      </c>
      <c r="J873" t="s">
        <v>16665</v>
      </c>
      <c r="K873" t="s">
        <v>74</v>
      </c>
      <c r="L873" t="s">
        <v>74</v>
      </c>
      <c r="M873" t="s">
        <v>78</v>
      </c>
      <c r="N873" t="s">
        <v>79</v>
      </c>
      <c r="O873" t="s">
        <v>74</v>
      </c>
      <c r="P873" t="s">
        <v>74</v>
      </c>
      <c r="Q873" t="s">
        <v>74</v>
      </c>
      <c r="R873" t="s">
        <v>74</v>
      </c>
      <c r="S873" t="s">
        <v>74</v>
      </c>
      <c r="T873" t="s">
        <v>16666</v>
      </c>
      <c r="U873" t="s">
        <v>16667</v>
      </c>
      <c r="V873" t="s">
        <v>16668</v>
      </c>
      <c r="W873" t="s">
        <v>16669</v>
      </c>
      <c r="X873" t="s">
        <v>16670</v>
      </c>
      <c r="Y873" t="s">
        <v>16671</v>
      </c>
      <c r="Z873" t="s">
        <v>16672</v>
      </c>
      <c r="AA873" t="s">
        <v>16673</v>
      </c>
      <c r="AB873" t="s">
        <v>16674</v>
      </c>
      <c r="AC873" t="s">
        <v>16675</v>
      </c>
      <c r="AD873" t="s">
        <v>16676</v>
      </c>
      <c r="AE873" t="s">
        <v>16677</v>
      </c>
      <c r="AF873" t="s">
        <v>74</v>
      </c>
      <c r="AG873">
        <v>74</v>
      </c>
      <c r="AH873">
        <v>26</v>
      </c>
      <c r="AI873">
        <v>28</v>
      </c>
      <c r="AJ873">
        <v>0</v>
      </c>
      <c r="AK873">
        <v>18</v>
      </c>
      <c r="AL873" t="s">
        <v>208</v>
      </c>
      <c r="AM873" t="s">
        <v>3872</v>
      </c>
      <c r="AN873" t="s">
        <v>3873</v>
      </c>
      <c r="AO873" t="s">
        <v>16678</v>
      </c>
      <c r="AP873" t="s">
        <v>16679</v>
      </c>
      <c r="AQ873" t="s">
        <v>74</v>
      </c>
      <c r="AR873" t="s">
        <v>16680</v>
      </c>
      <c r="AS873" t="s">
        <v>16681</v>
      </c>
      <c r="AT873" t="s">
        <v>15076</v>
      </c>
      <c r="AU873">
        <v>2017</v>
      </c>
      <c r="AV873">
        <v>164</v>
      </c>
      <c r="AW873">
        <v>1</v>
      </c>
      <c r="AX873" t="s">
        <v>74</v>
      </c>
      <c r="AY873" t="s">
        <v>74</v>
      </c>
      <c r="AZ873" t="s">
        <v>74</v>
      </c>
      <c r="BA873" t="s">
        <v>74</v>
      </c>
      <c r="BB873">
        <v>107</v>
      </c>
      <c r="BC873">
        <v>133</v>
      </c>
      <c r="BD873" t="s">
        <v>74</v>
      </c>
      <c r="BE873" t="s">
        <v>16682</v>
      </c>
      <c r="BF873" t="str">
        <f>HYPERLINK("http://dx.doi.org/10.1007/s10546-017-0242-5","http://dx.doi.org/10.1007/s10546-017-0242-5")</f>
        <v>http://dx.doi.org/10.1007/s10546-017-0242-5</v>
      </c>
      <c r="BG873" t="s">
        <v>74</v>
      </c>
      <c r="BH873" t="s">
        <v>74</v>
      </c>
      <c r="BI873">
        <v>27</v>
      </c>
      <c r="BJ873" t="s">
        <v>162</v>
      </c>
      <c r="BK873" t="s">
        <v>101</v>
      </c>
      <c r="BL873" t="s">
        <v>162</v>
      </c>
      <c r="BM873" t="s">
        <v>16683</v>
      </c>
      <c r="BN873" t="s">
        <v>74</v>
      </c>
      <c r="BO873" t="s">
        <v>74</v>
      </c>
      <c r="BP873" t="s">
        <v>74</v>
      </c>
      <c r="BQ873" t="s">
        <v>74</v>
      </c>
      <c r="BR873" t="s">
        <v>105</v>
      </c>
      <c r="BS873" t="s">
        <v>16684</v>
      </c>
      <c r="BT873" t="str">
        <f>HYPERLINK("https%3A%2F%2Fwww.webofscience.com%2Fwos%2Fwoscc%2Ffull-record%2FWOS:000407374700006","View Full Record in Web of Science")</f>
        <v>View Full Record in Web of Science</v>
      </c>
    </row>
    <row r="874" spans="1:72" x14ac:dyDescent="0.15">
      <c r="A874" t="s">
        <v>72</v>
      </c>
      <c r="B874" t="s">
        <v>16685</v>
      </c>
      <c r="C874" t="s">
        <v>74</v>
      </c>
      <c r="D874" t="s">
        <v>74</v>
      </c>
      <c r="E874" t="s">
        <v>74</v>
      </c>
      <c r="F874" t="s">
        <v>16686</v>
      </c>
      <c r="G874" t="s">
        <v>74</v>
      </c>
      <c r="H874" t="s">
        <v>74</v>
      </c>
      <c r="I874" t="s">
        <v>16687</v>
      </c>
      <c r="J874" t="s">
        <v>2927</v>
      </c>
      <c r="K874" t="s">
        <v>74</v>
      </c>
      <c r="L874" t="s">
        <v>74</v>
      </c>
      <c r="M874" t="s">
        <v>78</v>
      </c>
      <c r="N874" t="s">
        <v>79</v>
      </c>
      <c r="O874" t="s">
        <v>74</v>
      </c>
      <c r="P874" t="s">
        <v>74</v>
      </c>
      <c r="Q874" t="s">
        <v>74</v>
      </c>
      <c r="R874" t="s">
        <v>74</v>
      </c>
      <c r="S874" t="s">
        <v>74</v>
      </c>
      <c r="T874" t="s">
        <v>16688</v>
      </c>
      <c r="U874" t="s">
        <v>16689</v>
      </c>
      <c r="V874" t="s">
        <v>16690</v>
      </c>
      <c r="W874" t="s">
        <v>16691</v>
      </c>
      <c r="X874" t="s">
        <v>3617</v>
      </c>
      <c r="Y874" t="s">
        <v>16692</v>
      </c>
      <c r="Z874" t="s">
        <v>16693</v>
      </c>
      <c r="AA874" t="s">
        <v>16694</v>
      </c>
      <c r="AB874" t="s">
        <v>16695</v>
      </c>
      <c r="AC874" t="s">
        <v>16696</v>
      </c>
      <c r="AD874" t="s">
        <v>16697</v>
      </c>
      <c r="AE874" t="s">
        <v>16698</v>
      </c>
      <c r="AF874" t="s">
        <v>74</v>
      </c>
      <c r="AG874">
        <v>57</v>
      </c>
      <c r="AH874">
        <v>13</v>
      </c>
      <c r="AI874">
        <v>15</v>
      </c>
      <c r="AJ874">
        <v>1</v>
      </c>
      <c r="AK874">
        <v>35</v>
      </c>
      <c r="AL874" t="s">
        <v>208</v>
      </c>
      <c r="AM874" t="s">
        <v>209</v>
      </c>
      <c r="AN874" t="s">
        <v>2659</v>
      </c>
      <c r="AO874" t="s">
        <v>2939</v>
      </c>
      <c r="AP874" t="s">
        <v>2940</v>
      </c>
      <c r="AQ874" t="s">
        <v>74</v>
      </c>
      <c r="AR874" t="s">
        <v>2941</v>
      </c>
      <c r="AS874" t="s">
        <v>2942</v>
      </c>
      <c r="AT874" t="s">
        <v>15076</v>
      </c>
      <c r="AU874">
        <v>2017</v>
      </c>
      <c r="AV874">
        <v>49</v>
      </c>
      <c r="AW874" t="s">
        <v>4976</v>
      </c>
      <c r="AX874" t="s">
        <v>74</v>
      </c>
      <c r="AY874" t="s">
        <v>74</v>
      </c>
      <c r="AZ874" t="s">
        <v>74</v>
      </c>
      <c r="BA874" t="s">
        <v>74</v>
      </c>
      <c r="BB874">
        <v>683</v>
      </c>
      <c r="BC874">
        <v>702</v>
      </c>
      <c r="BD874" t="s">
        <v>74</v>
      </c>
      <c r="BE874" t="s">
        <v>16699</v>
      </c>
      <c r="BF874" t="str">
        <f>HYPERLINK("http://dx.doi.org/10.1007/s00382-016-3367-1","http://dx.doi.org/10.1007/s00382-016-3367-1")</f>
        <v>http://dx.doi.org/10.1007/s00382-016-3367-1</v>
      </c>
      <c r="BG874" t="s">
        <v>74</v>
      </c>
      <c r="BH874" t="s">
        <v>74</v>
      </c>
      <c r="BI874">
        <v>20</v>
      </c>
      <c r="BJ874" t="s">
        <v>162</v>
      </c>
      <c r="BK874" t="s">
        <v>101</v>
      </c>
      <c r="BL874" t="s">
        <v>162</v>
      </c>
      <c r="BM874" t="s">
        <v>16447</v>
      </c>
      <c r="BN874" t="s">
        <v>74</v>
      </c>
      <c r="BO874" t="s">
        <v>193</v>
      </c>
      <c r="BP874" t="s">
        <v>74</v>
      </c>
      <c r="BQ874" t="s">
        <v>74</v>
      </c>
      <c r="BR874" t="s">
        <v>105</v>
      </c>
      <c r="BS874" t="s">
        <v>16700</v>
      </c>
      <c r="BT874" t="str">
        <f>HYPERLINK("https%3A%2F%2Fwww.webofscience.com%2Fwos%2Fwoscc%2Ffull-record%2FWOS:000403716500039","View Full Record in Web of Science")</f>
        <v>View Full Record in Web of Science</v>
      </c>
    </row>
    <row r="875" spans="1:72" x14ac:dyDescent="0.15">
      <c r="A875" t="s">
        <v>72</v>
      </c>
      <c r="B875" t="s">
        <v>16701</v>
      </c>
      <c r="C875" t="s">
        <v>74</v>
      </c>
      <c r="D875" t="s">
        <v>74</v>
      </c>
      <c r="E875" t="s">
        <v>74</v>
      </c>
      <c r="F875" t="s">
        <v>16702</v>
      </c>
      <c r="G875" t="s">
        <v>74</v>
      </c>
      <c r="H875" t="s">
        <v>74</v>
      </c>
      <c r="I875" t="s">
        <v>16703</v>
      </c>
      <c r="J875" t="s">
        <v>16704</v>
      </c>
      <c r="K875" t="s">
        <v>74</v>
      </c>
      <c r="L875" t="s">
        <v>74</v>
      </c>
      <c r="M875" t="s">
        <v>78</v>
      </c>
      <c r="N875" t="s">
        <v>79</v>
      </c>
      <c r="O875" t="s">
        <v>74</v>
      </c>
      <c r="P875" t="s">
        <v>74</v>
      </c>
      <c r="Q875" t="s">
        <v>74</v>
      </c>
      <c r="R875" t="s">
        <v>74</v>
      </c>
      <c r="S875" t="s">
        <v>74</v>
      </c>
      <c r="T875" t="s">
        <v>16705</v>
      </c>
      <c r="U875" t="s">
        <v>16706</v>
      </c>
      <c r="V875" t="s">
        <v>16707</v>
      </c>
      <c r="W875" t="s">
        <v>16708</v>
      </c>
      <c r="X875" t="s">
        <v>16709</v>
      </c>
      <c r="Y875" t="s">
        <v>16710</v>
      </c>
      <c r="Z875" t="s">
        <v>16711</v>
      </c>
      <c r="AA875" t="s">
        <v>16712</v>
      </c>
      <c r="AB875" t="s">
        <v>16713</v>
      </c>
      <c r="AC875" t="s">
        <v>16714</v>
      </c>
      <c r="AD875" t="s">
        <v>16715</v>
      </c>
      <c r="AE875" t="s">
        <v>16716</v>
      </c>
      <c r="AF875" t="s">
        <v>74</v>
      </c>
      <c r="AG875">
        <v>86</v>
      </c>
      <c r="AH875">
        <v>13</v>
      </c>
      <c r="AI875">
        <v>14</v>
      </c>
      <c r="AJ875">
        <v>6</v>
      </c>
      <c r="AK875">
        <v>31</v>
      </c>
      <c r="AL875" t="s">
        <v>9722</v>
      </c>
      <c r="AM875" t="s">
        <v>9723</v>
      </c>
      <c r="AN875" t="s">
        <v>9724</v>
      </c>
      <c r="AO875" t="s">
        <v>16717</v>
      </c>
      <c r="AP875" t="s">
        <v>16718</v>
      </c>
      <c r="AQ875" t="s">
        <v>74</v>
      </c>
      <c r="AR875" t="s">
        <v>16719</v>
      </c>
      <c r="AS875" t="s">
        <v>16720</v>
      </c>
      <c r="AT875" t="s">
        <v>15830</v>
      </c>
      <c r="AU875">
        <v>2017</v>
      </c>
      <c r="AV875">
        <v>349</v>
      </c>
      <c r="AW875">
        <v>4</v>
      </c>
      <c r="AX875" t="s">
        <v>74</v>
      </c>
      <c r="AY875" t="s">
        <v>74</v>
      </c>
      <c r="AZ875" t="s">
        <v>74</v>
      </c>
      <c r="BA875" t="s">
        <v>74</v>
      </c>
      <c r="BB875">
        <v>139</v>
      </c>
      <c r="BC875">
        <v>150</v>
      </c>
      <c r="BD875" t="s">
        <v>74</v>
      </c>
      <c r="BE875" t="s">
        <v>16721</v>
      </c>
      <c r="BF875" t="str">
        <f>HYPERLINK("http://dx.doi.org/10.1016/j.crte.2017.05.003","http://dx.doi.org/10.1016/j.crte.2017.05.003")</f>
        <v>http://dx.doi.org/10.1016/j.crte.2017.05.003</v>
      </c>
      <c r="BG875" t="s">
        <v>74</v>
      </c>
      <c r="BH875" t="s">
        <v>74</v>
      </c>
      <c r="BI875">
        <v>12</v>
      </c>
      <c r="BJ875" t="s">
        <v>100</v>
      </c>
      <c r="BK875" t="s">
        <v>101</v>
      </c>
      <c r="BL875" t="s">
        <v>102</v>
      </c>
      <c r="BM875" t="s">
        <v>16722</v>
      </c>
      <c r="BN875" t="s">
        <v>74</v>
      </c>
      <c r="BO875" t="s">
        <v>1691</v>
      </c>
      <c r="BP875" t="s">
        <v>74</v>
      </c>
      <c r="BQ875" t="s">
        <v>74</v>
      </c>
      <c r="BR875" t="s">
        <v>105</v>
      </c>
      <c r="BS875" t="s">
        <v>16723</v>
      </c>
      <c r="BT875" t="str">
        <f>HYPERLINK("https%3A%2F%2Fwww.webofscience.com%2Fwos%2Fwoscc%2Ffull-record%2FWOS:000410036100001","View Full Record in Web of Science")</f>
        <v>View Full Record in Web of Science</v>
      </c>
    </row>
    <row r="876" spans="1:72" x14ac:dyDescent="0.15">
      <c r="A876" t="s">
        <v>72</v>
      </c>
      <c r="B876" t="s">
        <v>16724</v>
      </c>
      <c r="C876" t="s">
        <v>74</v>
      </c>
      <c r="D876" t="s">
        <v>74</v>
      </c>
      <c r="E876" t="s">
        <v>74</v>
      </c>
      <c r="F876" t="s">
        <v>16725</v>
      </c>
      <c r="G876" t="s">
        <v>74</v>
      </c>
      <c r="H876" t="s">
        <v>74</v>
      </c>
      <c r="I876" t="s">
        <v>16726</v>
      </c>
      <c r="J876" t="s">
        <v>16727</v>
      </c>
      <c r="K876" t="s">
        <v>74</v>
      </c>
      <c r="L876" t="s">
        <v>74</v>
      </c>
      <c r="M876" t="s">
        <v>78</v>
      </c>
      <c r="N876" t="s">
        <v>79</v>
      </c>
      <c r="O876" t="s">
        <v>74</v>
      </c>
      <c r="P876" t="s">
        <v>74</v>
      </c>
      <c r="Q876" t="s">
        <v>74</v>
      </c>
      <c r="R876" t="s">
        <v>74</v>
      </c>
      <c r="S876" t="s">
        <v>74</v>
      </c>
      <c r="T876" t="s">
        <v>16728</v>
      </c>
      <c r="U876" t="s">
        <v>16729</v>
      </c>
      <c r="V876" t="s">
        <v>16730</v>
      </c>
      <c r="W876" t="s">
        <v>16731</v>
      </c>
      <c r="X876" t="s">
        <v>16732</v>
      </c>
      <c r="Y876" t="s">
        <v>16733</v>
      </c>
      <c r="Z876" t="s">
        <v>16734</v>
      </c>
      <c r="AA876" t="s">
        <v>16735</v>
      </c>
      <c r="AB876" t="s">
        <v>16736</v>
      </c>
      <c r="AC876" t="s">
        <v>16737</v>
      </c>
      <c r="AD876" t="s">
        <v>16738</v>
      </c>
      <c r="AE876" t="s">
        <v>16739</v>
      </c>
      <c r="AF876" t="s">
        <v>74</v>
      </c>
      <c r="AG876">
        <v>21</v>
      </c>
      <c r="AH876">
        <v>10</v>
      </c>
      <c r="AI876">
        <v>11</v>
      </c>
      <c r="AJ876">
        <v>0</v>
      </c>
      <c r="AK876">
        <v>8</v>
      </c>
      <c r="AL876" t="s">
        <v>1981</v>
      </c>
      <c r="AM876" t="s">
        <v>729</v>
      </c>
      <c r="AN876" t="s">
        <v>1982</v>
      </c>
      <c r="AO876" t="s">
        <v>16740</v>
      </c>
      <c r="AP876" t="s">
        <v>16741</v>
      </c>
      <c r="AQ876" t="s">
        <v>74</v>
      </c>
      <c r="AR876" t="s">
        <v>16742</v>
      </c>
      <c r="AS876" t="s">
        <v>16743</v>
      </c>
      <c r="AT876" t="s">
        <v>15076</v>
      </c>
      <c r="AU876">
        <v>2017</v>
      </c>
      <c r="AV876">
        <v>104</v>
      </c>
      <c r="AW876" t="s">
        <v>74</v>
      </c>
      <c r="AX876" t="s">
        <v>74</v>
      </c>
      <c r="AY876" t="s">
        <v>74</v>
      </c>
      <c r="AZ876" t="s">
        <v>74</v>
      </c>
      <c r="BA876" t="s">
        <v>74</v>
      </c>
      <c r="BB876">
        <v>120</v>
      </c>
      <c r="BC876">
        <v>124</v>
      </c>
      <c r="BD876" t="s">
        <v>74</v>
      </c>
      <c r="BE876" t="s">
        <v>16744</v>
      </c>
      <c r="BF876" t="str">
        <f>HYPERLINK("http://dx.doi.org/10.1016/j.cageo.2016.09.011","http://dx.doi.org/10.1016/j.cageo.2016.09.011")</f>
        <v>http://dx.doi.org/10.1016/j.cageo.2016.09.011</v>
      </c>
      <c r="BG876" t="s">
        <v>74</v>
      </c>
      <c r="BH876" t="s">
        <v>74</v>
      </c>
      <c r="BI876">
        <v>5</v>
      </c>
      <c r="BJ876" t="s">
        <v>16745</v>
      </c>
      <c r="BK876" t="s">
        <v>101</v>
      </c>
      <c r="BL876" t="s">
        <v>16746</v>
      </c>
      <c r="BM876" t="s">
        <v>16747</v>
      </c>
      <c r="BN876" t="s">
        <v>74</v>
      </c>
      <c r="BO876" t="s">
        <v>7331</v>
      </c>
      <c r="BP876" t="s">
        <v>74</v>
      </c>
      <c r="BQ876" t="s">
        <v>74</v>
      </c>
      <c r="BR876" t="s">
        <v>105</v>
      </c>
      <c r="BS876" t="s">
        <v>16748</v>
      </c>
      <c r="BT876" t="str">
        <f>HYPERLINK("https%3A%2F%2Fwww.webofscience.com%2Fwos%2Fwoscc%2Ffull-record%2FWOS:000402352900013","View Full Record in Web of Science")</f>
        <v>View Full Record in Web of Science</v>
      </c>
    </row>
    <row r="877" spans="1:72" x14ac:dyDescent="0.15">
      <c r="A877" t="s">
        <v>72</v>
      </c>
      <c r="B877" t="s">
        <v>16749</v>
      </c>
      <c r="C877" t="s">
        <v>74</v>
      </c>
      <c r="D877" t="s">
        <v>74</v>
      </c>
      <c r="E877" t="s">
        <v>74</v>
      </c>
      <c r="F877" t="s">
        <v>16750</v>
      </c>
      <c r="G877" t="s">
        <v>74</v>
      </c>
      <c r="H877" t="s">
        <v>74</v>
      </c>
      <c r="I877" t="s">
        <v>16751</v>
      </c>
      <c r="J877" t="s">
        <v>16727</v>
      </c>
      <c r="K877" t="s">
        <v>74</v>
      </c>
      <c r="L877" t="s">
        <v>74</v>
      </c>
      <c r="M877" t="s">
        <v>78</v>
      </c>
      <c r="N877" t="s">
        <v>79</v>
      </c>
      <c r="O877" t="s">
        <v>74</v>
      </c>
      <c r="P877" t="s">
        <v>74</v>
      </c>
      <c r="Q877" t="s">
        <v>74</v>
      </c>
      <c r="R877" t="s">
        <v>74</v>
      </c>
      <c r="S877" t="s">
        <v>74</v>
      </c>
      <c r="T877" t="s">
        <v>16752</v>
      </c>
      <c r="U877" t="s">
        <v>16753</v>
      </c>
      <c r="V877" t="s">
        <v>16754</v>
      </c>
      <c r="W877" t="s">
        <v>16755</v>
      </c>
      <c r="X877" t="s">
        <v>16756</v>
      </c>
      <c r="Y877" t="s">
        <v>16757</v>
      </c>
      <c r="Z877" t="s">
        <v>16758</v>
      </c>
      <c r="AA877" t="s">
        <v>16759</v>
      </c>
      <c r="AB877" t="s">
        <v>16760</v>
      </c>
      <c r="AC877" t="s">
        <v>16761</v>
      </c>
      <c r="AD877" t="s">
        <v>16762</v>
      </c>
      <c r="AE877" t="s">
        <v>16763</v>
      </c>
      <c r="AF877" t="s">
        <v>74</v>
      </c>
      <c r="AG877">
        <v>39</v>
      </c>
      <c r="AH877">
        <v>120</v>
      </c>
      <c r="AI877">
        <v>134</v>
      </c>
      <c r="AJ877">
        <v>8</v>
      </c>
      <c r="AK877">
        <v>41</v>
      </c>
      <c r="AL877" t="s">
        <v>1981</v>
      </c>
      <c r="AM877" t="s">
        <v>729</v>
      </c>
      <c r="AN877" t="s">
        <v>1982</v>
      </c>
      <c r="AO877" t="s">
        <v>16740</v>
      </c>
      <c r="AP877" t="s">
        <v>16741</v>
      </c>
      <c r="AQ877" t="s">
        <v>74</v>
      </c>
      <c r="AR877" t="s">
        <v>16742</v>
      </c>
      <c r="AS877" t="s">
        <v>16743</v>
      </c>
      <c r="AT877" t="s">
        <v>15076</v>
      </c>
      <c r="AU877">
        <v>2017</v>
      </c>
      <c r="AV877">
        <v>104</v>
      </c>
      <c r="AW877" t="s">
        <v>74</v>
      </c>
      <c r="AX877" t="s">
        <v>74</v>
      </c>
      <c r="AY877" t="s">
        <v>74</v>
      </c>
      <c r="AZ877" t="s">
        <v>74</v>
      </c>
      <c r="BA877" t="s">
        <v>74</v>
      </c>
      <c r="BB877">
        <v>151</v>
      </c>
      <c r="BC877">
        <v>157</v>
      </c>
      <c r="BD877" t="s">
        <v>74</v>
      </c>
      <c r="BE877" t="s">
        <v>16764</v>
      </c>
      <c r="BF877" t="str">
        <f>HYPERLINK("http://dx.doi.org/10.1016/j.cageo.2016.08.003","http://dx.doi.org/10.1016/j.cageo.2016.08.003")</f>
        <v>http://dx.doi.org/10.1016/j.cageo.2016.08.003</v>
      </c>
      <c r="BG877" t="s">
        <v>74</v>
      </c>
      <c r="BH877" t="s">
        <v>74</v>
      </c>
      <c r="BI877">
        <v>7</v>
      </c>
      <c r="BJ877" t="s">
        <v>16745</v>
      </c>
      <c r="BK877" t="s">
        <v>101</v>
      </c>
      <c r="BL877" t="s">
        <v>16746</v>
      </c>
      <c r="BM877" t="s">
        <v>16747</v>
      </c>
      <c r="BN877" t="s">
        <v>74</v>
      </c>
      <c r="BO877" t="s">
        <v>511</v>
      </c>
      <c r="BP877" t="s">
        <v>74</v>
      </c>
      <c r="BQ877" t="s">
        <v>74</v>
      </c>
      <c r="BR877" t="s">
        <v>105</v>
      </c>
      <c r="BS877" t="s">
        <v>16765</v>
      </c>
      <c r="BT877" t="str">
        <f>HYPERLINK("https%3A%2F%2Fwww.webofscience.com%2Fwos%2Fwoscc%2Ffull-record%2FWOS:000402352900016","View Full Record in Web of Science")</f>
        <v>View Full Record in Web of Science</v>
      </c>
    </row>
    <row r="878" spans="1:72" x14ac:dyDescent="0.15">
      <c r="A878" t="s">
        <v>72</v>
      </c>
      <c r="B878" t="s">
        <v>16766</v>
      </c>
      <c r="C878" t="s">
        <v>74</v>
      </c>
      <c r="D878" t="s">
        <v>74</v>
      </c>
      <c r="E878" t="s">
        <v>74</v>
      </c>
      <c r="F878" t="s">
        <v>16767</v>
      </c>
      <c r="G878" t="s">
        <v>74</v>
      </c>
      <c r="H878" t="s">
        <v>74</v>
      </c>
      <c r="I878" t="s">
        <v>16768</v>
      </c>
      <c r="J878" t="s">
        <v>663</v>
      </c>
      <c r="K878" t="s">
        <v>74</v>
      </c>
      <c r="L878" t="s">
        <v>74</v>
      </c>
      <c r="M878" t="s">
        <v>78</v>
      </c>
      <c r="N878" t="s">
        <v>79</v>
      </c>
      <c r="O878" t="s">
        <v>74</v>
      </c>
      <c r="P878" t="s">
        <v>74</v>
      </c>
      <c r="Q878" t="s">
        <v>74</v>
      </c>
      <c r="R878" t="s">
        <v>74</v>
      </c>
      <c r="S878" t="s">
        <v>74</v>
      </c>
      <c r="T878" t="s">
        <v>16769</v>
      </c>
      <c r="U878" t="s">
        <v>16770</v>
      </c>
      <c r="V878" t="s">
        <v>16771</v>
      </c>
      <c r="W878" t="s">
        <v>16772</v>
      </c>
      <c r="X878" t="s">
        <v>16773</v>
      </c>
      <c r="Y878" t="s">
        <v>16774</v>
      </c>
      <c r="Z878" t="s">
        <v>16775</v>
      </c>
      <c r="AA878" t="s">
        <v>16776</v>
      </c>
      <c r="AB878" t="s">
        <v>16777</v>
      </c>
      <c r="AC878" t="s">
        <v>16778</v>
      </c>
      <c r="AD878" t="s">
        <v>14292</v>
      </c>
      <c r="AE878" t="s">
        <v>16779</v>
      </c>
      <c r="AF878" t="s">
        <v>74</v>
      </c>
      <c r="AG878">
        <v>51</v>
      </c>
      <c r="AH878">
        <v>25</v>
      </c>
      <c r="AI878">
        <v>27</v>
      </c>
      <c r="AJ878">
        <v>0</v>
      </c>
      <c r="AK878">
        <v>14</v>
      </c>
      <c r="AL878" t="s">
        <v>371</v>
      </c>
      <c r="AM878" t="s">
        <v>372</v>
      </c>
      <c r="AN878" t="s">
        <v>373</v>
      </c>
      <c r="AO878" t="s">
        <v>676</v>
      </c>
      <c r="AP878" t="s">
        <v>677</v>
      </c>
      <c r="AQ878" t="s">
        <v>74</v>
      </c>
      <c r="AR878" t="s">
        <v>678</v>
      </c>
      <c r="AS878" t="s">
        <v>679</v>
      </c>
      <c r="AT878" t="s">
        <v>16014</v>
      </c>
      <c r="AU878">
        <v>2017</v>
      </c>
      <c r="AV878">
        <v>469</v>
      </c>
      <c r="AW878" t="s">
        <v>74</v>
      </c>
      <c r="AX878" t="s">
        <v>74</v>
      </c>
      <c r="AY878" t="s">
        <v>74</v>
      </c>
      <c r="AZ878" t="s">
        <v>74</v>
      </c>
      <c r="BA878" t="s">
        <v>74</v>
      </c>
      <c r="BB878">
        <v>42</v>
      </c>
      <c r="BC878">
        <v>52</v>
      </c>
      <c r="BD878" t="s">
        <v>74</v>
      </c>
      <c r="BE878" t="s">
        <v>16780</v>
      </c>
      <c r="BF878" t="str">
        <f>HYPERLINK("http://dx.doi.org/10.1016/j.epsl.2017.04.006","http://dx.doi.org/10.1016/j.epsl.2017.04.006")</f>
        <v>http://dx.doi.org/10.1016/j.epsl.2017.04.006</v>
      </c>
      <c r="BG878" t="s">
        <v>74</v>
      </c>
      <c r="BH878" t="s">
        <v>74</v>
      </c>
      <c r="BI878">
        <v>11</v>
      </c>
      <c r="BJ878" t="s">
        <v>509</v>
      </c>
      <c r="BK878" t="s">
        <v>101</v>
      </c>
      <c r="BL878" t="s">
        <v>509</v>
      </c>
      <c r="BM878" t="s">
        <v>16781</v>
      </c>
      <c r="BN878" t="s">
        <v>74</v>
      </c>
      <c r="BO878" t="s">
        <v>12890</v>
      </c>
      <c r="BP878" t="s">
        <v>74</v>
      </c>
      <c r="BQ878" t="s">
        <v>74</v>
      </c>
      <c r="BR878" t="s">
        <v>105</v>
      </c>
      <c r="BS878" t="s">
        <v>16782</v>
      </c>
      <c r="BT878" t="str">
        <f>HYPERLINK("https%3A%2F%2Fwww.webofscience.com%2Fwos%2Fwoscc%2Ffull-record%2FWOS:000402444700004","View Full Record in Web of Science")</f>
        <v>View Full Record in Web of Science</v>
      </c>
    </row>
    <row r="879" spans="1:72" x14ac:dyDescent="0.15">
      <c r="A879" t="s">
        <v>72</v>
      </c>
      <c r="B879" t="s">
        <v>16783</v>
      </c>
      <c r="C879" t="s">
        <v>74</v>
      </c>
      <c r="D879" t="s">
        <v>74</v>
      </c>
      <c r="E879" t="s">
        <v>74</v>
      </c>
      <c r="F879" t="s">
        <v>16784</v>
      </c>
      <c r="G879" t="s">
        <v>74</v>
      </c>
      <c r="H879" t="s">
        <v>74</v>
      </c>
      <c r="I879" t="s">
        <v>16785</v>
      </c>
      <c r="J879" t="s">
        <v>663</v>
      </c>
      <c r="K879" t="s">
        <v>74</v>
      </c>
      <c r="L879" t="s">
        <v>74</v>
      </c>
      <c r="M879" t="s">
        <v>78</v>
      </c>
      <c r="N879" t="s">
        <v>79</v>
      </c>
      <c r="O879" t="s">
        <v>74</v>
      </c>
      <c r="P879" t="s">
        <v>74</v>
      </c>
      <c r="Q879" t="s">
        <v>74</v>
      </c>
      <c r="R879" t="s">
        <v>74</v>
      </c>
      <c r="S879" t="s">
        <v>74</v>
      </c>
      <c r="T879" t="s">
        <v>16786</v>
      </c>
      <c r="U879" t="s">
        <v>16787</v>
      </c>
      <c r="V879" t="s">
        <v>16788</v>
      </c>
      <c r="W879" t="s">
        <v>16789</v>
      </c>
      <c r="X879" t="s">
        <v>16790</v>
      </c>
      <c r="Y879" t="s">
        <v>16791</v>
      </c>
      <c r="Z879" t="s">
        <v>16792</v>
      </c>
      <c r="AA879" t="s">
        <v>16793</v>
      </c>
      <c r="AB879" t="s">
        <v>16794</v>
      </c>
      <c r="AC879" t="s">
        <v>16795</v>
      </c>
      <c r="AD879" t="s">
        <v>16796</v>
      </c>
      <c r="AE879" t="s">
        <v>16797</v>
      </c>
      <c r="AF879" t="s">
        <v>74</v>
      </c>
      <c r="AG879">
        <v>53</v>
      </c>
      <c r="AH879">
        <v>62</v>
      </c>
      <c r="AI879">
        <v>69</v>
      </c>
      <c r="AJ879">
        <v>2</v>
      </c>
      <c r="AK879">
        <v>38</v>
      </c>
      <c r="AL879" t="s">
        <v>502</v>
      </c>
      <c r="AM879" t="s">
        <v>372</v>
      </c>
      <c r="AN879" t="s">
        <v>503</v>
      </c>
      <c r="AO879" t="s">
        <v>676</v>
      </c>
      <c r="AP879" t="s">
        <v>677</v>
      </c>
      <c r="AQ879" t="s">
        <v>74</v>
      </c>
      <c r="AR879" t="s">
        <v>678</v>
      </c>
      <c r="AS879" t="s">
        <v>679</v>
      </c>
      <c r="AT879" t="s">
        <v>16014</v>
      </c>
      <c r="AU879">
        <v>2017</v>
      </c>
      <c r="AV879">
        <v>469</v>
      </c>
      <c r="AW879" t="s">
        <v>74</v>
      </c>
      <c r="AX879" t="s">
        <v>74</v>
      </c>
      <c r="AY879" t="s">
        <v>74</v>
      </c>
      <c r="AZ879" t="s">
        <v>74</v>
      </c>
      <c r="BA879" t="s">
        <v>74</v>
      </c>
      <c r="BB879">
        <v>98</v>
      </c>
      <c r="BC879">
        <v>109</v>
      </c>
      <c r="BD879" t="s">
        <v>74</v>
      </c>
      <c r="BE879" t="s">
        <v>16798</v>
      </c>
      <c r="BF879" t="str">
        <f>HYPERLINK("http://dx.doi.org/10.1016/j.epsl.2017.04.007","http://dx.doi.org/10.1016/j.epsl.2017.04.007")</f>
        <v>http://dx.doi.org/10.1016/j.epsl.2017.04.007</v>
      </c>
      <c r="BG879" t="s">
        <v>74</v>
      </c>
      <c r="BH879" t="s">
        <v>74</v>
      </c>
      <c r="BI879">
        <v>12</v>
      </c>
      <c r="BJ879" t="s">
        <v>509</v>
      </c>
      <c r="BK879" t="s">
        <v>101</v>
      </c>
      <c r="BL879" t="s">
        <v>509</v>
      </c>
      <c r="BM879" t="s">
        <v>16781</v>
      </c>
      <c r="BN879" t="s">
        <v>74</v>
      </c>
      <c r="BO879" t="s">
        <v>74</v>
      </c>
      <c r="BP879" t="s">
        <v>74</v>
      </c>
      <c r="BQ879" t="s">
        <v>74</v>
      </c>
      <c r="BR879" t="s">
        <v>105</v>
      </c>
      <c r="BS879" t="s">
        <v>16799</v>
      </c>
      <c r="BT879" t="str">
        <f>HYPERLINK("https%3A%2F%2Fwww.webofscience.com%2Fwos%2Fwoscc%2Ffull-record%2FWOS:000402444700009","View Full Record in Web of Science")</f>
        <v>View Full Record in Web of Science</v>
      </c>
    </row>
    <row r="880" spans="1:72" x14ac:dyDescent="0.15">
      <c r="A880" t="s">
        <v>72</v>
      </c>
      <c r="B880" t="s">
        <v>16800</v>
      </c>
      <c r="C880" t="s">
        <v>74</v>
      </c>
      <c r="D880" t="s">
        <v>74</v>
      </c>
      <c r="E880" t="s">
        <v>74</v>
      </c>
      <c r="F880" t="s">
        <v>16801</v>
      </c>
      <c r="G880" t="s">
        <v>74</v>
      </c>
      <c r="H880" t="s">
        <v>74</v>
      </c>
      <c r="I880" t="s">
        <v>16802</v>
      </c>
      <c r="J880" t="s">
        <v>16803</v>
      </c>
      <c r="K880" t="s">
        <v>74</v>
      </c>
      <c r="L880" t="s">
        <v>74</v>
      </c>
      <c r="M880" t="s">
        <v>78</v>
      </c>
      <c r="N880" t="s">
        <v>79</v>
      </c>
      <c r="O880" t="s">
        <v>74</v>
      </c>
      <c r="P880" t="s">
        <v>74</v>
      </c>
      <c r="Q880" t="s">
        <v>74</v>
      </c>
      <c r="R880" t="s">
        <v>74</v>
      </c>
      <c r="S880" t="s">
        <v>74</v>
      </c>
      <c r="T880" t="s">
        <v>16804</v>
      </c>
      <c r="U880" t="s">
        <v>16805</v>
      </c>
      <c r="V880" t="s">
        <v>16806</v>
      </c>
      <c r="W880" t="s">
        <v>16807</v>
      </c>
      <c r="X880" t="s">
        <v>1308</v>
      </c>
      <c r="Y880" t="s">
        <v>1309</v>
      </c>
      <c r="Z880" t="s">
        <v>1310</v>
      </c>
      <c r="AA880" t="s">
        <v>1311</v>
      </c>
      <c r="AB880" t="s">
        <v>16808</v>
      </c>
      <c r="AC880" t="s">
        <v>1313</v>
      </c>
      <c r="AD880" t="s">
        <v>1313</v>
      </c>
      <c r="AE880" t="s">
        <v>16809</v>
      </c>
      <c r="AF880" t="s">
        <v>74</v>
      </c>
      <c r="AG880">
        <v>68</v>
      </c>
      <c r="AH880">
        <v>10</v>
      </c>
      <c r="AI880">
        <v>11</v>
      </c>
      <c r="AJ880">
        <v>1</v>
      </c>
      <c r="AK880">
        <v>20</v>
      </c>
      <c r="AL880" t="s">
        <v>208</v>
      </c>
      <c r="AM880" t="s">
        <v>3872</v>
      </c>
      <c r="AN880" t="s">
        <v>3873</v>
      </c>
      <c r="AO880" t="s">
        <v>16810</v>
      </c>
      <c r="AP880" t="s">
        <v>16811</v>
      </c>
      <c r="AQ880" t="s">
        <v>74</v>
      </c>
      <c r="AR880" t="s">
        <v>16803</v>
      </c>
      <c r="AS880" t="s">
        <v>16812</v>
      </c>
      <c r="AT880" t="s">
        <v>15076</v>
      </c>
      <c r="AU880">
        <v>2017</v>
      </c>
      <c r="AV880">
        <v>26</v>
      </c>
      <c r="AW880">
        <v>5</v>
      </c>
      <c r="AX880" t="s">
        <v>74</v>
      </c>
      <c r="AY880" t="s">
        <v>74</v>
      </c>
      <c r="AZ880" t="s">
        <v>74</v>
      </c>
      <c r="BA880" t="s">
        <v>74</v>
      </c>
      <c r="BB880">
        <v>600</v>
      </c>
      <c r="BC880">
        <v>612</v>
      </c>
      <c r="BD880" t="s">
        <v>74</v>
      </c>
      <c r="BE880" t="s">
        <v>16813</v>
      </c>
      <c r="BF880" t="str">
        <f>HYPERLINK("http://dx.doi.org/10.1007/s10646-017-1793-4","http://dx.doi.org/10.1007/s10646-017-1793-4")</f>
        <v>http://dx.doi.org/10.1007/s10646-017-1793-4</v>
      </c>
      <c r="BG880" t="s">
        <v>74</v>
      </c>
      <c r="BH880" t="s">
        <v>74</v>
      </c>
      <c r="BI880">
        <v>13</v>
      </c>
      <c r="BJ880" t="s">
        <v>16814</v>
      </c>
      <c r="BK880" t="s">
        <v>101</v>
      </c>
      <c r="BL880" t="s">
        <v>7490</v>
      </c>
      <c r="BM880" t="s">
        <v>16815</v>
      </c>
      <c r="BN880">
        <v>28353161</v>
      </c>
      <c r="BO880" t="s">
        <v>74</v>
      </c>
      <c r="BP880" t="s">
        <v>74</v>
      </c>
      <c r="BQ880" t="s">
        <v>74</v>
      </c>
      <c r="BR880" t="s">
        <v>105</v>
      </c>
      <c r="BS880" t="s">
        <v>16816</v>
      </c>
      <c r="BT880" t="str">
        <f>HYPERLINK("https%3A%2F%2Fwww.webofscience.com%2Fwos%2Fwoscc%2Ffull-record%2FWOS:000403461400003","View Full Record in Web of Science")</f>
        <v>View Full Record in Web of Science</v>
      </c>
    </row>
    <row r="881" spans="1:72" x14ac:dyDescent="0.15">
      <c r="A881" t="s">
        <v>72</v>
      </c>
      <c r="B881" t="s">
        <v>16817</v>
      </c>
      <c r="C881" t="s">
        <v>74</v>
      </c>
      <c r="D881" t="s">
        <v>74</v>
      </c>
      <c r="E881" t="s">
        <v>74</v>
      </c>
      <c r="F881" t="s">
        <v>16818</v>
      </c>
      <c r="G881" t="s">
        <v>74</v>
      </c>
      <c r="H881" t="s">
        <v>74</v>
      </c>
      <c r="I881" t="s">
        <v>16819</v>
      </c>
      <c r="J881" t="s">
        <v>3065</v>
      </c>
      <c r="K881" t="s">
        <v>74</v>
      </c>
      <c r="L881" t="s">
        <v>74</v>
      </c>
      <c r="M881" t="s">
        <v>78</v>
      </c>
      <c r="N881" t="s">
        <v>79</v>
      </c>
      <c r="O881" t="s">
        <v>74</v>
      </c>
      <c r="P881" t="s">
        <v>74</v>
      </c>
      <c r="Q881" t="s">
        <v>74</v>
      </c>
      <c r="R881" t="s">
        <v>74</v>
      </c>
      <c r="S881" t="s">
        <v>74</v>
      </c>
      <c r="T881" t="s">
        <v>16820</v>
      </c>
      <c r="U881" t="s">
        <v>16821</v>
      </c>
      <c r="V881" t="s">
        <v>16822</v>
      </c>
      <c r="W881" t="s">
        <v>16823</v>
      </c>
      <c r="X881" t="s">
        <v>16824</v>
      </c>
      <c r="Y881" t="s">
        <v>16825</v>
      </c>
      <c r="Z881" t="s">
        <v>16826</v>
      </c>
      <c r="AA881" t="s">
        <v>16827</v>
      </c>
      <c r="AB881" t="s">
        <v>16828</v>
      </c>
      <c r="AC881" t="s">
        <v>16829</v>
      </c>
      <c r="AD881" t="s">
        <v>16830</v>
      </c>
      <c r="AE881" t="s">
        <v>16831</v>
      </c>
      <c r="AF881" t="s">
        <v>74</v>
      </c>
      <c r="AG881">
        <v>76</v>
      </c>
      <c r="AH881">
        <v>15</v>
      </c>
      <c r="AI881">
        <v>18</v>
      </c>
      <c r="AJ881">
        <v>1</v>
      </c>
      <c r="AK881">
        <v>37</v>
      </c>
      <c r="AL881" t="s">
        <v>728</v>
      </c>
      <c r="AM881" t="s">
        <v>729</v>
      </c>
      <c r="AN881" t="s">
        <v>730</v>
      </c>
      <c r="AO881" t="s">
        <v>3078</v>
      </c>
      <c r="AP881" t="s">
        <v>3079</v>
      </c>
      <c r="AQ881" t="s">
        <v>74</v>
      </c>
      <c r="AR881" t="s">
        <v>3080</v>
      </c>
      <c r="AS881" t="s">
        <v>3081</v>
      </c>
      <c r="AT881" t="s">
        <v>15076</v>
      </c>
      <c r="AU881">
        <v>2017</v>
      </c>
      <c r="AV881">
        <v>226</v>
      </c>
      <c r="AW881" t="s">
        <v>74</v>
      </c>
      <c r="AX881" t="s">
        <v>74</v>
      </c>
      <c r="AY881" t="s">
        <v>74</v>
      </c>
      <c r="AZ881" t="s">
        <v>74</v>
      </c>
      <c r="BA881" t="s">
        <v>74</v>
      </c>
      <c r="BB881">
        <v>277</v>
      </c>
      <c r="BC881">
        <v>287</v>
      </c>
      <c r="BD881" t="s">
        <v>74</v>
      </c>
      <c r="BE881" t="s">
        <v>16832</v>
      </c>
      <c r="BF881" t="str">
        <f>HYPERLINK("http://dx.doi.org/10.1016/j.envpol.2017.03.071","http://dx.doi.org/10.1016/j.envpol.2017.03.071")</f>
        <v>http://dx.doi.org/10.1016/j.envpol.2017.03.071</v>
      </c>
      <c r="BG881" t="s">
        <v>74</v>
      </c>
      <c r="BH881" t="s">
        <v>74</v>
      </c>
      <c r="BI881">
        <v>11</v>
      </c>
      <c r="BJ881" t="s">
        <v>2867</v>
      </c>
      <c r="BK881" t="s">
        <v>101</v>
      </c>
      <c r="BL881" t="s">
        <v>1048</v>
      </c>
      <c r="BM881" t="s">
        <v>16833</v>
      </c>
      <c r="BN881">
        <v>28392239</v>
      </c>
      <c r="BO881" t="s">
        <v>1240</v>
      </c>
      <c r="BP881" t="s">
        <v>74</v>
      </c>
      <c r="BQ881" t="s">
        <v>74</v>
      </c>
      <c r="BR881" t="s">
        <v>105</v>
      </c>
      <c r="BS881" t="s">
        <v>16834</v>
      </c>
      <c r="BT881" t="str">
        <f>HYPERLINK("https%3A%2F%2Fwww.webofscience.com%2Fwos%2Fwoscc%2Ffull-record%2FWOS:000405881800030","View Full Record in Web of Science")</f>
        <v>View Full Record in Web of Science</v>
      </c>
    </row>
    <row r="882" spans="1:72" x14ac:dyDescent="0.15">
      <c r="A882" t="s">
        <v>72</v>
      </c>
      <c r="B882" t="s">
        <v>16835</v>
      </c>
      <c r="C882" t="s">
        <v>74</v>
      </c>
      <c r="D882" t="s">
        <v>74</v>
      </c>
      <c r="E882" t="s">
        <v>74</v>
      </c>
      <c r="F882" t="s">
        <v>16836</v>
      </c>
      <c r="G882" t="s">
        <v>74</v>
      </c>
      <c r="H882" t="s">
        <v>74</v>
      </c>
      <c r="I882" t="s">
        <v>16837</v>
      </c>
      <c r="J882" t="s">
        <v>7496</v>
      </c>
      <c r="K882" t="s">
        <v>74</v>
      </c>
      <c r="L882" t="s">
        <v>74</v>
      </c>
      <c r="M882" t="s">
        <v>78</v>
      </c>
      <c r="N882" t="s">
        <v>79</v>
      </c>
      <c r="O882" t="s">
        <v>74</v>
      </c>
      <c r="P882" t="s">
        <v>74</v>
      </c>
      <c r="Q882" t="s">
        <v>74</v>
      </c>
      <c r="R882" t="s">
        <v>74</v>
      </c>
      <c r="S882" t="s">
        <v>74</v>
      </c>
      <c r="T882" t="s">
        <v>16838</v>
      </c>
      <c r="U882" t="s">
        <v>16839</v>
      </c>
      <c r="V882" t="s">
        <v>16840</v>
      </c>
      <c r="W882" t="s">
        <v>16841</v>
      </c>
      <c r="X882" t="s">
        <v>16842</v>
      </c>
      <c r="Y882" t="s">
        <v>16843</v>
      </c>
      <c r="Z882" t="s">
        <v>16844</v>
      </c>
      <c r="AA882" t="s">
        <v>16845</v>
      </c>
      <c r="AB882" t="s">
        <v>16846</v>
      </c>
      <c r="AC882" t="s">
        <v>16847</v>
      </c>
      <c r="AD882" t="s">
        <v>16848</v>
      </c>
      <c r="AE882" t="s">
        <v>16849</v>
      </c>
      <c r="AF882" t="s">
        <v>74</v>
      </c>
      <c r="AG882">
        <v>23</v>
      </c>
      <c r="AH882">
        <v>11</v>
      </c>
      <c r="AI882">
        <v>12</v>
      </c>
      <c r="AJ882">
        <v>1</v>
      </c>
      <c r="AK882">
        <v>13</v>
      </c>
      <c r="AL882" t="s">
        <v>7508</v>
      </c>
      <c r="AM882" t="s">
        <v>7509</v>
      </c>
      <c r="AN882" t="s">
        <v>7510</v>
      </c>
      <c r="AO882" t="s">
        <v>7511</v>
      </c>
      <c r="AP882" t="s">
        <v>7512</v>
      </c>
      <c r="AQ882" t="s">
        <v>74</v>
      </c>
      <c r="AR882" t="s">
        <v>7496</v>
      </c>
      <c r="AS882" t="s">
        <v>7513</v>
      </c>
      <c r="AT882" t="s">
        <v>15076</v>
      </c>
      <c r="AU882">
        <v>2017</v>
      </c>
      <c r="AV882">
        <v>21</v>
      </c>
      <c r="AW882">
        <v>4</v>
      </c>
      <c r="AX882" t="s">
        <v>74</v>
      </c>
      <c r="AY882" t="s">
        <v>74</v>
      </c>
      <c r="AZ882" t="s">
        <v>74</v>
      </c>
      <c r="BA882" t="s">
        <v>74</v>
      </c>
      <c r="BB882">
        <v>723</v>
      </c>
      <c r="BC882">
        <v>731</v>
      </c>
      <c r="BD882" t="s">
        <v>74</v>
      </c>
      <c r="BE882" t="s">
        <v>16850</v>
      </c>
      <c r="BF882" t="str">
        <f>HYPERLINK("http://dx.doi.org/10.1007/s00792-017-0937-z","http://dx.doi.org/10.1007/s00792-017-0937-z")</f>
        <v>http://dx.doi.org/10.1007/s00792-017-0937-z</v>
      </c>
      <c r="BG882" t="s">
        <v>74</v>
      </c>
      <c r="BH882" t="s">
        <v>74</v>
      </c>
      <c r="BI882">
        <v>9</v>
      </c>
      <c r="BJ882" t="s">
        <v>3584</v>
      </c>
      <c r="BK882" t="s">
        <v>101</v>
      </c>
      <c r="BL882" t="s">
        <v>3584</v>
      </c>
      <c r="BM882" t="s">
        <v>16463</v>
      </c>
      <c r="BN882">
        <v>28434130</v>
      </c>
      <c r="BO882" t="s">
        <v>74</v>
      </c>
      <c r="BP882" t="s">
        <v>74</v>
      </c>
      <c r="BQ882" t="s">
        <v>74</v>
      </c>
      <c r="BR882" t="s">
        <v>105</v>
      </c>
      <c r="BS882" t="s">
        <v>16851</v>
      </c>
      <c r="BT882" t="str">
        <f>HYPERLINK("https%3A%2F%2Fwww.webofscience.com%2Fwos%2Fwoscc%2Ffull-record%2FWOS:000403945900006","View Full Record in Web of Science")</f>
        <v>View Full Record in Web of Science</v>
      </c>
    </row>
    <row r="883" spans="1:72" x14ac:dyDescent="0.15">
      <c r="A883" t="s">
        <v>72</v>
      </c>
      <c r="B883" t="s">
        <v>16852</v>
      </c>
      <c r="C883" t="s">
        <v>74</v>
      </c>
      <c r="D883" t="s">
        <v>74</v>
      </c>
      <c r="E883" t="s">
        <v>74</v>
      </c>
      <c r="F883" t="s">
        <v>16853</v>
      </c>
      <c r="G883" t="s">
        <v>74</v>
      </c>
      <c r="H883" t="s">
        <v>74</v>
      </c>
      <c r="I883" t="s">
        <v>16854</v>
      </c>
      <c r="J883" t="s">
        <v>3156</v>
      </c>
      <c r="K883" t="s">
        <v>74</v>
      </c>
      <c r="L883" t="s">
        <v>74</v>
      </c>
      <c r="M883" t="s">
        <v>78</v>
      </c>
      <c r="N883" t="s">
        <v>79</v>
      </c>
      <c r="O883" t="s">
        <v>74</v>
      </c>
      <c r="P883" t="s">
        <v>74</v>
      </c>
      <c r="Q883" t="s">
        <v>74</v>
      </c>
      <c r="R883" t="s">
        <v>74</v>
      </c>
      <c r="S883" t="s">
        <v>74</v>
      </c>
      <c r="T883" t="s">
        <v>74</v>
      </c>
      <c r="U883" t="s">
        <v>16855</v>
      </c>
      <c r="V883" t="s">
        <v>16856</v>
      </c>
      <c r="W883" t="s">
        <v>16857</v>
      </c>
      <c r="X883" t="s">
        <v>16858</v>
      </c>
      <c r="Y883" t="s">
        <v>16859</v>
      </c>
      <c r="Z883" t="s">
        <v>16860</v>
      </c>
      <c r="AA883" t="s">
        <v>16861</v>
      </c>
      <c r="AB883" t="s">
        <v>16862</v>
      </c>
      <c r="AC883" t="s">
        <v>16863</v>
      </c>
      <c r="AD883" t="s">
        <v>16864</v>
      </c>
      <c r="AE883" t="s">
        <v>16865</v>
      </c>
      <c r="AF883" t="s">
        <v>74</v>
      </c>
      <c r="AG883">
        <v>21</v>
      </c>
      <c r="AH883">
        <v>12</v>
      </c>
      <c r="AI883">
        <v>13</v>
      </c>
      <c r="AJ883">
        <v>2</v>
      </c>
      <c r="AK883">
        <v>5</v>
      </c>
      <c r="AL883" t="s">
        <v>3166</v>
      </c>
      <c r="AM883" t="s">
        <v>92</v>
      </c>
      <c r="AN883" t="s">
        <v>3167</v>
      </c>
      <c r="AO883" t="s">
        <v>74</v>
      </c>
      <c r="AP883" t="s">
        <v>3168</v>
      </c>
      <c r="AQ883" t="s">
        <v>74</v>
      </c>
      <c r="AR883" t="s">
        <v>3156</v>
      </c>
      <c r="AS883" t="s">
        <v>3169</v>
      </c>
      <c r="AT883" t="s">
        <v>15076</v>
      </c>
      <c r="AU883">
        <v>2017</v>
      </c>
      <c r="AV883">
        <v>5</v>
      </c>
      <c r="AW883">
        <v>27</v>
      </c>
      <c r="AX883" t="s">
        <v>74</v>
      </c>
      <c r="AY883" t="s">
        <v>74</v>
      </c>
      <c r="AZ883" t="s">
        <v>74</v>
      </c>
      <c r="BA883" t="s">
        <v>74</v>
      </c>
      <c r="BB883" t="s">
        <v>74</v>
      </c>
      <c r="BC883" t="s">
        <v>74</v>
      </c>
      <c r="BD883" t="s">
        <v>16866</v>
      </c>
      <c r="BE883" t="s">
        <v>16867</v>
      </c>
      <c r="BF883" t="str">
        <f>HYPERLINK("http://dx.doi.org/10.1128/genomeA.00397-17","http://dx.doi.org/10.1128/genomeA.00397-17")</f>
        <v>http://dx.doi.org/10.1128/genomeA.00397-17</v>
      </c>
      <c r="BG883" t="s">
        <v>74</v>
      </c>
      <c r="BH883" t="s">
        <v>74</v>
      </c>
      <c r="BI883">
        <v>3</v>
      </c>
      <c r="BJ883" t="s">
        <v>457</v>
      </c>
      <c r="BK883" t="s">
        <v>3172</v>
      </c>
      <c r="BL883" t="s">
        <v>457</v>
      </c>
      <c r="BM883" t="s">
        <v>16868</v>
      </c>
      <c r="BN883">
        <v>28684563</v>
      </c>
      <c r="BO883" t="s">
        <v>658</v>
      </c>
      <c r="BP883" t="s">
        <v>74</v>
      </c>
      <c r="BQ883" t="s">
        <v>74</v>
      </c>
      <c r="BR883" t="s">
        <v>105</v>
      </c>
      <c r="BS883" t="s">
        <v>16869</v>
      </c>
      <c r="BT883" t="str">
        <f>HYPERLINK("https%3A%2F%2Fwww.webofscience.com%2Fwos%2Fwoscc%2Ffull-record%2FWOS:000460704300004","View Full Record in Web of Science")</f>
        <v>View Full Record in Web of Science</v>
      </c>
    </row>
    <row r="884" spans="1:72" x14ac:dyDescent="0.15">
      <c r="A884" t="s">
        <v>72</v>
      </c>
      <c r="B884" t="s">
        <v>16870</v>
      </c>
      <c r="C884" t="s">
        <v>74</v>
      </c>
      <c r="D884" t="s">
        <v>74</v>
      </c>
      <c r="E884" t="s">
        <v>74</v>
      </c>
      <c r="F884" t="s">
        <v>16871</v>
      </c>
      <c r="G884" t="s">
        <v>74</v>
      </c>
      <c r="H884" t="s">
        <v>74</v>
      </c>
      <c r="I884" t="s">
        <v>16872</v>
      </c>
      <c r="J884" t="s">
        <v>3156</v>
      </c>
      <c r="K884" t="s">
        <v>74</v>
      </c>
      <c r="L884" t="s">
        <v>74</v>
      </c>
      <c r="M884" t="s">
        <v>78</v>
      </c>
      <c r="N884" t="s">
        <v>79</v>
      </c>
      <c r="O884" t="s">
        <v>74</v>
      </c>
      <c r="P884" t="s">
        <v>74</v>
      </c>
      <c r="Q884" t="s">
        <v>74</v>
      </c>
      <c r="R884" t="s">
        <v>74</v>
      </c>
      <c r="S884" t="s">
        <v>74</v>
      </c>
      <c r="T884" t="s">
        <v>74</v>
      </c>
      <c r="U884" t="s">
        <v>74</v>
      </c>
      <c r="V884" t="s">
        <v>16873</v>
      </c>
      <c r="W884" t="s">
        <v>16874</v>
      </c>
      <c r="X884" t="s">
        <v>16875</v>
      </c>
      <c r="Y884" t="s">
        <v>16876</v>
      </c>
      <c r="Z884" t="s">
        <v>16877</v>
      </c>
      <c r="AA884" t="s">
        <v>16878</v>
      </c>
      <c r="AB884" t="s">
        <v>16879</v>
      </c>
      <c r="AC884" t="s">
        <v>16880</v>
      </c>
      <c r="AD884" t="s">
        <v>16881</v>
      </c>
      <c r="AE884" t="s">
        <v>16882</v>
      </c>
      <c r="AF884" t="s">
        <v>74</v>
      </c>
      <c r="AG884">
        <v>13</v>
      </c>
      <c r="AH884">
        <v>3</v>
      </c>
      <c r="AI884">
        <v>3</v>
      </c>
      <c r="AJ884">
        <v>0</v>
      </c>
      <c r="AK884">
        <v>0</v>
      </c>
      <c r="AL884" t="s">
        <v>3166</v>
      </c>
      <c r="AM884" t="s">
        <v>92</v>
      </c>
      <c r="AN884" t="s">
        <v>3167</v>
      </c>
      <c r="AO884" t="s">
        <v>74</v>
      </c>
      <c r="AP884" t="s">
        <v>3168</v>
      </c>
      <c r="AQ884" t="s">
        <v>74</v>
      </c>
      <c r="AR884" t="s">
        <v>3156</v>
      </c>
      <c r="AS884" t="s">
        <v>3169</v>
      </c>
      <c r="AT884" t="s">
        <v>15076</v>
      </c>
      <c r="AU884">
        <v>2017</v>
      </c>
      <c r="AV884">
        <v>5</v>
      </c>
      <c r="AW884">
        <v>29</v>
      </c>
      <c r="AX884" t="s">
        <v>74</v>
      </c>
      <c r="AY884" t="s">
        <v>74</v>
      </c>
      <c r="AZ884" t="s">
        <v>74</v>
      </c>
      <c r="BA884" t="s">
        <v>74</v>
      </c>
      <c r="BB884" t="s">
        <v>74</v>
      </c>
      <c r="BC884" t="s">
        <v>74</v>
      </c>
      <c r="BD884" t="s">
        <v>16883</v>
      </c>
      <c r="BE884" t="s">
        <v>16884</v>
      </c>
      <c r="BF884" t="str">
        <f>HYPERLINK("http://dx.doi.org/10.1128/genomeA.00672-17","http://dx.doi.org/10.1128/genomeA.00672-17")</f>
        <v>http://dx.doi.org/10.1128/genomeA.00672-17</v>
      </c>
      <c r="BG884" t="s">
        <v>74</v>
      </c>
      <c r="BH884" t="s">
        <v>74</v>
      </c>
      <c r="BI884">
        <v>2</v>
      </c>
      <c r="BJ884" t="s">
        <v>457</v>
      </c>
      <c r="BK884" t="s">
        <v>3172</v>
      </c>
      <c r="BL884" t="s">
        <v>457</v>
      </c>
      <c r="BM884" t="s">
        <v>16885</v>
      </c>
      <c r="BN884">
        <v>28729273</v>
      </c>
      <c r="BO884" t="s">
        <v>267</v>
      </c>
      <c r="BP884" t="s">
        <v>74</v>
      </c>
      <c r="BQ884" t="s">
        <v>74</v>
      </c>
      <c r="BR884" t="s">
        <v>105</v>
      </c>
      <c r="BS884" t="s">
        <v>16886</v>
      </c>
      <c r="BT884" t="str">
        <f>HYPERLINK("https%3A%2F%2Fwww.webofscience.com%2Fwos%2Fwoscc%2Ffull-record%2FWOS:000460705500022","View Full Record in Web of Science")</f>
        <v>View Full Record in Web of Science</v>
      </c>
    </row>
    <row r="885" spans="1:72" x14ac:dyDescent="0.15">
      <c r="A885" t="s">
        <v>72</v>
      </c>
      <c r="B885" t="s">
        <v>16887</v>
      </c>
      <c r="C885" t="s">
        <v>74</v>
      </c>
      <c r="D885" t="s">
        <v>74</v>
      </c>
      <c r="E885" t="s">
        <v>74</v>
      </c>
      <c r="F885" t="s">
        <v>16888</v>
      </c>
      <c r="G885" t="s">
        <v>74</v>
      </c>
      <c r="H885" t="s">
        <v>74</v>
      </c>
      <c r="I885" t="s">
        <v>16889</v>
      </c>
      <c r="J885" t="s">
        <v>2339</v>
      </c>
      <c r="K885" t="s">
        <v>74</v>
      </c>
      <c r="L885" t="s">
        <v>74</v>
      </c>
      <c r="M885" t="s">
        <v>78</v>
      </c>
      <c r="N885" t="s">
        <v>79</v>
      </c>
      <c r="O885" t="s">
        <v>74</v>
      </c>
      <c r="P885" t="s">
        <v>74</v>
      </c>
      <c r="Q885" t="s">
        <v>74</v>
      </c>
      <c r="R885" t="s">
        <v>74</v>
      </c>
      <c r="S885" t="s">
        <v>74</v>
      </c>
      <c r="T885" t="s">
        <v>74</v>
      </c>
      <c r="U885" t="s">
        <v>16890</v>
      </c>
      <c r="V885" t="s">
        <v>16891</v>
      </c>
      <c r="W885" t="s">
        <v>16892</v>
      </c>
      <c r="X885" t="s">
        <v>16893</v>
      </c>
      <c r="Y885" t="s">
        <v>16894</v>
      </c>
      <c r="Z885" t="s">
        <v>16895</v>
      </c>
      <c r="AA885" t="s">
        <v>16896</v>
      </c>
      <c r="AB885" t="s">
        <v>16897</v>
      </c>
      <c r="AC885" t="s">
        <v>16898</v>
      </c>
      <c r="AD885" t="s">
        <v>16899</v>
      </c>
      <c r="AE885" t="s">
        <v>16900</v>
      </c>
      <c r="AF885" t="s">
        <v>74</v>
      </c>
      <c r="AG885">
        <v>30</v>
      </c>
      <c r="AH885">
        <v>17</v>
      </c>
      <c r="AI885">
        <v>24</v>
      </c>
      <c r="AJ885">
        <v>3</v>
      </c>
      <c r="AK885">
        <v>38</v>
      </c>
      <c r="AL885" t="s">
        <v>1292</v>
      </c>
      <c r="AM885" t="s">
        <v>1293</v>
      </c>
      <c r="AN885" t="s">
        <v>1294</v>
      </c>
      <c r="AO885" t="s">
        <v>2349</v>
      </c>
      <c r="AP885" t="s">
        <v>2350</v>
      </c>
      <c r="AQ885" t="s">
        <v>74</v>
      </c>
      <c r="AR885" t="s">
        <v>2339</v>
      </c>
      <c r="AS885" t="s">
        <v>102</v>
      </c>
      <c r="AT885" t="s">
        <v>15076</v>
      </c>
      <c r="AU885">
        <v>2017</v>
      </c>
      <c r="AV885">
        <v>45</v>
      </c>
      <c r="AW885">
        <v>7</v>
      </c>
      <c r="AX885" t="s">
        <v>74</v>
      </c>
      <c r="AY885" t="s">
        <v>74</v>
      </c>
      <c r="AZ885" t="s">
        <v>74</v>
      </c>
      <c r="BA885" t="s">
        <v>74</v>
      </c>
      <c r="BB885">
        <v>651</v>
      </c>
      <c r="BC885">
        <v>654</v>
      </c>
      <c r="BD885" t="s">
        <v>74</v>
      </c>
      <c r="BE885" t="s">
        <v>16901</v>
      </c>
      <c r="BF885" t="str">
        <f>HYPERLINK("http://dx.doi.org/10.1130/G38981.1","http://dx.doi.org/10.1130/G38981.1")</f>
        <v>http://dx.doi.org/10.1130/G38981.1</v>
      </c>
      <c r="BG885" t="s">
        <v>74</v>
      </c>
      <c r="BH885" t="s">
        <v>74</v>
      </c>
      <c r="BI885">
        <v>4</v>
      </c>
      <c r="BJ885" t="s">
        <v>102</v>
      </c>
      <c r="BK885" t="s">
        <v>101</v>
      </c>
      <c r="BL885" t="s">
        <v>102</v>
      </c>
      <c r="BM885" t="s">
        <v>16376</v>
      </c>
      <c r="BN885" t="s">
        <v>74</v>
      </c>
      <c r="BO885" t="s">
        <v>74</v>
      </c>
      <c r="BP885" t="s">
        <v>74</v>
      </c>
      <c r="BQ885" t="s">
        <v>74</v>
      </c>
      <c r="BR885" t="s">
        <v>105</v>
      </c>
      <c r="BS885" t="s">
        <v>16902</v>
      </c>
      <c r="BT885" t="str">
        <f>HYPERLINK("https%3A%2F%2Fwww.webofscience.com%2Fwos%2Fwoscc%2Ffull-record%2FWOS:000404104300023","View Full Record in Web of Science")</f>
        <v>View Full Record in Web of Science</v>
      </c>
    </row>
    <row r="886" spans="1:72" x14ac:dyDescent="0.15">
      <c r="A886" t="s">
        <v>72</v>
      </c>
      <c r="B886" t="s">
        <v>16903</v>
      </c>
      <c r="C886" t="s">
        <v>74</v>
      </c>
      <c r="D886" t="s">
        <v>74</v>
      </c>
      <c r="E886" t="s">
        <v>74</v>
      </c>
      <c r="F886" t="s">
        <v>16904</v>
      </c>
      <c r="G886" t="s">
        <v>74</v>
      </c>
      <c r="H886" t="s">
        <v>74</v>
      </c>
      <c r="I886" t="s">
        <v>16905</v>
      </c>
      <c r="J886" t="s">
        <v>5635</v>
      </c>
      <c r="K886" t="s">
        <v>74</v>
      </c>
      <c r="L886" t="s">
        <v>74</v>
      </c>
      <c r="M886" t="s">
        <v>78</v>
      </c>
      <c r="N886" t="s">
        <v>79</v>
      </c>
      <c r="O886" t="s">
        <v>74</v>
      </c>
      <c r="P886" t="s">
        <v>74</v>
      </c>
      <c r="Q886" t="s">
        <v>74</v>
      </c>
      <c r="R886" t="s">
        <v>74</v>
      </c>
      <c r="S886" t="s">
        <v>74</v>
      </c>
      <c r="T886" t="s">
        <v>74</v>
      </c>
      <c r="U886" t="s">
        <v>16906</v>
      </c>
      <c r="V886" t="s">
        <v>16907</v>
      </c>
      <c r="W886" t="s">
        <v>16908</v>
      </c>
      <c r="X886" t="s">
        <v>16909</v>
      </c>
      <c r="Y886" t="s">
        <v>16910</v>
      </c>
      <c r="Z886" t="s">
        <v>16911</v>
      </c>
      <c r="AA886" t="s">
        <v>16912</v>
      </c>
      <c r="AB886" t="s">
        <v>16913</v>
      </c>
      <c r="AC886" t="s">
        <v>16914</v>
      </c>
      <c r="AD886" t="s">
        <v>16915</v>
      </c>
      <c r="AE886" t="s">
        <v>16916</v>
      </c>
      <c r="AF886" t="s">
        <v>74</v>
      </c>
      <c r="AG886">
        <v>63</v>
      </c>
      <c r="AH886">
        <v>38</v>
      </c>
      <c r="AI886">
        <v>40</v>
      </c>
      <c r="AJ886">
        <v>1</v>
      </c>
      <c r="AK886">
        <v>51</v>
      </c>
      <c r="AL886" t="s">
        <v>91</v>
      </c>
      <c r="AM886" t="s">
        <v>92</v>
      </c>
      <c r="AN886" t="s">
        <v>93</v>
      </c>
      <c r="AO886" t="s">
        <v>5647</v>
      </c>
      <c r="AP886" t="s">
        <v>5648</v>
      </c>
      <c r="AQ886" t="s">
        <v>74</v>
      </c>
      <c r="AR886" t="s">
        <v>5649</v>
      </c>
      <c r="AS886" t="s">
        <v>5650</v>
      </c>
      <c r="AT886" t="s">
        <v>15076</v>
      </c>
      <c r="AU886">
        <v>2017</v>
      </c>
      <c r="AV886">
        <v>31</v>
      </c>
      <c r="AW886">
        <v>7</v>
      </c>
      <c r="AX886" t="s">
        <v>74</v>
      </c>
      <c r="AY886" t="s">
        <v>74</v>
      </c>
      <c r="AZ886" t="s">
        <v>74</v>
      </c>
      <c r="BA886" t="s">
        <v>74</v>
      </c>
      <c r="BB886">
        <v>1051</v>
      </c>
      <c r="BC886">
        <v>1065</v>
      </c>
      <c r="BD886" t="s">
        <v>74</v>
      </c>
      <c r="BE886" t="s">
        <v>16917</v>
      </c>
      <c r="BF886" t="str">
        <f>HYPERLINK("http://dx.doi.org/10.1002/2017GB005638","http://dx.doi.org/10.1002/2017GB005638")</f>
        <v>http://dx.doi.org/10.1002/2017GB005638</v>
      </c>
      <c r="BG886" t="s">
        <v>74</v>
      </c>
      <c r="BH886" t="s">
        <v>74</v>
      </c>
      <c r="BI886">
        <v>15</v>
      </c>
      <c r="BJ886" t="s">
        <v>2986</v>
      </c>
      <c r="BK886" t="s">
        <v>101</v>
      </c>
      <c r="BL886" t="s">
        <v>2987</v>
      </c>
      <c r="BM886" t="s">
        <v>16918</v>
      </c>
      <c r="BN886" t="s">
        <v>74</v>
      </c>
      <c r="BO886" t="s">
        <v>1639</v>
      </c>
      <c r="BP886" t="s">
        <v>74</v>
      </c>
      <c r="BQ886" t="s">
        <v>74</v>
      </c>
      <c r="BR886" t="s">
        <v>105</v>
      </c>
      <c r="BS886" t="s">
        <v>16919</v>
      </c>
      <c r="BT886" t="str">
        <f>HYPERLINK("https%3A%2F%2Fwww.webofscience.com%2Fwos%2Fwoscc%2Ffull-record%2FWOS:000407369600002","View Full Record in Web of Science")</f>
        <v>View Full Record in Web of Science</v>
      </c>
    </row>
    <row r="887" spans="1:72" x14ac:dyDescent="0.15">
      <c r="A887" t="s">
        <v>72</v>
      </c>
      <c r="B887" t="s">
        <v>16920</v>
      </c>
      <c r="C887" t="s">
        <v>74</v>
      </c>
      <c r="D887" t="s">
        <v>74</v>
      </c>
      <c r="E887" t="s">
        <v>74</v>
      </c>
      <c r="F887" t="s">
        <v>16921</v>
      </c>
      <c r="G887" t="s">
        <v>74</v>
      </c>
      <c r="H887" t="s">
        <v>74</v>
      </c>
      <c r="I887" t="s">
        <v>16922</v>
      </c>
      <c r="J887" t="s">
        <v>12771</v>
      </c>
      <c r="K887" t="s">
        <v>74</v>
      </c>
      <c r="L887" t="s">
        <v>74</v>
      </c>
      <c r="M887" t="s">
        <v>78</v>
      </c>
      <c r="N887" t="s">
        <v>79</v>
      </c>
      <c r="O887" t="s">
        <v>74</v>
      </c>
      <c r="P887" t="s">
        <v>74</v>
      </c>
      <c r="Q887" t="s">
        <v>74</v>
      </c>
      <c r="R887" t="s">
        <v>74</v>
      </c>
      <c r="S887" t="s">
        <v>74</v>
      </c>
      <c r="T887" t="s">
        <v>16923</v>
      </c>
      <c r="U887" t="s">
        <v>16924</v>
      </c>
      <c r="V887" t="s">
        <v>16925</v>
      </c>
      <c r="W887" t="s">
        <v>16926</v>
      </c>
      <c r="X887" t="s">
        <v>16927</v>
      </c>
      <c r="Y887" t="s">
        <v>16928</v>
      </c>
      <c r="Z887" t="s">
        <v>16929</v>
      </c>
      <c r="AA887" t="s">
        <v>16930</v>
      </c>
      <c r="AB887" t="s">
        <v>16931</v>
      </c>
      <c r="AC887" t="s">
        <v>16932</v>
      </c>
      <c r="AD887" t="s">
        <v>16933</v>
      </c>
      <c r="AE887" t="s">
        <v>16934</v>
      </c>
      <c r="AF887" t="s">
        <v>74</v>
      </c>
      <c r="AG887">
        <v>82</v>
      </c>
      <c r="AH887">
        <v>48</v>
      </c>
      <c r="AI887">
        <v>49</v>
      </c>
      <c r="AJ887">
        <v>7</v>
      </c>
      <c r="AK887">
        <v>85</v>
      </c>
      <c r="AL887" t="s">
        <v>1338</v>
      </c>
      <c r="AM887" t="s">
        <v>1339</v>
      </c>
      <c r="AN887" t="s">
        <v>1340</v>
      </c>
      <c r="AO887" t="s">
        <v>12784</v>
      </c>
      <c r="AP887" t="s">
        <v>12785</v>
      </c>
      <c r="AQ887" t="s">
        <v>74</v>
      </c>
      <c r="AR887" t="s">
        <v>12786</v>
      </c>
      <c r="AS887" t="s">
        <v>12787</v>
      </c>
      <c r="AT887" t="s">
        <v>15076</v>
      </c>
      <c r="AU887">
        <v>2017</v>
      </c>
      <c r="AV887">
        <v>23</v>
      </c>
      <c r="AW887">
        <v>7</v>
      </c>
      <c r="AX887" t="s">
        <v>74</v>
      </c>
      <c r="AY887" t="s">
        <v>74</v>
      </c>
      <c r="AZ887" t="s">
        <v>74</v>
      </c>
      <c r="BA887" t="s">
        <v>74</v>
      </c>
      <c r="BB887">
        <v>2602</v>
      </c>
      <c r="BC887">
        <v>2617</v>
      </c>
      <c r="BD887" t="s">
        <v>74</v>
      </c>
      <c r="BE887" t="s">
        <v>16935</v>
      </c>
      <c r="BF887" t="str">
        <f>HYPERLINK("http://dx.doi.org/10.1111/gcb.13586","http://dx.doi.org/10.1111/gcb.13586")</f>
        <v>http://dx.doi.org/10.1111/gcb.13586</v>
      </c>
      <c r="BG887" t="s">
        <v>74</v>
      </c>
      <c r="BH887" t="s">
        <v>74</v>
      </c>
      <c r="BI887">
        <v>16</v>
      </c>
      <c r="BJ887" t="s">
        <v>12039</v>
      </c>
      <c r="BK887" t="s">
        <v>101</v>
      </c>
      <c r="BL887" t="s">
        <v>2593</v>
      </c>
      <c r="BM887" t="s">
        <v>16936</v>
      </c>
      <c r="BN887">
        <v>27935174</v>
      </c>
      <c r="BO887" t="s">
        <v>10158</v>
      </c>
      <c r="BP887" t="s">
        <v>74</v>
      </c>
      <c r="BQ887" t="s">
        <v>74</v>
      </c>
      <c r="BR887" t="s">
        <v>105</v>
      </c>
      <c r="BS887" t="s">
        <v>16937</v>
      </c>
      <c r="BT887" t="str">
        <f>HYPERLINK("https%3A%2F%2Fwww.webofscience.com%2Fwos%2Fwoscc%2Ffull-record%2FWOS:000402514900008","View Full Record in Web of Science")</f>
        <v>View Full Record in Web of Science</v>
      </c>
    </row>
    <row r="888" spans="1:72" x14ac:dyDescent="0.15">
      <c r="A888" t="s">
        <v>72</v>
      </c>
      <c r="B888" t="s">
        <v>16938</v>
      </c>
      <c r="C888" t="s">
        <v>74</v>
      </c>
      <c r="D888" t="s">
        <v>74</v>
      </c>
      <c r="E888" t="s">
        <v>74</v>
      </c>
      <c r="F888" t="s">
        <v>16939</v>
      </c>
      <c r="G888" t="s">
        <v>74</v>
      </c>
      <c r="H888" t="s">
        <v>74</v>
      </c>
      <c r="I888" t="s">
        <v>16940</v>
      </c>
      <c r="J888" t="s">
        <v>12771</v>
      </c>
      <c r="K888" t="s">
        <v>74</v>
      </c>
      <c r="L888" t="s">
        <v>74</v>
      </c>
      <c r="M888" t="s">
        <v>78</v>
      </c>
      <c r="N888" t="s">
        <v>79</v>
      </c>
      <c r="O888" t="s">
        <v>74</v>
      </c>
      <c r="P888" t="s">
        <v>74</v>
      </c>
      <c r="Q888" t="s">
        <v>74</v>
      </c>
      <c r="R888" t="s">
        <v>74</v>
      </c>
      <c r="S888" t="s">
        <v>74</v>
      </c>
      <c r="T888" t="s">
        <v>16941</v>
      </c>
      <c r="U888" t="s">
        <v>16942</v>
      </c>
      <c r="V888" t="s">
        <v>16943</v>
      </c>
      <c r="W888" t="s">
        <v>16944</v>
      </c>
      <c r="X888" t="s">
        <v>3617</v>
      </c>
      <c r="Y888" t="s">
        <v>16945</v>
      </c>
      <c r="Z888" t="s">
        <v>16946</v>
      </c>
      <c r="AA888" t="s">
        <v>74</v>
      </c>
      <c r="AB888" t="s">
        <v>74</v>
      </c>
      <c r="AC888" t="s">
        <v>16947</v>
      </c>
      <c r="AD888" t="s">
        <v>4631</v>
      </c>
      <c r="AE888" t="s">
        <v>74</v>
      </c>
      <c r="AF888" t="s">
        <v>74</v>
      </c>
      <c r="AG888">
        <v>43</v>
      </c>
      <c r="AH888">
        <v>56</v>
      </c>
      <c r="AI888">
        <v>58</v>
      </c>
      <c r="AJ888">
        <v>2</v>
      </c>
      <c r="AK888">
        <v>45</v>
      </c>
      <c r="AL888" t="s">
        <v>1338</v>
      </c>
      <c r="AM888" t="s">
        <v>1339</v>
      </c>
      <c r="AN888" t="s">
        <v>1340</v>
      </c>
      <c r="AO888" t="s">
        <v>12784</v>
      </c>
      <c r="AP888" t="s">
        <v>12785</v>
      </c>
      <c r="AQ888" t="s">
        <v>74</v>
      </c>
      <c r="AR888" t="s">
        <v>12786</v>
      </c>
      <c r="AS888" t="s">
        <v>12787</v>
      </c>
      <c r="AT888" t="s">
        <v>15076</v>
      </c>
      <c r="AU888">
        <v>2017</v>
      </c>
      <c r="AV888">
        <v>23</v>
      </c>
      <c r="AW888">
        <v>7</v>
      </c>
      <c r="AX888" t="s">
        <v>74</v>
      </c>
      <c r="AY888" t="s">
        <v>74</v>
      </c>
      <c r="AZ888" t="s">
        <v>74</v>
      </c>
      <c r="BA888" t="s">
        <v>74</v>
      </c>
      <c r="BB888">
        <v>2649</v>
      </c>
      <c r="BC888">
        <v>2659</v>
      </c>
      <c r="BD888" t="s">
        <v>74</v>
      </c>
      <c r="BE888" t="s">
        <v>16948</v>
      </c>
      <c r="BF888" t="str">
        <f>HYPERLINK("http://dx.doi.org/10.1111/gcb.13523","http://dx.doi.org/10.1111/gcb.13523")</f>
        <v>http://dx.doi.org/10.1111/gcb.13523</v>
      </c>
      <c r="BG888" t="s">
        <v>74</v>
      </c>
      <c r="BH888" t="s">
        <v>74</v>
      </c>
      <c r="BI888">
        <v>11</v>
      </c>
      <c r="BJ888" t="s">
        <v>12039</v>
      </c>
      <c r="BK888" t="s">
        <v>101</v>
      </c>
      <c r="BL888" t="s">
        <v>2593</v>
      </c>
      <c r="BM888" t="s">
        <v>16936</v>
      </c>
      <c r="BN888">
        <v>27782359</v>
      </c>
      <c r="BO888" t="s">
        <v>5215</v>
      </c>
      <c r="BP888" t="s">
        <v>74</v>
      </c>
      <c r="BQ888" t="s">
        <v>74</v>
      </c>
      <c r="BR888" t="s">
        <v>105</v>
      </c>
      <c r="BS888" t="s">
        <v>16949</v>
      </c>
      <c r="BT888" t="str">
        <f>HYPERLINK("https%3A%2F%2Fwww.webofscience.com%2Fwos%2Fwoscc%2Ffull-record%2FWOS:000402514900012","View Full Record in Web of Science")</f>
        <v>View Full Record in Web of Science</v>
      </c>
    </row>
    <row r="889" spans="1:72" x14ac:dyDescent="0.15">
      <c r="A889" t="s">
        <v>72</v>
      </c>
      <c r="B889" t="s">
        <v>16950</v>
      </c>
      <c r="C889" t="s">
        <v>74</v>
      </c>
      <c r="D889" t="s">
        <v>74</v>
      </c>
      <c r="E889" t="s">
        <v>74</v>
      </c>
      <c r="F889" t="s">
        <v>16951</v>
      </c>
      <c r="G889" t="s">
        <v>74</v>
      </c>
      <c r="H889" t="s">
        <v>74</v>
      </c>
      <c r="I889" t="s">
        <v>16952</v>
      </c>
      <c r="J889" t="s">
        <v>16953</v>
      </c>
      <c r="K889" t="s">
        <v>74</v>
      </c>
      <c r="L889" t="s">
        <v>74</v>
      </c>
      <c r="M889" t="s">
        <v>78</v>
      </c>
      <c r="N889" t="s">
        <v>79</v>
      </c>
      <c r="O889" t="s">
        <v>74</v>
      </c>
      <c r="P889" t="s">
        <v>74</v>
      </c>
      <c r="Q889" t="s">
        <v>74</v>
      </c>
      <c r="R889" t="s">
        <v>74</v>
      </c>
      <c r="S889" t="s">
        <v>74</v>
      </c>
      <c r="T889" t="s">
        <v>16954</v>
      </c>
      <c r="U889" t="s">
        <v>16955</v>
      </c>
      <c r="V889" t="s">
        <v>16956</v>
      </c>
      <c r="W889" t="s">
        <v>16957</v>
      </c>
      <c r="X889" t="s">
        <v>16958</v>
      </c>
      <c r="Y889" t="s">
        <v>16959</v>
      </c>
      <c r="Z889" t="s">
        <v>16960</v>
      </c>
      <c r="AA889" t="s">
        <v>16961</v>
      </c>
      <c r="AB889" t="s">
        <v>16962</v>
      </c>
      <c r="AC889" t="s">
        <v>16963</v>
      </c>
      <c r="AD889" t="s">
        <v>16963</v>
      </c>
      <c r="AE889" t="s">
        <v>16964</v>
      </c>
      <c r="AF889" t="s">
        <v>74</v>
      </c>
      <c r="AG889">
        <v>15</v>
      </c>
      <c r="AH889">
        <v>2</v>
      </c>
      <c r="AI889">
        <v>2</v>
      </c>
      <c r="AJ889">
        <v>1</v>
      </c>
      <c r="AK889">
        <v>4</v>
      </c>
      <c r="AL889" t="s">
        <v>11816</v>
      </c>
      <c r="AM889" t="s">
        <v>182</v>
      </c>
      <c r="AN889" t="s">
        <v>11817</v>
      </c>
      <c r="AO889" t="s">
        <v>16965</v>
      </c>
      <c r="AP889" t="s">
        <v>16966</v>
      </c>
      <c r="AQ889" t="s">
        <v>74</v>
      </c>
      <c r="AR889" t="s">
        <v>16967</v>
      </c>
      <c r="AS889" t="s">
        <v>16968</v>
      </c>
      <c r="AT889" t="s">
        <v>15076</v>
      </c>
      <c r="AU889">
        <v>2017</v>
      </c>
      <c r="AV889" t="s">
        <v>74</v>
      </c>
      <c r="AW889">
        <v>7</v>
      </c>
      <c r="AX889" t="s">
        <v>74</v>
      </c>
      <c r="AY889" t="s">
        <v>74</v>
      </c>
      <c r="AZ889" t="s">
        <v>74</v>
      </c>
      <c r="BA889" t="s">
        <v>74</v>
      </c>
      <c r="BB889">
        <v>390</v>
      </c>
      <c r="BC889">
        <v>391</v>
      </c>
      <c r="BD889" t="s">
        <v>74</v>
      </c>
      <c r="BE889" t="s">
        <v>16969</v>
      </c>
      <c r="BF889" t="str">
        <f>HYPERLINK("http://dx.doi.org/10.3184/174751917X14967701766996","http://dx.doi.org/10.3184/174751917X14967701766996")</f>
        <v>http://dx.doi.org/10.3184/174751917X14967701766996</v>
      </c>
      <c r="BG889" t="s">
        <v>74</v>
      </c>
      <c r="BH889" t="s">
        <v>74</v>
      </c>
      <c r="BI889">
        <v>2</v>
      </c>
      <c r="BJ889" t="s">
        <v>5240</v>
      </c>
      <c r="BK889" t="s">
        <v>12930</v>
      </c>
      <c r="BL889" t="s">
        <v>218</v>
      </c>
      <c r="BM889" t="s">
        <v>16970</v>
      </c>
      <c r="BN889" t="s">
        <v>74</v>
      </c>
      <c r="BO889" t="s">
        <v>74</v>
      </c>
      <c r="BP889" t="s">
        <v>74</v>
      </c>
      <c r="BQ889" t="s">
        <v>74</v>
      </c>
      <c r="BR889" t="s">
        <v>105</v>
      </c>
      <c r="BS889" t="s">
        <v>16971</v>
      </c>
      <c r="BT889" t="str">
        <f>HYPERLINK("https%3A%2F%2Fwww.webofscience.com%2Fwos%2Fwoscc%2Ffull-record%2FWOS:000416045400005","View Full Record in Web of Science")</f>
        <v>View Full Record in Web of Science</v>
      </c>
    </row>
    <row r="890" spans="1:72" x14ac:dyDescent="0.15">
      <c r="A890" t="s">
        <v>72</v>
      </c>
      <c r="B890" t="s">
        <v>16972</v>
      </c>
      <c r="C890" t="s">
        <v>74</v>
      </c>
      <c r="D890" t="s">
        <v>74</v>
      </c>
      <c r="E890" t="s">
        <v>74</v>
      </c>
      <c r="F890" t="s">
        <v>16973</v>
      </c>
      <c r="G890" t="s">
        <v>74</v>
      </c>
      <c r="H890" t="s">
        <v>74</v>
      </c>
      <c r="I890" t="s">
        <v>16974</v>
      </c>
      <c r="J890" t="s">
        <v>11178</v>
      </c>
      <c r="K890" t="s">
        <v>74</v>
      </c>
      <c r="L890" t="s">
        <v>74</v>
      </c>
      <c r="M890" t="s">
        <v>78</v>
      </c>
      <c r="N890" t="s">
        <v>79</v>
      </c>
      <c r="O890" t="s">
        <v>74</v>
      </c>
      <c r="P890" t="s">
        <v>74</v>
      </c>
      <c r="Q890" t="s">
        <v>74</v>
      </c>
      <c r="R890" t="s">
        <v>74</v>
      </c>
      <c r="S890" t="s">
        <v>74</v>
      </c>
      <c r="T890" t="s">
        <v>16975</v>
      </c>
      <c r="U890" t="s">
        <v>16976</v>
      </c>
      <c r="V890" t="s">
        <v>16977</v>
      </c>
      <c r="W890" t="s">
        <v>16978</v>
      </c>
      <c r="X890" t="s">
        <v>16979</v>
      </c>
      <c r="Y890" t="s">
        <v>16980</v>
      </c>
      <c r="Z890" t="s">
        <v>16981</v>
      </c>
      <c r="AA890" t="s">
        <v>16982</v>
      </c>
      <c r="AB890" t="s">
        <v>16983</v>
      </c>
      <c r="AC890" t="s">
        <v>16984</v>
      </c>
      <c r="AD890" t="s">
        <v>16984</v>
      </c>
      <c r="AE890" t="s">
        <v>16985</v>
      </c>
      <c r="AF890" t="s">
        <v>74</v>
      </c>
      <c r="AG890">
        <v>60</v>
      </c>
      <c r="AH890">
        <v>3</v>
      </c>
      <c r="AI890">
        <v>3</v>
      </c>
      <c r="AJ890">
        <v>0</v>
      </c>
      <c r="AK890">
        <v>7</v>
      </c>
      <c r="AL890" t="s">
        <v>9442</v>
      </c>
      <c r="AM890" t="s">
        <v>9443</v>
      </c>
      <c r="AN890" t="s">
        <v>9444</v>
      </c>
      <c r="AO890" t="s">
        <v>16986</v>
      </c>
      <c r="AP890" t="s">
        <v>11190</v>
      </c>
      <c r="AQ890" t="s">
        <v>74</v>
      </c>
      <c r="AR890" t="s">
        <v>11191</v>
      </c>
      <c r="AS890" t="s">
        <v>11192</v>
      </c>
      <c r="AT890" t="s">
        <v>15076</v>
      </c>
      <c r="AU890">
        <v>2017</v>
      </c>
      <c r="AV890">
        <v>126</v>
      </c>
      <c r="AW890">
        <v>5</v>
      </c>
      <c r="AX890" t="s">
        <v>74</v>
      </c>
      <c r="AY890" t="s">
        <v>74</v>
      </c>
      <c r="AZ890" t="s">
        <v>74</v>
      </c>
      <c r="BA890" t="s">
        <v>74</v>
      </c>
      <c r="BB890" t="s">
        <v>74</v>
      </c>
      <c r="BC890" t="s">
        <v>74</v>
      </c>
      <c r="BD890">
        <v>70</v>
      </c>
      <c r="BE890" t="s">
        <v>16987</v>
      </c>
      <c r="BF890" t="str">
        <f>HYPERLINK("http://dx.doi.org/10.1007/s12040-017-0848-5","http://dx.doi.org/10.1007/s12040-017-0848-5")</f>
        <v>http://dx.doi.org/10.1007/s12040-017-0848-5</v>
      </c>
      <c r="BG890" t="s">
        <v>74</v>
      </c>
      <c r="BH890" t="s">
        <v>74</v>
      </c>
      <c r="BI890">
        <v>16</v>
      </c>
      <c r="BJ890" t="s">
        <v>11194</v>
      </c>
      <c r="BK890" t="s">
        <v>101</v>
      </c>
      <c r="BL890" t="s">
        <v>11195</v>
      </c>
      <c r="BM890" t="s">
        <v>16988</v>
      </c>
      <c r="BN890" t="s">
        <v>74</v>
      </c>
      <c r="BO890" t="s">
        <v>104</v>
      </c>
      <c r="BP890" t="s">
        <v>74</v>
      </c>
      <c r="BQ890" t="s">
        <v>74</v>
      </c>
      <c r="BR890" t="s">
        <v>105</v>
      </c>
      <c r="BS890" t="s">
        <v>16989</v>
      </c>
      <c r="BT890" t="str">
        <f>HYPERLINK("https%3A%2F%2Fwww.webofscience.com%2Fwos%2Fwoscc%2Ffull-record%2FWOS:000408632600009","View Full Record in Web of Science")</f>
        <v>View Full Record in Web of Science</v>
      </c>
    </row>
    <row r="891" spans="1:72" x14ac:dyDescent="0.15">
      <c r="A891" t="s">
        <v>72</v>
      </c>
      <c r="B891" t="s">
        <v>16990</v>
      </c>
      <c r="C891" t="s">
        <v>74</v>
      </c>
      <c r="D891" t="s">
        <v>74</v>
      </c>
      <c r="E891" t="s">
        <v>74</v>
      </c>
      <c r="F891" t="s">
        <v>16991</v>
      </c>
      <c r="G891" t="s">
        <v>74</v>
      </c>
      <c r="H891" t="s">
        <v>74</v>
      </c>
      <c r="I891" t="s">
        <v>16992</v>
      </c>
      <c r="J891" t="s">
        <v>1498</v>
      </c>
      <c r="K891" t="s">
        <v>74</v>
      </c>
      <c r="L891" t="s">
        <v>74</v>
      </c>
      <c r="M891" t="s">
        <v>78</v>
      </c>
      <c r="N891" t="s">
        <v>79</v>
      </c>
      <c r="O891" t="s">
        <v>74</v>
      </c>
      <c r="P891" t="s">
        <v>74</v>
      </c>
      <c r="Q891" t="s">
        <v>74</v>
      </c>
      <c r="R891" t="s">
        <v>74</v>
      </c>
      <c r="S891" t="s">
        <v>74</v>
      </c>
      <c r="T891" t="s">
        <v>16993</v>
      </c>
      <c r="U891" t="s">
        <v>16994</v>
      </c>
      <c r="V891" t="s">
        <v>16995</v>
      </c>
      <c r="W891" t="s">
        <v>16996</v>
      </c>
      <c r="X891" t="s">
        <v>16997</v>
      </c>
      <c r="Y891" t="s">
        <v>16998</v>
      </c>
      <c r="Z891" t="s">
        <v>16999</v>
      </c>
      <c r="AA891" t="s">
        <v>17000</v>
      </c>
      <c r="AB891" t="s">
        <v>17001</v>
      </c>
      <c r="AC891" t="s">
        <v>17002</v>
      </c>
      <c r="AD891" t="s">
        <v>17003</v>
      </c>
      <c r="AE891" t="s">
        <v>17004</v>
      </c>
      <c r="AF891" t="s">
        <v>74</v>
      </c>
      <c r="AG891">
        <v>74</v>
      </c>
      <c r="AH891">
        <v>29</v>
      </c>
      <c r="AI891">
        <v>30</v>
      </c>
      <c r="AJ891">
        <v>0</v>
      </c>
      <c r="AK891">
        <v>8</v>
      </c>
      <c r="AL891" t="s">
        <v>91</v>
      </c>
      <c r="AM891" t="s">
        <v>92</v>
      </c>
      <c r="AN891" t="s">
        <v>93</v>
      </c>
      <c r="AO891" t="s">
        <v>1511</v>
      </c>
      <c r="AP891" t="s">
        <v>1512</v>
      </c>
      <c r="AQ891" t="s">
        <v>74</v>
      </c>
      <c r="AR891" t="s">
        <v>1513</v>
      </c>
      <c r="AS891" t="s">
        <v>1514</v>
      </c>
      <c r="AT891" t="s">
        <v>15076</v>
      </c>
      <c r="AU891">
        <v>2017</v>
      </c>
      <c r="AV891">
        <v>122</v>
      </c>
      <c r="AW891">
        <v>7</v>
      </c>
      <c r="AX891" t="s">
        <v>74</v>
      </c>
      <c r="AY891" t="s">
        <v>74</v>
      </c>
      <c r="AZ891" t="s">
        <v>74</v>
      </c>
      <c r="BA891" t="s">
        <v>74</v>
      </c>
      <c r="BB891">
        <v>1355</v>
      </c>
      <c r="BC891">
        <v>1373</v>
      </c>
      <c r="BD891" t="s">
        <v>74</v>
      </c>
      <c r="BE891" t="s">
        <v>17005</v>
      </c>
      <c r="BF891" t="str">
        <f>HYPERLINK("http://dx.doi.org/10.1002/2016JF004154","http://dx.doi.org/10.1002/2016JF004154")</f>
        <v>http://dx.doi.org/10.1002/2016JF004154</v>
      </c>
      <c r="BG891" t="s">
        <v>74</v>
      </c>
      <c r="BH891" t="s">
        <v>74</v>
      </c>
      <c r="BI891">
        <v>19</v>
      </c>
      <c r="BJ891" t="s">
        <v>100</v>
      </c>
      <c r="BK891" t="s">
        <v>101</v>
      </c>
      <c r="BL891" t="s">
        <v>102</v>
      </c>
      <c r="BM891" t="s">
        <v>17006</v>
      </c>
      <c r="BN891" t="s">
        <v>74</v>
      </c>
      <c r="BO891" t="s">
        <v>351</v>
      </c>
      <c r="BP891" t="s">
        <v>74</v>
      </c>
      <c r="BQ891" t="s">
        <v>74</v>
      </c>
      <c r="BR891" t="s">
        <v>105</v>
      </c>
      <c r="BS891" t="s">
        <v>17007</v>
      </c>
      <c r="BT891" t="str">
        <f>HYPERLINK("https%3A%2F%2Fwww.webofscience.com%2Fwos%2Fwoscc%2Ffull-record%2FWOS:000407564700004","View Full Record in Web of Science")</f>
        <v>View Full Record in Web of Science</v>
      </c>
    </row>
    <row r="892" spans="1:72" x14ac:dyDescent="0.15">
      <c r="A892" t="s">
        <v>72</v>
      </c>
      <c r="B892" t="s">
        <v>17008</v>
      </c>
      <c r="C892" t="s">
        <v>74</v>
      </c>
      <c r="D892" t="s">
        <v>74</v>
      </c>
      <c r="E892" t="s">
        <v>74</v>
      </c>
      <c r="F892" t="s">
        <v>17009</v>
      </c>
      <c r="G892" t="s">
        <v>74</v>
      </c>
      <c r="H892" t="s">
        <v>74</v>
      </c>
      <c r="I892" t="s">
        <v>17010</v>
      </c>
      <c r="J892" t="s">
        <v>1221</v>
      </c>
      <c r="K892" t="s">
        <v>74</v>
      </c>
      <c r="L892" t="s">
        <v>74</v>
      </c>
      <c r="M892" t="s">
        <v>78</v>
      </c>
      <c r="N892" t="s">
        <v>79</v>
      </c>
      <c r="O892" t="s">
        <v>74</v>
      </c>
      <c r="P892" t="s">
        <v>74</v>
      </c>
      <c r="Q892" t="s">
        <v>74</v>
      </c>
      <c r="R892" t="s">
        <v>74</v>
      </c>
      <c r="S892" t="s">
        <v>74</v>
      </c>
      <c r="T892" t="s">
        <v>74</v>
      </c>
      <c r="U892" t="s">
        <v>17011</v>
      </c>
      <c r="V892" t="s">
        <v>17012</v>
      </c>
      <c r="W892" t="s">
        <v>17013</v>
      </c>
      <c r="X892" t="s">
        <v>17014</v>
      </c>
      <c r="Y892" t="s">
        <v>17015</v>
      </c>
      <c r="Z892" t="s">
        <v>17016</v>
      </c>
      <c r="AA892" t="s">
        <v>17017</v>
      </c>
      <c r="AB892" t="s">
        <v>17018</v>
      </c>
      <c r="AC892" t="s">
        <v>17019</v>
      </c>
      <c r="AD892" t="s">
        <v>17020</v>
      </c>
      <c r="AE892" t="s">
        <v>17021</v>
      </c>
      <c r="AF892" t="s">
        <v>74</v>
      </c>
      <c r="AG892">
        <v>45</v>
      </c>
      <c r="AH892">
        <v>15</v>
      </c>
      <c r="AI892">
        <v>17</v>
      </c>
      <c r="AJ892">
        <v>0</v>
      </c>
      <c r="AK892">
        <v>1</v>
      </c>
      <c r="AL892" t="s">
        <v>91</v>
      </c>
      <c r="AM892" t="s">
        <v>92</v>
      </c>
      <c r="AN892" t="s">
        <v>93</v>
      </c>
      <c r="AO892" t="s">
        <v>1233</v>
      </c>
      <c r="AP892" t="s">
        <v>1234</v>
      </c>
      <c r="AQ892" t="s">
        <v>74</v>
      </c>
      <c r="AR892" t="s">
        <v>1235</v>
      </c>
      <c r="AS892" t="s">
        <v>1236</v>
      </c>
      <c r="AT892" t="s">
        <v>15076</v>
      </c>
      <c r="AU892">
        <v>2017</v>
      </c>
      <c r="AV892">
        <v>122</v>
      </c>
      <c r="AW892">
        <v>7</v>
      </c>
      <c r="AX892" t="s">
        <v>74</v>
      </c>
      <c r="AY892" t="s">
        <v>74</v>
      </c>
      <c r="AZ892" t="s">
        <v>74</v>
      </c>
      <c r="BA892" t="s">
        <v>74</v>
      </c>
      <c r="BB892">
        <v>7130</v>
      </c>
      <c r="BC892">
        <v>7141</v>
      </c>
      <c r="BD892" t="s">
        <v>74</v>
      </c>
      <c r="BE892" t="s">
        <v>17022</v>
      </c>
      <c r="BF892" t="str">
        <f>HYPERLINK("http://dx.doi.org/10.1002/2017JA024140","http://dx.doi.org/10.1002/2017JA024140")</f>
        <v>http://dx.doi.org/10.1002/2017JA024140</v>
      </c>
      <c r="BG892" t="s">
        <v>74</v>
      </c>
      <c r="BH892" t="s">
        <v>74</v>
      </c>
      <c r="BI892">
        <v>12</v>
      </c>
      <c r="BJ892" t="s">
        <v>349</v>
      </c>
      <c r="BK892" t="s">
        <v>101</v>
      </c>
      <c r="BL892" t="s">
        <v>349</v>
      </c>
      <c r="BM892" t="s">
        <v>15736</v>
      </c>
      <c r="BN892" t="s">
        <v>74</v>
      </c>
      <c r="BO892" t="s">
        <v>1170</v>
      </c>
      <c r="BP892" t="s">
        <v>74</v>
      </c>
      <c r="BQ892" t="s">
        <v>74</v>
      </c>
      <c r="BR892" t="s">
        <v>105</v>
      </c>
      <c r="BS892" t="s">
        <v>17023</v>
      </c>
      <c r="BT892" t="str">
        <f>HYPERLINK("https%3A%2F%2Fwww.webofscience.com%2Fwos%2Fwoscc%2Ffull-record%2FWOS:000407627100015","View Full Record in Web of Science")</f>
        <v>View Full Record in Web of Science</v>
      </c>
    </row>
    <row r="893" spans="1:72" x14ac:dyDescent="0.15">
      <c r="A893" t="s">
        <v>72</v>
      </c>
      <c r="B893" t="s">
        <v>17024</v>
      </c>
      <c r="C893" t="s">
        <v>74</v>
      </c>
      <c r="D893" t="s">
        <v>74</v>
      </c>
      <c r="E893" t="s">
        <v>74</v>
      </c>
      <c r="F893" t="s">
        <v>17025</v>
      </c>
      <c r="G893" t="s">
        <v>74</v>
      </c>
      <c r="H893" t="s">
        <v>74</v>
      </c>
      <c r="I893" t="s">
        <v>17026</v>
      </c>
      <c r="J893" t="s">
        <v>1221</v>
      </c>
      <c r="K893" t="s">
        <v>74</v>
      </c>
      <c r="L893" t="s">
        <v>74</v>
      </c>
      <c r="M893" t="s">
        <v>78</v>
      </c>
      <c r="N893" t="s">
        <v>79</v>
      </c>
      <c r="O893" t="s">
        <v>74</v>
      </c>
      <c r="P893" t="s">
        <v>74</v>
      </c>
      <c r="Q893" t="s">
        <v>74</v>
      </c>
      <c r="R893" t="s">
        <v>74</v>
      </c>
      <c r="S893" t="s">
        <v>74</v>
      </c>
      <c r="T893" t="s">
        <v>74</v>
      </c>
      <c r="U893" t="s">
        <v>17027</v>
      </c>
      <c r="V893" t="s">
        <v>17028</v>
      </c>
      <c r="W893" t="s">
        <v>17029</v>
      </c>
      <c r="X893" t="s">
        <v>17030</v>
      </c>
      <c r="Y893" t="s">
        <v>17031</v>
      </c>
      <c r="Z893" t="s">
        <v>17032</v>
      </c>
      <c r="AA893" t="s">
        <v>17033</v>
      </c>
      <c r="AB893" t="s">
        <v>17034</v>
      </c>
      <c r="AC893" t="s">
        <v>17035</v>
      </c>
      <c r="AD893" t="s">
        <v>17036</v>
      </c>
      <c r="AE893" t="s">
        <v>17037</v>
      </c>
      <c r="AF893" t="s">
        <v>74</v>
      </c>
      <c r="AG893">
        <v>77</v>
      </c>
      <c r="AH893">
        <v>7</v>
      </c>
      <c r="AI893">
        <v>9</v>
      </c>
      <c r="AJ893">
        <v>1</v>
      </c>
      <c r="AK893">
        <v>8</v>
      </c>
      <c r="AL893" t="s">
        <v>91</v>
      </c>
      <c r="AM893" t="s">
        <v>92</v>
      </c>
      <c r="AN893" t="s">
        <v>93</v>
      </c>
      <c r="AO893" t="s">
        <v>1233</v>
      </c>
      <c r="AP893" t="s">
        <v>1234</v>
      </c>
      <c r="AQ893" t="s">
        <v>74</v>
      </c>
      <c r="AR893" t="s">
        <v>1235</v>
      </c>
      <c r="AS893" t="s">
        <v>1236</v>
      </c>
      <c r="AT893" t="s">
        <v>15076</v>
      </c>
      <c r="AU893">
        <v>2017</v>
      </c>
      <c r="AV893">
        <v>122</v>
      </c>
      <c r="AW893">
        <v>7</v>
      </c>
      <c r="AX893" t="s">
        <v>74</v>
      </c>
      <c r="AY893" t="s">
        <v>74</v>
      </c>
      <c r="AZ893" t="s">
        <v>74</v>
      </c>
      <c r="BA893" t="s">
        <v>74</v>
      </c>
      <c r="BB893">
        <v>7336</v>
      </c>
      <c r="BC893">
        <v>7352</v>
      </c>
      <c r="BD893" t="s">
        <v>74</v>
      </c>
      <c r="BE893" t="s">
        <v>17038</v>
      </c>
      <c r="BF893" t="str">
        <f>HYPERLINK("http://dx.doi.org/10.1002/2017JA024108","http://dx.doi.org/10.1002/2017JA024108")</f>
        <v>http://dx.doi.org/10.1002/2017JA024108</v>
      </c>
      <c r="BG893" t="s">
        <v>74</v>
      </c>
      <c r="BH893" t="s">
        <v>74</v>
      </c>
      <c r="BI893">
        <v>17</v>
      </c>
      <c r="BJ893" t="s">
        <v>349</v>
      </c>
      <c r="BK893" t="s">
        <v>101</v>
      </c>
      <c r="BL893" t="s">
        <v>349</v>
      </c>
      <c r="BM893" t="s">
        <v>15736</v>
      </c>
      <c r="BN893" t="s">
        <v>74</v>
      </c>
      <c r="BO893" t="s">
        <v>1691</v>
      </c>
      <c r="BP893" t="s">
        <v>74</v>
      </c>
      <c r="BQ893" t="s">
        <v>74</v>
      </c>
      <c r="BR893" t="s">
        <v>105</v>
      </c>
      <c r="BS893" t="s">
        <v>17039</v>
      </c>
      <c r="BT893" t="str">
        <f>HYPERLINK("https%3A%2F%2Fwww.webofscience.com%2Fwos%2Fwoscc%2Ffull-record%2FWOS:000407627100029","View Full Record in Web of Science")</f>
        <v>View Full Record in Web of Science</v>
      </c>
    </row>
    <row r="894" spans="1:72" x14ac:dyDescent="0.15">
      <c r="A894" t="s">
        <v>72</v>
      </c>
      <c r="B894" t="s">
        <v>17040</v>
      </c>
      <c r="C894" t="s">
        <v>74</v>
      </c>
      <c r="D894" t="s">
        <v>74</v>
      </c>
      <c r="E894" t="s">
        <v>74</v>
      </c>
      <c r="F894" t="s">
        <v>17041</v>
      </c>
      <c r="G894" t="s">
        <v>74</v>
      </c>
      <c r="H894" t="s">
        <v>74</v>
      </c>
      <c r="I894" t="s">
        <v>17042</v>
      </c>
      <c r="J894" t="s">
        <v>17043</v>
      </c>
      <c r="K894" t="s">
        <v>74</v>
      </c>
      <c r="L894" t="s">
        <v>74</v>
      </c>
      <c r="M894" t="s">
        <v>78</v>
      </c>
      <c r="N894" t="s">
        <v>79</v>
      </c>
      <c r="O894" t="s">
        <v>74</v>
      </c>
      <c r="P894" t="s">
        <v>74</v>
      </c>
      <c r="Q894" t="s">
        <v>74</v>
      </c>
      <c r="R894" t="s">
        <v>74</v>
      </c>
      <c r="S894" t="s">
        <v>74</v>
      </c>
      <c r="T894" t="s">
        <v>17044</v>
      </c>
      <c r="U894" t="s">
        <v>17045</v>
      </c>
      <c r="V894" t="s">
        <v>17046</v>
      </c>
      <c r="W894" t="s">
        <v>17047</v>
      </c>
      <c r="X894" t="s">
        <v>17048</v>
      </c>
      <c r="Y894" t="s">
        <v>17049</v>
      </c>
      <c r="Z894" t="s">
        <v>17050</v>
      </c>
      <c r="AA894" t="s">
        <v>74</v>
      </c>
      <c r="AB894" t="s">
        <v>74</v>
      </c>
      <c r="AC894" t="s">
        <v>17051</v>
      </c>
      <c r="AD894" t="s">
        <v>17051</v>
      </c>
      <c r="AE894" t="s">
        <v>17052</v>
      </c>
      <c r="AF894" t="s">
        <v>74</v>
      </c>
      <c r="AG894">
        <v>30</v>
      </c>
      <c r="AH894">
        <v>2</v>
      </c>
      <c r="AI894">
        <v>2</v>
      </c>
      <c r="AJ894">
        <v>0</v>
      </c>
      <c r="AK894">
        <v>5</v>
      </c>
      <c r="AL894" t="s">
        <v>17053</v>
      </c>
      <c r="AM894" t="s">
        <v>17054</v>
      </c>
      <c r="AN894" t="s">
        <v>17055</v>
      </c>
      <c r="AO894" t="s">
        <v>17056</v>
      </c>
      <c r="AP894" t="s">
        <v>17057</v>
      </c>
      <c r="AQ894" t="s">
        <v>74</v>
      </c>
      <c r="AR894" t="s">
        <v>17058</v>
      </c>
      <c r="AS894" t="s">
        <v>17059</v>
      </c>
      <c r="AT894" t="s">
        <v>15076</v>
      </c>
      <c r="AU894">
        <v>2017</v>
      </c>
      <c r="AV894">
        <v>75</v>
      </c>
      <c r="AW894">
        <v>4</v>
      </c>
      <c r="AX894" t="s">
        <v>74</v>
      </c>
      <c r="AY894" t="s">
        <v>74</v>
      </c>
      <c r="AZ894" t="s">
        <v>74</v>
      </c>
      <c r="BA894" t="s">
        <v>74</v>
      </c>
      <c r="BB894">
        <v>507</v>
      </c>
      <c r="BC894">
        <v>529</v>
      </c>
      <c r="BD894" t="s">
        <v>74</v>
      </c>
      <c r="BE894" t="s">
        <v>74</v>
      </c>
      <c r="BF894" t="s">
        <v>74</v>
      </c>
      <c r="BG894" t="s">
        <v>74</v>
      </c>
      <c r="BH894" t="s">
        <v>74</v>
      </c>
      <c r="BI894">
        <v>23</v>
      </c>
      <c r="BJ894" t="s">
        <v>1459</v>
      </c>
      <c r="BK894" t="s">
        <v>101</v>
      </c>
      <c r="BL894" t="s">
        <v>1459</v>
      </c>
      <c r="BM894" t="s">
        <v>17060</v>
      </c>
      <c r="BN894" t="s">
        <v>74</v>
      </c>
      <c r="BO894" t="s">
        <v>74</v>
      </c>
      <c r="BP894" t="s">
        <v>74</v>
      </c>
      <c r="BQ894" t="s">
        <v>74</v>
      </c>
      <c r="BR894" t="s">
        <v>105</v>
      </c>
      <c r="BS894" t="s">
        <v>17061</v>
      </c>
      <c r="BT894" t="str">
        <f>HYPERLINK("https%3A%2F%2Fwww.webofscience.com%2Fwos%2Fwoscc%2Ffull-record%2FWOS:000413829500001","View Full Record in Web of Science")</f>
        <v>View Full Record in Web of Science</v>
      </c>
    </row>
    <row r="895" spans="1:72" x14ac:dyDescent="0.15">
      <c r="A895" t="s">
        <v>72</v>
      </c>
      <c r="B895" t="s">
        <v>17062</v>
      </c>
      <c r="C895" t="s">
        <v>74</v>
      </c>
      <c r="D895" t="s">
        <v>74</v>
      </c>
      <c r="E895" t="s">
        <v>74</v>
      </c>
      <c r="F895" t="s">
        <v>17063</v>
      </c>
      <c r="G895" t="s">
        <v>74</v>
      </c>
      <c r="H895" t="s">
        <v>74</v>
      </c>
      <c r="I895" t="s">
        <v>17064</v>
      </c>
      <c r="J895" t="s">
        <v>1562</v>
      </c>
      <c r="K895" t="s">
        <v>74</v>
      </c>
      <c r="L895" t="s">
        <v>74</v>
      </c>
      <c r="M895" t="s">
        <v>78</v>
      </c>
      <c r="N895" t="s">
        <v>79</v>
      </c>
      <c r="O895" t="s">
        <v>74</v>
      </c>
      <c r="P895" t="s">
        <v>74</v>
      </c>
      <c r="Q895" t="s">
        <v>74</v>
      </c>
      <c r="R895" t="s">
        <v>74</v>
      </c>
      <c r="S895" t="s">
        <v>74</v>
      </c>
      <c r="T895" t="s">
        <v>74</v>
      </c>
      <c r="U895" t="s">
        <v>17065</v>
      </c>
      <c r="V895" t="s">
        <v>17066</v>
      </c>
      <c r="W895" t="s">
        <v>17067</v>
      </c>
      <c r="X895" t="s">
        <v>17068</v>
      </c>
      <c r="Y895" t="s">
        <v>17069</v>
      </c>
      <c r="Z895" t="s">
        <v>17070</v>
      </c>
      <c r="AA895" t="s">
        <v>17071</v>
      </c>
      <c r="AB895" t="s">
        <v>17072</v>
      </c>
      <c r="AC895" t="s">
        <v>17073</v>
      </c>
      <c r="AD895" t="s">
        <v>17074</v>
      </c>
      <c r="AE895" t="s">
        <v>17075</v>
      </c>
      <c r="AF895" t="s">
        <v>74</v>
      </c>
      <c r="AG895">
        <v>56</v>
      </c>
      <c r="AH895">
        <v>10</v>
      </c>
      <c r="AI895">
        <v>10</v>
      </c>
      <c r="AJ895">
        <v>0</v>
      </c>
      <c r="AK895">
        <v>11</v>
      </c>
      <c r="AL895" t="s">
        <v>1366</v>
      </c>
      <c r="AM895" t="s">
        <v>1367</v>
      </c>
      <c r="AN895" t="s">
        <v>1368</v>
      </c>
      <c r="AO895" t="s">
        <v>1575</v>
      </c>
      <c r="AP895" t="s">
        <v>1576</v>
      </c>
      <c r="AQ895" t="s">
        <v>74</v>
      </c>
      <c r="AR895" t="s">
        <v>1577</v>
      </c>
      <c r="AS895" t="s">
        <v>1578</v>
      </c>
      <c r="AT895" t="s">
        <v>15076</v>
      </c>
      <c r="AU895">
        <v>2017</v>
      </c>
      <c r="AV895">
        <v>47</v>
      </c>
      <c r="AW895">
        <v>7</v>
      </c>
      <c r="AX895" t="s">
        <v>74</v>
      </c>
      <c r="AY895" t="s">
        <v>74</v>
      </c>
      <c r="AZ895" t="s">
        <v>74</v>
      </c>
      <c r="BA895" t="s">
        <v>74</v>
      </c>
      <c r="BB895">
        <v>1569</v>
      </c>
      <c r="BC895">
        <v>1586</v>
      </c>
      <c r="BD895" t="s">
        <v>74</v>
      </c>
      <c r="BE895" t="s">
        <v>17076</v>
      </c>
      <c r="BF895" t="str">
        <f>HYPERLINK("http://dx.doi.org/10.1175/JPO-D-16-0182.1","http://dx.doi.org/10.1175/JPO-D-16-0182.1")</f>
        <v>http://dx.doi.org/10.1175/JPO-D-16-0182.1</v>
      </c>
      <c r="BG895" t="s">
        <v>74</v>
      </c>
      <c r="BH895" t="s">
        <v>74</v>
      </c>
      <c r="BI895">
        <v>18</v>
      </c>
      <c r="BJ895" t="s">
        <v>1459</v>
      </c>
      <c r="BK895" t="s">
        <v>101</v>
      </c>
      <c r="BL895" t="s">
        <v>1459</v>
      </c>
      <c r="BM895" t="s">
        <v>15218</v>
      </c>
      <c r="BN895" t="s">
        <v>74</v>
      </c>
      <c r="BO895" t="s">
        <v>13341</v>
      </c>
      <c r="BP895" t="s">
        <v>74</v>
      </c>
      <c r="BQ895" t="s">
        <v>74</v>
      </c>
      <c r="BR895" t="s">
        <v>105</v>
      </c>
      <c r="BS895" t="s">
        <v>17077</v>
      </c>
      <c r="BT895" t="str">
        <f>HYPERLINK("https%3A%2F%2Fwww.webofscience.com%2Fwos%2Fwoscc%2Ffull-record%2FWOS:000405111400004","View Full Record in Web of Science")</f>
        <v>View Full Record in Web of Science</v>
      </c>
    </row>
    <row r="896" spans="1:72" x14ac:dyDescent="0.15">
      <c r="A896" t="s">
        <v>72</v>
      </c>
      <c r="B896" t="s">
        <v>17078</v>
      </c>
      <c r="C896" t="s">
        <v>74</v>
      </c>
      <c r="D896" t="s">
        <v>74</v>
      </c>
      <c r="E896" t="s">
        <v>74</v>
      </c>
      <c r="F896" t="s">
        <v>17079</v>
      </c>
      <c r="G896" t="s">
        <v>74</v>
      </c>
      <c r="H896" t="s">
        <v>74</v>
      </c>
      <c r="I896" t="s">
        <v>17080</v>
      </c>
      <c r="J896" t="s">
        <v>1562</v>
      </c>
      <c r="K896" t="s">
        <v>74</v>
      </c>
      <c r="L896" t="s">
        <v>74</v>
      </c>
      <c r="M896" t="s">
        <v>78</v>
      </c>
      <c r="N896" t="s">
        <v>79</v>
      </c>
      <c r="O896" t="s">
        <v>74</v>
      </c>
      <c r="P896" t="s">
        <v>74</v>
      </c>
      <c r="Q896" t="s">
        <v>74</v>
      </c>
      <c r="R896" t="s">
        <v>74</v>
      </c>
      <c r="S896" t="s">
        <v>74</v>
      </c>
      <c r="T896" t="s">
        <v>74</v>
      </c>
      <c r="U896" t="s">
        <v>17081</v>
      </c>
      <c r="V896" t="s">
        <v>17082</v>
      </c>
      <c r="W896" t="s">
        <v>17083</v>
      </c>
      <c r="X896" t="s">
        <v>17084</v>
      </c>
      <c r="Y896" t="s">
        <v>17085</v>
      </c>
      <c r="Z896" t="s">
        <v>17086</v>
      </c>
      <c r="AA896" t="s">
        <v>17087</v>
      </c>
      <c r="AB896" t="s">
        <v>17088</v>
      </c>
      <c r="AC896" t="s">
        <v>17089</v>
      </c>
      <c r="AD896" t="s">
        <v>17090</v>
      </c>
      <c r="AE896" t="s">
        <v>17091</v>
      </c>
      <c r="AF896" t="s">
        <v>74</v>
      </c>
      <c r="AG896">
        <v>40</v>
      </c>
      <c r="AH896">
        <v>45</v>
      </c>
      <c r="AI896">
        <v>48</v>
      </c>
      <c r="AJ896">
        <v>1</v>
      </c>
      <c r="AK896">
        <v>24</v>
      </c>
      <c r="AL896" t="s">
        <v>1366</v>
      </c>
      <c r="AM896" t="s">
        <v>1367</v>
      </c>
      <c r="AN896" t="s">
        <v>1368</v>
      </c>
      <c r="AO896" t="s">
        <v>1575</v>
      </c>
      <c r="AP896" t="s">
        <v>1576</v>
      </c>
      <c r="AQ896" t="s">
        <v>74</v>
      </c>
      <c r="AR896" t="s">
        <v>1577</v>
      </c>
      <c r="AS896" t="s">
        <v>1578</v>
      </c>
      <c r="AT896" t="s">
        <v>15076</v>
      </c>
      <c r="AU896">
        <v>2017</v>
      </c>
      <c r="AV896">
        <v>47</v>
      </c>
      <c r="AW896">
        <v>7</v>
      </c>
      <c r="AX896" t="s">
        <v>74</v>
      </c>
      <c r="AY896" t="s">
        <v>74</v>
      </c>
      <c r="AZ896" t="s">
        <v>74</v>
      </c>
      <c r="BA896" t="s">
        <v>74</v>
      </c>
      <c r="BB896">
        <v>1737</v>
      </c>
      <c r="BC896">
        <v>1753</v>
      </c>
      <c r="BD896" t="s">
        <v>74</v>
      </c>
      <c r="BE896" t="s">
        <v>17092</v>
      </c>
      <c r="BF896" t="str">
        <f>HYPERLINK("http://dx.doi.org/10.1175/JPO-D-16-0266.1","http://dx.doi.org/10.1175/JPO-D-16-0266.1")</f>
        <v>http://dx.doi.org/10.1175/JPO-D-16-0266.1</v>
      </c>
      <c r="BG896" t="s">
        <v>74</v>
      </c>
      <c r="BH896" t="s">
        <v>74</v>
      </c>
      <c r="BI896">
        <v>17</v>
      </c>
      <c r="BJ896" t="s">
        <v>1459</v>
      </c>
      <c r="BK896" t="s">
        <v>101</v>
      </c>
      <c r="BL896" t="s">
        <v>1459</v>
      </c>
      <c r="BM896" t="s">
        <v>15218</v>
      </c>
      <c r="BN896" t="s">
        <v>74</v>
      </c>
      <c r="BO896" t="s">
        <v>1375</v>
      </c>
      <c r="BP896" t="s">
        <v>74</v>
      </c>
      <c r="BQ896" t="s">
        <v>74</v>
      </c>
      <c r="BR896" t="s">
        <v>105</v>
      </c>
      <c r="BS896" t="s">
        <v>17093</v>
      </c>
      <c r="BT896" t="str">
        <f>HYPERLINK("https%3A%2F%2Fwww.webofscience.com%2Fwos%2Fwoscc%2Ffull-record%2FWOS:000405111400014","View Full Record in Web of Science")</f>
        <v>View Full Record in Web of Science</v>
      </c>
    </row>
    <row r="897" spans="1:72" x14ac:dyDescent="0.15">
      <c r="A897" t="s">
        <v>72</v>
      </c>
      <c r="B897" t="s">
        <v>17094</v>
      </c>
      <c r="C897" t="s">
        <v>74</v>
      </c>
      <c r="D897" t="s">
        <v>74</v>
      </c>
      <c r="E897" t="s">
        <v>74</v>
      </c>
      <c r="F897" t="s">
        <v>17095</v>
      </c>
      <c r="G897" t="s">
        <v>74</v>
      </c>
      <c r="H897" t="s">
        <v>74</v>
      </c>
      <c r="I897" t="s">
        <v>17096</v>
      </c>
      <c r="J897" t="s">
        <v>1562</v>
      </c>
      <c r="K897" t="s">
        <v>74</v>
      </c>
      <c r="L897" t="s">
        <v>74</v>
      </c>
      <c r="M897" t="s">
        <v>78</v>
      </c>
      <c r="N897" t="s">
        <v>79</v>
      </c>
      <c r="O897" t="s">
        <v>74</v>
      </c>
      <c r="P897" t="s">
        <v>74</v>
      </c>
      <c r="Q897" t="s">
        <v>74</v>
      </c>
      <c r="R897" t="s">
        <v>74</v>
      </c>
      <c r="S897" t="s">
        <v>74</v>
      </c>
      <c r="T897" t="s">
        <v>74</v>
      </c>
      <c r="U897" t="s">
        <v>17097</v>
      </c>
      <c r="V897" t="s">
        <v>17098</v>
      </c>
      <c r="W897" t="s">
        <v>17099</v>
      </c>
      <c r="X897" t="s">
        <v>17100</v>
      </c>
      <c r="Y897" t="s">
        <v>17101</v>
      </c>
      <c r="Z897" t="s">
        <v>17102</v>
      </c>
      <c r="AA897" t="s">
        <v>17103</v>
      </c>
      <c r="AB897" t="s">
        <v>17104</v>
      </c>
      <c r="AC897" t="s">
        <v>17105</v>
      </c>
      <c r="AD897" t="s">
        <v>17106</v>
      </c>
      <c r="AE897" t="s">
        <v>17107</v>
      </c>
      <c r="AF897" t="s">
        <v>74</v>
      </c>
      <c r="AG897">
        <v>15</v>
      </c>
      <c r="AH897">
        <v>9</v>
      </c>
      <c r="AI897">
        <v>9</v>
      </c>
      <c r="AJ897">
        <v>0</v>
      </c>
      <c r="AK897">
        <v>11</v>
      </c>
      <c r="AL897" t="s">
        <v>1366</v>
      </c>
      <c r="AM897" t="s">
        <v>1367</v>
      </c>
      <c r="AN897" t="s">
        <v>1368</v>
      </c>
      <c r="AO897" t="s">
        <v>1575</v>
      </c>
      <c r="AP897" t="s">
        <v>1576</v>
      </c>
      <c r="AQ897" t="s">
        <v>74</v>
      </c>
      <c r="AR897" t="s">
        <v>1577</v>
      </c>
      <c r="AS897" t="s">
        <v>1578</v>
      </c>
      <c r="AT897" t="s">
        <v>15076</v>
      </c>
      <c r="AU897">
        <v>2017</v>
      </c>
      <c r="AV897">
        <v>47</v>
      </c>
      <c r="AW897">
        <v>7</v>
      </c>
      <c r="AX897" t="s">
        <v>74</v>
      </c>
      <c r="AY897" t="s">
        <v>74</v>
      </c>
      <c r="AZ897" t="s">
        <v>74</v>
      </c>
      <c r="BA897" t="s">
        <v>74</v>
      </c>
      <c r="BB897">
        <v>1775</v>
      </c>
      <c r="BC897">
        <v>1787</v>
      </c>
      <c r="BD897" t="s">
        <v>74</v>
      </c>
      <c r="BE897" t="s">
        <v>17108</v>
      </c>
      <c r="BF897" t="str">
        <f>HYPERLINK("http://dx.doi.org/10.1175/JPO-D-17-0025.1","http://dx.doi.org/10.1175/JPO-D-17-0025.1")</f>
        <v>http://dx.doi.org/10.1175/JPO-D-17-0025.1</v>
      </c>
      <c r="BG897" t="s">
        <v>74</v>
      </c>
      <c r="BH897" t="s">
        <v>74</v>
      </c>
      <c r="BI897">
        <v>13</v>
      </c>
      <c r="BJ897" t="s">
        <v>1459</v>
      </c>
      <c r="BK897" t="s">
        <v>101</v>
      </c>
      <c r="BL897" t="s">
        <v>1459</v>
      </c>
      <c r="BM897" t="s">
        <v>15218</v>
      </c>
      <c r="BN897" t="s">
        <v>74</v>
      </c>
      <c r="BO897" t="s">
        <v>511</v>
      </c>
      <c r="BP897" t="s">
        <v>74</v>
      </c>
      <c r="BQ897" t="s">
        <v>74</v>
      </c>
      <c r="BR897" t="s">
        <v>105</v>
      </c>
      <c r="BS897" t="s">
        <v>17109</v>
      </c>
      <c r="BT897" t="str">
        <f>HYPERLINK("https%3A%2F%2Fwww.webofscience.com%2Fwos%2Fwoscc%2Ffull-record%2FWOS:000405111400016","View Full Record in Web of Science")</f>
        <v>View Full Record in Web of Science</v>
      </c>
    </row>
    <row r="898" spans="1:72" x14ac:dyDescent="0.15">
      <c r="A898" t="s">
        <v>72</v>
      </c>
      <c r="B898" t="s">
        <v>17110</v>
      </c>
      <c r="C898" t="s">
        <v>74</v>
      </c>
      <c r="D898" t="s">
        <v>74</v>
      </c>
      <c r="E898" t="s">
        <v>74</v>
      </c>
      <c r="F898" t="s">
        <v>17111</v>
      </c>
      <c r="G898" t="s">
        <v>74</v>
      </c>
      <c r="H898" t="s">
        <v>74</v>
      </c>
      <c r="I898" t="s">
        <v>17112</v>
      </c>
      <c r="J898" t="s">
        <v>6232</v>
      </c>
      <c r="K898" t="s">
        <v>74</v>
      </c>
      <c r="L898" t="s">
        <v>74</v>
      </c>
      <c r="M898" t="s">
        <v>78</v>
      </c>
      <c r="N898" t="s">
        <v>79</v>
      </c>
      <c r="O898" t="s">
        <v>74</v>
      </c>
      <c r="P898" t="s">
        <v>74</v>
      </c>
      <c r="Q898" t="s">
        <v>74</v>
      </c>
      <c r="R898" t="s">
        <v>74</v>
      </c>
      <c r="S898" t="s">
        <v>74</v>
      </c>
      <c r="T898" t="s">
        <v>17113</v>
      </c>
      <c r="U898" t="s">
        <v>17114</v>
      </c>
      <c r="V898" t="s">
        <v>17115</v>
      </c>
      <c r="W898" t="s">
        <v>17116</v>
      </c>
      <c r="X898" t="s">
        <v>17117</v>
      </c>
      <c r="Y898" t="s">
        <v>17118</v>
      </c>
      <c r="Z898" t="s">
        <v>17119</v>
      </c>
      <c r="AA898" t="s">
        <v>17120</v>
      </c>
      <c r="AB898" t="s">
        <v>17121</v>
      </c>
      <c r="AC898" t="s">
        <v>17122</v>
      </c>
      <c r="AD898" t="s">
        <v>5783</v>
      </c>
      <c r="AE898" t="s">
        <v>17123</v>
      </c>
      <c r="AF898" t="s">
        <v>74</v>
      </c>
      <c r="AG898">
        <v>85</v>
      </c>
      <c r="AH898">
        <v>29</v>
      </c>
      <c r="AI898">
        <v>31</v>
      </c>
      <c r="AJ898">
        <v>0</v>
      </c>
      <c r="AK898">
        <v>12</v>
      </c>
      <c r="AL898" t="s">
        <v>5918</v>
      </c>
      <c r="AM898" t="s">
        <v>729</v>
      </c>
      <c r="AN898" t="s">
        <v>5919</v>
      </c>
      <c r="AO898" t="s">
        <v>6245</v>
      </c>
      <c r="AP898" t="s">
        <v>6246</v>
      </c>
      <c r="AQ898" t="s">
        <v>74</v>
      </c>
      <c r="AR898" t="s">
        <v>6247</v>
      </c>
      <c r="AS898" t="s">
        <v>6248</v>
      </c>
      <c r="AT898" t="s">
        <v>15830</v>
      </c>
      <c r="AU898">
        <v>2017</v>
      </c>
      <c r="AV898">
        <v>39</v>
      </c>
      <c r="AW898">
        <v>4</v>
      </c>
      <c r="AX898" t="s">
        <v>74</v>
      </c>
      <c r="AY898" t="s">
        <v>74</v>
      </c>
      <c r="AZ898" t="s">
        <v>74</v>
      </c>
      <c r="BA898" t="s">
        <v>74</v>
      </c>
      <c r="BB898">
        <v>600</v>
      </c>
      <c r="BC898">
        <v>617</v>
      </c>
      <c r="BD898" t="s">
        <v>74</v>
      </c>
      <c r="BE898" t="s">
        <v>17124</v>
      </c>
      <c r="BF898" t="str">
        <f>HYPERLINK("http://dx.doi.org/10.1093/plankt/fbx031","http://dx.doi.org/10.1093/plankt/fbx031")</f>
        <v>http://dx.doi.org/10.1093/plankt/fbx031</v>
      </c>
      <c r="BG898" t="s">
        <v>74</v>
      </c>
      <c r="BH898" t="s">
        <v>74</v>
      </c>
      <c r="BI898">
        <v>18</v>
      </c>
      <c r="BJ898" t="s">
        <v>2296</v>
      </c>
      <c r="BK898" t="s">
        <v>101</v>
      </c>
      <c r="BL898" t="s">
        <v>2296</v>
      </c>
      <c r="BM898" t="s">
        <v>17125</v>
      </c>
      <c r="BN898" t="s">
        <v>74</v>
      </c>
      <c r="BO898" t="s">
        <v>104</v>
      </c>
      <c r="BP898" t="s">
        <v>74</v>
      </c>
      <c r="BQ898" t="s">
        <v>74</v>
      </c>
      <c r="BR898" t="s">
        <v>105</v>
      </c>
      <c r="BS898" t="s">
        <v>17126</v>
      </c>
      <c r="BT898" t="str">
        <f>HYPERLINK("https%3A%2F%2Fwww.webofscience.com%2Fwos%2Fwoscc%2Ffull-record%2FWOS:000407029600002","View Full Record in Web of Science")</f>
        <v>View Full Record in Web of Science</v>
      </c>
    </row>
    <row r="899" spans="1:72" x14ac:dyDescent="0.15">
      <c r="A899" t="s">
        <v>72</v>
      </c>
      <c r="B899" t="s">
        <v>17127</v>
      </c>
      <c r="C899" t="s">
        <v>74</v>
      </c>
      <c r="D899" t="s">
        <v>74</v>
      </c>
      <c r="E899" t="s">
        <v>74</v>
      </c>
      <c r="F899" t="s">
        <v>17128</v>
      </c>
      <c r="G899" t="s">
        <v>74</v>
      </c>
      <c r="H899" t="s">
        <v>74</v>
      </c>
      <c r="I899" t="s">
        <v>17129</v>
      </c>
      <c r="J899" t="s">
        <v>17130</v>
      </c>
      <c r="K899" t="s">
        <v>74</v>
      </c>
      <c r="L899" t="s">
        <v>74</v>
      </c>
      <c r="M899" t="s">
        <v>78</v>
      </c>
      <c r="N899" t="s">
        <v>79</v>
      </c>
      <c r="O899" t="s">
        <v>74</v>
      </c>
      <c r="P899" t="s">
        <v>74</v>
      </c>
      <c r="Q899" t="s">
        <v>74</v>
      </c>
      <c r="R899" t="s">
        <v>74</v>
      </c>
      <c r="S899" t="s">
        <v>74</v>
      </c>
      <c r="T899" t="s">
        <v>17131</v>
      </c>
      <c r="U899" t="s">
        <v>17132</v>
      </c>
      <c r="V899" t="s">
        <v>17133</v>
      </c>
      <c r="W899" t="s">
        <v>17134</v>
      </c>
      <c r="X899" t="s">
        <v>17135</v>
      </c>
      <c r="Y899" t="s">
        <v>17136</v>
      </c>
      <c r="Z899" t="s">
        <v>17137</v>
      </c>
      <c r="AA899" t="s">
        <v>17138</v>
      </c>
      <c r="AB899" t="s">
        <v>17139</v>
      </c>
      <c r="AC899" t="s">
        <v>17140</v>
      </c>
      <c r="AD899" t="s">
        <v>17141</v>
      </c>
      <c r="AE899" t="s">
        <v>17142</v>
      </c>
      <c r="AF899" t="s">
        <v>74</v>
      </c>
      <c r="AG899">
        <v>44</v>
      </c>
      <c r="AH899">
        <v>18</v>
      </c>
      <c r="AI899">
        <v>19</v>
      </c>
      <c r="AJ899">
        <v>3</v>
      </c>
      <c r="AK899">
        <v>35</v>
      </c>
      <c r="AL899" t="s">
        <v>1981</v>
      </c>
      <c r="AM899" t="s">
        <v>729</v>
      </c>
      <c r="AN899" t="s">
        <v>1982</v>
      </c>
      <c r="AO899" t="s">
        <v>17143</v>
      </c>
      <c r="AP899" t="s">
        <v>74</v>
      </c>
      <c r="AQ899" t="s">
        <v>74</v>
      </c>
      <c r="AR899" t="s">
        <v>17144</v>
      </c>
      <c r="AS899" t="s">
        <v>17145</v>
      </c>
      <c r="AT899" t="s">
        <v>15076</v>
      </c>
      <c r="AU899">
        <v>2017</v>
      </c>
      <c r="AV899">
        <v>171</v>
      </c>
      <c r="AW899" t="s">
        <v>74</v>
      </c>
      <c r="AX899" t="s">
        <v>74</v>
      </c>
      <c r="AY899" t="s">
        <v>74</v>
      </c>
      <c r="AZ899" t="s">
        <v>74</v>
      </c>
      <c r="BA899" t="s">
        <v>74</v>
      </c>
      <c r="BB899">
        <v>262</v>
      </c>
      <c r="BC899">
        <v>269</v>
      </c>
      <c r="BD899" t="s">
        <v>74</v>
      </c>
      <c r="BE899" t="s">
        <v>17146</v>
      </c>
      <c r="BF899" t="str">
        <f>HYPERLINK("http://dx.doi.org/10.1016/j.jsbmb.2017.04.007","http://dx.doi.org/10.1016/j.jsbmb.2017.04.007")</f>
        <v>http://dx.doi.org/10.1016/j.jsbmb.2017.04.007</v>
      </c>
      <c r="BG899" t="s">
        <v>74</v>
      </c>
      <c r="BH899" t="s">
        <v>74</v>
      </c>
      <c r="BI899">
        <v>8</v>
      </c>
      <c r="BJ899" t="s">
        <v>17147</v>
      </c>
      <c r="BK899" t="s">
        <v>101</v>
      </c>
      <c r="BL899" t="s">
        <v>17147</v>
      </c>
      <c r="BM899" t="s">
        <v>17148</v>
      </c>
      <c r="BN899">
        <v>28428023</v>
      </c>
      <c r="BO899" t="s">
        <v>74</v>
      </c>
      <c r="BP899" t="s">
        <v>74</v>
      </c>
      <c r="BQ899" t="s">
        <v>74</v>
      </c>
      <c r="BR899" t="s">
        <v>105</v>
      </c>
      <c r="BS899" t="s">
        <v>17149</v>
      </c>
      <c r="BT899" t="str">
        <f>HYPERLINK("https%3A%2F%2Fwww.webofscience.com%2Fwos%2Fwoscc%2Ffull-record%2FWOS:000403735700026","View Full Record in Web of Science")</f>
        <v>View Full Record in Web of Science</v>
      </c>
    </row>
    <row r="900" spans="1:72" x14ac:dyDescent="0.15">
      <c r="A900" t="s">
        <v>72</v>
      </c>
      <c r="B900" t="s">
        <v>17150</v>
      </c>
      <c r="C900" t="s">
        <v>74</v>
      </c>
      <c r="D900" t="s">
        <v>74</v>
      </c>
      <c r="E900" t="s">
        <v>74</v>
      </c>
      <c r="F900" t="s">
        <v>17151</v>
      </c>
      <c r="G900" t="s">
        <v>74</v>
      </c>
      <c r="H900" t="s">
        <v>74</v>
      </c>
      <c r="I900" t="s">
        <v>17152</v>
      </c>
      <c r="J900" t="s">
        <v>17153</v>
      </c>
      <c r="K900" t="s">
        <v>74</v>
      </c>
      <c r="L900" t="s">
        <v>74</v>
      </c>
      <c r="M900" t="s">
        <v>78</v>
      </c>
      <c r="N900" t="s">
        <v>79</v>
      </c>
      <c r="O900" t="s">
        <v>74</v>
      </c>
      <c r="P900" t="s">
        <v>74</v>
      </c>
      <c r="Q900" t="s">
        <v>74</v>
      </c>
      <c r="R900" t="s">
        <v>74</v>
      </c>
      <c r="S900" t="s">
        <v>74</v>
      </c>
      <c r="T900" t="s">
        <v>74</v>
      </c>
      <c r="U900" t="s">
        <v>17154</v>
      </c>
      <c r="V900" t="s">
        <v>17155</v>
      </c>
      <c r="W900" t="s">
        <v>17156</v>
      </c>
      <c r="X900" t="s">
        <v>17157</v>
      </c>
      <c r="Y900" t="s">
        <v>17158</v>
      </c>
      <c r="Z900" t="s">
        <v>17159</v>
      </c>
      <c r="AA900" t="s">
        <v>17160</v>
      </c>
      <c r="AB900" t="s">
        <v>17161</v>
      </c>
      <c r="AC900" t="s">
        <v>17162</v>
      </c>
      <c r="AD900" t="s">
        <v>17163</v>
      </c>
      <c r="AE900" t="s">
        <v>17164</v>
      </c>
      <c r="AF900" t="s">
        <v>74</v>
      </c>
      <c r="AG900">
        <v>76</v>
      </c>
      <c r="AH900">
        <v>38</v>
      </c>
      <c r="AI900">
        <v>43</v>
      </c>
      <c r="AJ900">
        <v>4</v>
      </c>
      <c r="AK900">
        <v>46</v>
      </c>
      <c r="AL900" t="s">
        <v>1338</v>
      </c>
      <c r="AM900" t="s">
        <v>1339</v>
      </c>
      <c r="AN900" t="s">
        <v>1340</v>
      </c>
      <c r="AO900" t="s">
        <v>17165</v>
      </c>
      <c r="AP900" t="s">
        <v>17166</v>
      </c>
      <c r="AQ900" t="s">
        <v>74</v>
      </c>
      <c r="AR900" t="s">
        <v>17167</v>
      </c>
      <c r="AS900" t="s">
        <v>17168</v>
      </c>
      <c r="AT900" t="s">
        <v>15076</v>
      </c>
      <c r="AU900">
        <v>2017</v>
      </c>
      <c r="AV900">
        <v>62</v>
      </c>
      <c r="AW900">
        <v>4</v>
      </c>
      <c r="AX900" t="s">
        <v>74</v>
      </c>
      <c r="AY900" t="s">
        <v>74</v>
      </c>
      <c r="AZ900" t="s">
        <v>74</v>
      </c>
      <c r="BA900" t="s">
        <v>74</v>
      </c>
      <c r="BB900">
        <v>1586</v>
      </c>
      <c r="BC900">
        <v>1605</v>
      </c>
      <c r="BD900" t="s">
        <v>74</v>
      </c>
      <c r="BE900" t="s">
        <v>17169</v>
      </c>
      <c r="BF900" t="str">
        <f>HYPERLINK("http://dx.doi.org/10.1002/lno.10519","http://dx.doi.org/10.1002/lno.10519")</f>
        <v>http://dx.doi.org/10.1002/lno.10519</v>
      </c>
      <c r="BG900" t="s">
        <v>74</v>
      </c>
      <c r="BH900" t="s">
        <v>74</v>
      </c>
      <c r="BI900">
        <v>20</v>
      </c>
      <c r="BJ900" t="s">
        <v>17170</v>
      </c>
      <c r="BK900" t="s">
        <v>101</v>
      </c>
      <c r="BL900" t="s">
        <v>2296</v>
      </c>
      <c r="BM900" t="s">
        <v>17171</v>
      </c>
      <c r="BN900" t="s">
        <v>74</v>
      </c>
      <c r="BO900" t="s">
        <v>1639</v>
      </c>
      <c r="BP900" t="s">
        <v>74</v>
      </c>
      <c r="BQ900" t="s">
        <v>74</v>
      </c>
      <c r="BR900" t="s">
        <v>105</v>
      </c>
      <c r="BS900" t="s">
        <v>17172</v>
      </c>
      <c r="BT900" t="str">
        <f>HYPERLINK("https%3A%2F%2Fwww.webofscience.com%2Fwos%2Fwoscc%2Ffull-record%2FWOS:000404993100019","View Full Record in Web of Science")</f>
        <v>View Full Record in Web of Science</v>
      </c>
    </row>
    <row r="901" spans="1:72" x14ac:dyDescent="0.15">
      <c r="A901" t="s">
        <v>72</v>
      </c>
      <c r="B901" t="s">
        <v>17173</v>
      </c>
      <c r="C901" t="s">
        <v>74</v>
      </c>
      <c r="D901" t="s">
        <v>74</v>
      </c>
      <c r="E901" t="s">
        <v>74</v>
      </c>
      <c r="F901" t="s">
        <v>17174</v>
      </c>
      <c r="G901" t="s">
        <v>74</v>
      </c>
      <c r="H901" t="s">
        <v>74</v>
      </c>
      <c r="I901" t="s">
        <v>17175</v>
      </c>
      <c r="J901" t="s">
        <v>17176</v>
      </c>
      <c r="K901" t="s">
        <v>74</v>
      </c>
      <c r="L901" t="s">
        <v>74</v>
      </c>
      <c r="M901" t="s">
        <v>78</v>
      </c>
      <c r="N901" t="s">
        <v>79</v>
      </c>
      <c r="O901" t="s">
        <v>74</v>
      </c>
      <c r="P901" t="s">
        <v>74</v>
      </c>
      <c r="Q901" t="s">
        <v>74</v>
      </c>
      <c r="R901" t="s">
        <v>74</v>
      </c>
      <c r="S901" t="s">
        <v>74</v>
      </c>
      <c r="T901" t="s">
        <v>17177</v>
      </c>
      <c r="U901" t="s">
        <v>17178</v>
      </c>
      <c r="V901" t="s">
        <v>17179</v>
      </c>
      <c r="W901" t="s">
        <v>17180</v>
      </c>
      <c r="X901" t="s">
        <v>16408</v>
      </c>
      <c r="Y901" t="s">
        <v>17181</v>
      </c>
      <c r="Z901" t="s">
        <v>17182</v>
      </c>
      <c r="AA901" t="s">
        <v>17183</v>
      </c>
      <c r="AB901" t="s">
        <v>17184</v>
      </c>
      <c r="AC901" t="s">
        <v>17185</v>
      </c>
      <c r="AD901" t="s">
        <v>7459</v>
      </c>
      <c r="AE901" t="s">
        <v>17186</v>
      </c>
      <c r="AF901" t="s">
        <v>74</v>
      </c>
      <c r="AG901">
        <v>42</v>
      </c>
      <c r="AH901">
        <v>14</v>
      </c>
      <c r="AI901">
        <v>15</v>
      </c>
      <c r="AJ901">
        <v>0</v>
      </c>
      <c r="AK901">
        <v>10</v>
      </c>
      <c r="AL901" t="s">
        <v>371</v>
      </c>
      <c r="AM901" t="s">
        <v>372</v>
      </c>
      <c r="AN901" t="s">
        <v>373</v>
      </c>
      <c r="AO901" t="s">
        <v>17187</v>
      </c>
      <c r="AP901" t="s">
        <v>17188</v>
      </c>
      <c r="AQ901" t="s">
        <v>74</v>
      </c>
      <c r="AR901" t="s">
        <v>17176</v>
      </c>
      <c r="AS901" t="s">
        <v>17189</v>
      </c>
      <c r="AT901" t="s">
        <v>15076</v>
      </c>
      <c r="AU901">
        <v>2017</v>
      </c>
      <c r="AV901">
        <v>284</v>
      </c>
      <c r="AW901" t="s">
        <v>74</v>
      </c>
      <c r="AX901" t="s">
        <v>74</v>
      </c>
      <c r="AY901" t="s">
        <v>74</v>
      </c>
      <c r="AZ901" t="s">
        <v>74</v>
      </c>
      <c r="BA901" t="s">
        <v>74</v>
      </c>
      <c r="BB901">
        <v>625</v>
      </c>
      <c r="BC901">
        <v>641</v>
      </c>
      <c r="BD901" t="s">
        <v>74</v>
      </c>
      <c r="BE901" t="s">
        <v>17190</v>
      </c>
      <c r="BF901" t="str">
        <f>HYPERLINK("http://dx.doi.org/10.1016/j.lithos.2017.04.016","http://dx.doi.org/10.1016/j.lithos.2017.04.016")</f>
        <v>http://dx.doi.org/10.1016/j.lithos.2017.04.016</v>
      </c>
      <c r="BG901" t="s">
        <v>74</v>
      </c>
      <c r="BH901" t="s">
        <v>74</v>
      </c>
      <c r="BI901">
        <v>17</v>
      </c>
      <c r="BJ901" t="s">
        <v>13380</v>
      </c>
      <c r="BK901" t="s">
        <v>101</v>
      </c>
      <c r="BL901" t="s">
        <v>13380</v>
      </c>
      <c r="BM901" t="s">
        <v>17191</v>
      </c>
      <c r="BN901" t="s">
        <v>74</v>
      </c>
      <c r="BO901" t="s">
        <v>74</v>
      </c>
      <c r="BP901" t="s">
        <v>74</v>
      </c>
      <c r="BQ901" t="s">
        <v>74</v>
      </c>
      <c r="BR901" t="s">
        <v>105</v>
      </c>
      <c r="BS901" t="s">
        <v>17192</v>
      </c>
      <c r="BT901" t="str">
        <f>HYPERLINK("https%3A%2F%2Fwww.webofscience.com%2Fwos%2Fwoscc%2Ffull-record%2FWOS:000405252300040","View Full Record in Web of Science")</f>
        <v>View Full Record in Web of Science</v>
      </c>
    </row>
    <row r="902" spans="1:72" x14ac:dyDescent="0.15">
      <c r="A902" t="s">
        <v>72</v>
      </c>
      <c r="B902" t="s">
        <v>17193</v>
      </c>
      <c r="C902" t="s">
        <v>74</v>
      </c>
      <c r="D902" t="s">
        <v>74</v>
      </c>
      <c r="E902" t="s">
        <v>74</v>
      </c>
      <c r="F902" t="s">
        <v>17194</v>
      </c>
      <c r="G902" t="s">
        <v>74</v>
      </c>
      <c r="H902" t="s">
        <v>74</v>
      </c>
      <c r="I902" t="s">
        <v>17195</v>
      </c>
      <c r="J902" t="s">
        <v>3472</v>
      </c>
      <c r="K902" t="s">
        <v>74</v>
      </c>
      <c r="L902" t="s">
        <v>74</v>
      </c>
      <c r="M902" t="s">
        <v>78</v>
      </c>
      <c r="N902" t="s">
        <v>273</v>
      </c>
      <c r="O902" t="s">
        <v>74</v>
      </c>
      <c r="P902" t="s">
        <v>74</v>
      </c>
      <c r="Q902" t="s">
        <v>74</v>
      </c>
      <c r="R902" t="s">
        <v>74</v>
      </c>
      <c r="S902" t="s">
        <v>74</v>
      </c>
      <c r="T902" t="s">
        <v>17196</v>
      </c>
      <c r="U902" t="s">
        <v>17197</v>
      </c>
      <c r="V902" t="s">
        <v>17198</v>
      </c>
      <c r="W902" t="s">
        <v>17199</v>
      </c>
      <c r="X902" t="s">
        <v>17200</v>
      </c>
      <c r="Y902" t="s">
        <v>17201</v>
      </c>
      <c r="Z902" t="s">
        <v>17202</v>
      </c>
      <c r="AA902" t="s">
        <v>17203</v>
      </c>
      <c r="AB902" t="s">
        <v>17204</v>
      </c>
      <c r="AC902" t="s">
        <v>17205</v>
      </c>
      <c r="AD902" t="s">
        <v>17206</v>
      </c>
      <c r="AE902" t="s">
        <v>17207</v>
      </c>
      <c r="AF902" t="s">
        <v>74</v>
      </c>
      <c r="AG902">
        <v>92</v>
      </c>
      <c r="AH902">
        <v>56</v>
      </c>
      <c r="AI902">
        <v>59</v>
      </c>
      <c r="AJ902">
        <v>4</v>
      </c>
      <c r="AK902">
        <v>85</v>
      </c>
      <c r="AL902" t="s">
        <v>3485</v>
      </c>
      <c r="AM902" t="s">
        <v>3486</v>
      </c>
      <c r="AN902" t="s">
        <v>3487</v>
      </c>
      <c r="AO902" t="s">
        <v>3488</v>
      </c>
      <c r="AP902" t="s">
        <v>74</v>
      </c>
      <c r="AQ902" t="s">
        <v>74</v>
      </c>
      <c r="AR902" t="s">
        <v>3489</v>
      </c>
      <c r="AS902" t="s">
        <v>3490</v>
      </c>
      <c r="AT902" t="s">
        <v>15076</v>
      </c>
      <c r="AU902">
        <v>2017</v>
      </c>
      <c r="AV902">
        <v>15</v>
      </c>
      <c r="AW902">
        <v>7</v>
      </c>
      <c r="AX902" t="s">
        <v>74</v>
      </c>
      <c r="AY902" t="s">
        <v>74</v>
      </c>
      <c r="AZ902" t="s">
        <v>74</v>
      </c>
      <c r="BA902" t="s">
        <v>74</v>
      </c>
      <c r="BB902" t="s">
        <v>74</v>
      </c>
      <c r="BC902" t="s">
        <v>74</v>
      </c>
      <c r="BD902">
        <v>233</v>
      </c>
      <c r="BE902" t="s">
        <v>17208</v>
      </c>
      <c r="BF902" t="str">
        <f>HYPERLINK("http://dx.doi.org/10.3390/md15070233","http://dx.doi.org/10.3390/md15070233")</f>
        <v>http://dx.doi.org/10.3390/md15070233</v>
      </c>
      <c r="BG902" t="s">
        <v>74</v>
      </c>
      <c r="BH902" t="s">
        <v>74</v>
      </c>
      <c r="BI902">
        <v>18</v>
      </c>
      <c r="BJ902" t="s">
        <v>3492</v>
      </c>
      <c r="BK902" t="s">
        <v>101</v>
      </c>
      <c r="BL902" t="s">
        <v>3493</v>
      </c>
      <c r="BM902" t="s">
        <v>17209</v>
      </c>
      <c r="BN902">
        <v>28737704</v>
      </c>
      <c r="BO902" t="s">
        <v>9587</v>
      </c>
      <c r="BP902" t="s">
        <v>74</v>
      </c>
      <c r="BQ902" t="s">
        <v>74</v>
      </c>
      <c r="BR902" t="s">
        <v>105</v>
      </c>
      <c r="BS902" t="s">
        <v>17210</v>
      </c>
      <c r="BT902" t="str">
        <f>HYPERLINK("https%3A%2F%2Fwww.webofscience.com%2Fwos%2Fwoscc%2Ffull-record%2FWOS:000406685900041","View Full Record in Web of Science")</f>
        <v>View Full Record in Web of Science</v>
      </c>
    </row>
    <row r="903" spans="1:72" x14ac:dyDescent="0.15">
      <c r="A903" t="s">
        <v>72</v>
      </c>
      <c r="B903" t="s">
        <v>17211</v>
      </c>
      <c r="C903" t="s">
        <v>74</v>
      </c>
      <c r="D903" t="s">
        <v>74</v>
      </c>
      <c r="E903" t="s">
        <v>74</v>
      </c>
      <c r="F903" t="s">
        <v>17212</v>
      </c>
      <c r="G903" t="s">
        <v>74</v>
      </c>
      <c r="H903" t="s">
        <v>74</v>
      </c>
      <c r="I903" t="s">
        <v>17213</v>
      </c>
      <c r="J903" t="s">
        <v>13075</v>
      </c>
      <c r="K903" t="s">
        <v>74</v>
      </c>
      <c r="L903" t="s">
        <v>74</v>
      </c>
      <c r="M903" t="s">
        <v>78</v>
      </c>
      <c r="N903" t="s">
        <v>79</v>
      </c>
      <c r="O903" t="s">
        <v>74</v>
      </c>
      <c r="P903" t="s">
        <v>74</v>
      </c>
      <c r="Q903" t="s">
        <v>74</v>
      </c>
      <c r="R903" t="s">
        <v>74</v>
      </c>
      <c r="S903" t="s">
        <v>74</v>
      </c>
      <c r="T903" t="s">
        <v>17214</v>
      </c>
      <c r="U903" t="s">
        <v>17215</v>
      </c>
      <c r="V903" t="s">
        <v>17216</v>
      </c>
      <c r="W903" t="s">
        <v>17217</v>
      </c>
      <c r="X903" t="s">
        <v>17218</v>
      </c>
      <c r="Y903" t="s">
        <v>17219</v>
      </c>
      <c r="Z903" t="s">
        <v>17220</v>
      </c>
      <c r="AA903" t="s">
        <v>17221</v>
      </c>
      <c r="AB903" t="s">
        <v>17222</v>
      </c>
      <c r="AC903" t="s">
        <v>74</v>
      </c>
      <c r="AD903" t="s">
        <v>74</v>
      </c>
      <c r="AE903" t="s">
        <v>74</v>
      </c>
      <c r="AF903" t="s">
        <v>74</v>
      </c>
      <c r="AG903">
        <v>76</v>
      </c>
      <c r="AH903">
        <v>86</v>
      </c>
      <c r="AI903">
        <v>88</v>
      </c>
      <c r="AJ903">
        <v>0</v>
      </c>
      <c r="AK903">
        <v>46</v>
      </c>
      <c r="AL903" t="s">
        <v>728</v>
      </c>
      <c r="AM903" t="s">
        <v>729</v>
      </c>
      <c r="AN903" t="s">
        <v>730</v>
      </c>
      <c r="AO903" t="s">
        <v>13088</v>
      </c>
      <c r="AP903" t="s">
        <v>13089</v>
      </c>
      <c r="AQ903" t="s">
        <v>74</v>
      </c>
      <c r="AR903" t="s">
        <v>13090</v>
      </c>
      <c r="AS903" t="s">
        <v>13091</v>
      </c>
      <c r="AT903" t="s">
        <v>15076</v>
      </c>
      <c r="AU903">
        <v>2017</v>
      </c>
      <c r="AV903">
        <v>81</v>
      </c>
      <c r="AW903" t="s">
        <v>74</v>
      </c>
      <c r="AX903" t="s">
        <v>74</v>
      </c>
      <c r="AY903" t="s">
        <v>74</v>
      </c>
      <c r="AZ903" t="s">
        <v>74</v>
      </c>
      <c r="BA903" t="s">
        <v>74</v>
      </c>
      <c r="BB903">
        <v>21</v>
      </c>
      <c r="BC903">
        <v>28</v>
      </c>
      <c r="BD903" t="s">
        <v>74</v>
      </c>
      <c r="BE903" t="s">
        <v>17223</v>
      </c>
      <c r="BF903" t="str">
        <f>HYPERLINK("http://dx.doi.org/10.1016/j.marpol.2017.03.005","http://dx.doi.org/10.1016/j.marpol.2017.03.005")</f>
        <v>http://dx.doi.org/10.1016/j.marpol.2017.03.005</v>
      </c>
      <c r="BG903" t="s">
        <v>74</v>
      </c>
      <c r="BH903" t="s">
        <v>74</v>
      </c>
      <c r="BI903">
        <v>8</v>
      </c>
      <c r="BJ903" t="s">
        <v>13093</v>
      </c>
      <c r="BK903" t="s">
        <v>2049</v>
      </c>
      <c r="BL903" t="s">
        <v>13094</v>
      </c>
      <c r="BM903" t="s">
        <v>17224</v>
      </c>
      <c r="BN903" t="s">
        <v>74</v>
      </c>
      <c r="BO903" t="s">
        <v>74</v>
      </c>
      <c r="BP903" t="s">
        <v>74</v>
      </c>
      <c r="BQ903" t="s">
        <v>74</v>
      </c>
      <c r="BR903" t="s">
        <v>105</v>
      </c>
      <c r="BS903" t="s">
        <v>17225</v>
      </c>
      <c r="BT903" t="str">
        <f>HYPERLINK("https%3A%2F%2Fwww.webofscience.com%2Fwos%2Fwoscc%2Ffull-record%2FWOS:000402213400003","View Full Record in Web of Science")</f>
        <v>View Full Record in Web of Science</v>
      </c>
    </row>
    <row r="904" spans="1:72" x14ac:dyDescent="0.15">
      <c r="A904" t="s">
        <v>72</v>
      </c>
      <c r="B904" t="s">
        <v>17226</v>
      </c>
      <c r="C904" t="s">
        <v>74</v>
      </c>
      <c r="D904" t="s">
        <v>74</v>
      </c>
      <c r="E904" t="s">
        <v>74</v>
      </c>
      <c r="F904" t="s">
        <v>17227</v>
      </c>
      <c r="G904" t="s">
        <v>74</v>
      </c>
      <c r="H904" t="s">
        <v>74</v>
      </c>
      <c r="I904" t="s">
        <v>17228</v>
      </c>
      <c r="J904" t="s">
        <v>13075</v>
      </c>
      <c r="K904" t="s">
        <v>74</v>
      </c>
      <c r="L904" t="s">
        <v>74</v>
      </c>
      <c r="M904" t="s">
        <v>78</v>
      </c>
      <c r="N904" t="s">
        <v>79</v>
      </c>
      <c r="O904" t="s">
        <v>74</v>
      </c>
      <c r="P904" t="s">
        <v>74</v>
      </c>
      <c r="Q904" t="s">
        <v>74</v>
      </c>
      <c r="R904" t="s">
        <v>74</v>
      </c>
      <c r="S904" t="s">
        <v>74</v>
      </c>
      <c r="T904" t="s">
        <v>17229</v>
      </c>
      <c r="U904" t="s">
        <v>17230</v>
      </c>
      <c r="V904" t="s">
        <v>17231</v>
      </c>
      <c r="W904" t="s">
        <v>17232</v>
      </c>
      <c r="X904" t="s">
        <v>17233</v>
      </c>
      <c r="Y904" t="s">
        <v>17234</v>
      </c>
      <c r="Z904" t="s">
        <v>17235</v>
      </c>
      <c r="AA904" t="s">
        <v>17236</v>
      </c>
      <c r="AB904" t="s">
        <v>17237</v>
      </c>
      <c r="AC904" t="s">
        <v>17238</v>
      </c>
      <c r="AD904" t="s">
        <v>17239</v>
      </c>
      <c r="AE904" t="s">
        <v>17240</v>
      </c>
      <c r="AF904" t="s">
        <v>74</v>
      </c>
      <c r="AG904">
        <v>44</v>
      </c>
      <c r="AH904">
        <v>47</v>
      </c>
      <c r="AI904">
        <v>57</v>
      </c>
      <c r="AJ904">
        <v>9</v>
      </c>
      <c r="AK904">
        <v>124</v>
      </c>
      <c r="AL904" t="s">
        <v>728</v>
      </c>
      <c r="AM904" t="s">
        <v>729</v>
      </c>
      <c r="AN904" t="s">
        <v>730</v>
      </c>
      <c r="AO904" t="s">
        <v>13088</v>
      </c>
      <c r="AP904" t="s">
        <v>13089</v>
      </c>
      <c r="AQ904" t="s">
        <v>74</v>
      </c>
      <c r="AR904" t="s">
        <v>13090</v>
      </c>
      <c r="AS904" t="s">
        <v>13091</v>
      </c>
      <c r="AT904" t="s">
        <v>15076</v>
      </c>
      <c r="AU904">
        <v>2017</v>
      </c>
      <c r="AV904">
        <v>81</v>
      </c>
      <c r="AW904" t="s">
        <v>74</v>
      </c>
      <c r="AX904" t="s">
        <v>74</v>
      </c>
      <c r="AY904" t="s">
        <v>74</v>
      </c>
      <c r="AZ904" t="s">
        <v>74</v>
      </c>
      <c r="BA904" t="s">
        <v>74</v>
      </c>
      <c r="BB904">
        <v>211</v>
      </c>
      <c r="BC904">
        <v>218</v>
      </c>
      <c r="BD904" t="s">
        <v>74</v>
      </c>
      <c r="BE904" t="s">
        <v>17241</v>
      </c>
      <c r="BF904" t="str">
        <f>HYPERLINK("http://dx.doi.org/10.1016/j.marpol.2017.03.038","http://dx.doi.org/10.1016/j.marpol.2017.03.038")</f>
        <v>http://dx.doi.org/10.1016/j.marpol.2017.03.038</v>
      </c>
      <c r="BG904" t="s">
        <v>74</v>
      </c>
      <c r="BH904" t="s">
        <v>74</v>
      </c>
      <c r="BI904">
        <v>8</v>
      </c>
      <c r="BJ904" t="s">
        <v>13093</v>
      </c>
      <c r="BK904" t="s">
        <v>2049</v>
      </c>
      <c r="BL904" t="s">
        <v>13094</v>
      </c>
      <c r="BM904" t="s">
        <v>17224</v>
      </c>
      <c r="BN904" t="s">
        <v>74</v>
      </c>
      <c r="BO904" t="s">
        <v>74</v>
      </c>
      <c r="BP904" t="s">
        <v>74</v>
      </c>
      <c r="BQ904" t="s">
        <v>74</v>
      </c>
      <c r="BR904" t="s">
        <v>105</v>
      </c>
      <c r="BS904" t="s">
        <v>17242</v>
      </c>
      <c r="BT904" t="str">
        <f>HYPERLINK("https%3A%2F%2Fwww.webofscience.com%2Fwos%2Fwoscc%2Ffull-record%2FWOS:000402213400025","View Full Record in Web of Science")</f>
        <v>View Full Record in Web of Science</v>
      </c>
    </row>
    <row r="905" spans="1:72" x14ac:dyDescent="0.15">
      <c r="A905" t="s">
        <v>72</v>
      </c>
      <c r="B905" t="s">
        <v>17243</v>
      </c>
      <c r="C905" t="s">
        <v>74</v>
      </c>
      <c r="D905" t="s">
        <v>74</v>
      </c>
      <c r="E905" t="s">
        <v>74</v>
      </c>
      <c r="F905" t="s">
        <v>17244</v>
      </c>
      <c r="G905" t="s">
        <v>74</v>
      </c>
      <c r="H905" t="s">
        <v>74</v>
      </c>
      <c r="I905" t="s">
        <v>17245</v>
      </c>
      <c r="J905" t="s">
        <v>17246</v>
      </c>
      <c r="K905" t="s">
        <v>74</v>
      </c>
      <c r="L905" t="s">
        <v>74</v>
      </c>
      <c r="M905" t="s">
        <v>78</v>
      </c>
      <c r="N905" t="s">
        <v>273</v>
      </c>
      <c r="O905" t="s">
        <v>74</v>
      </c>
      <c r="P905" t="s">
        <v>74</v>
      </c>
      <c r="Q905" t="s">
        <v>74</v>
      </c>
      <c r="R905" t="s">
        <v>74</v>
      </c>
      <c r="S905" t="s">
        <v>74</v>
      </c>
      <c r="T905" t="s">
        <v>17247</v>
      </c>
      <c r="U905" t="s">
        <v>17248</v>
      </c>
      <c r="V905" t="s">
        <v>17249</v>
      </c>
      <c r="W905" t="s">
        <v>17250</v>
      </c>
      <c r="X905" t="s">
        <v>17251</v>
      </c>
      <c r="Y905" t="s">
        <v>17252</v>
      </c>
      <c r="Z905" t="s">
        <v>17253</v>
      </c>
      <c r="AA905" t="s">
        <v>17254</v>
      </c>
      <c r="AB905" t="s">
        <v>17255</v>
      </c>
      <c r="AC905" t="s">
        <v>17256</v>
      </c>
      <c r="AD905" t="s">
        <v>17257</v>
      </c>
      <c r="AE905" t="s">
        <v>17258</v>
      </c>
      <c r="AF905" t="s">
        <v>74</v>
      </c>
      <c r="AG905">
        <v>86</v>
      </c>
      <c r="AH905">
        <v>265</v>
      </c>
      <c r="AI905">
        <v>291</v>
      </c>
      <c r="AJ905">
        <v>16</v>
      </c>
      <c r="AK905">
        <v>135</v>
      </c>
      <c r="AL905" t="s">
        <v>1338</v>
      </c>
      <c r="AM905" t="s">
        <v>1339</v>
      </c>
      <c r="AN905" t="s">
        <v>1340</v>
      </c>
      <c r="AO905" t="s">
        <v>17259</v>
      </c>
      <c r="AP905" t="s">
        <v>17260</v>
      </c>
      <c r="AQ905" t="s">
        <v>74</v>
      </c>
      <c r="AR905" t="s">
        <v>17261</v>
      </c>
      <c r="AS905" t="s">
        <v>17262</v>
      </c>
      <c r="AT905" t="s">
        <v>15076</v>
      </c>
      <c r="AU905">
        <v>2017</v>
      </c>
      <c r="AV905">
        <v>24</v>
      </c>
      <c r="AW905">
        <v>3</v>
      </c>
      <c r="AX905" t="s">
        <v>74</v>
      </c>
      <c r="AY905" t="s">
        <v>74</v>
      </c>
      <c r="AZ905" t="s">
        <v>74</v>
      </c>
      <c r="BA905" t="s">
        <v>74</v>
      </c>
      <c r="BB905">
        <v>315</v>
      </c>
      <c r="BC905">
        <v>325</v>
      </c>
      <c r="BD905" t="s">
        <v>74</v>
      </c>
      <c r="BE905" t="s">
        <v>17263</v>
      </c>
      <c r="BF905" t="str">
        <f>HYPERLINK("http://dx.doi.org/10.1002/met.1654","http://dx.doi.org/10.1002/met.1654")</f>
        <v>http://dx.doi.org/10.1002/met.1654</v>
      </c>
      <c r="BG905" t="s">
        <v>74</v>
      </c>
      <c r="BH905" t="s">
        <v>74</v>
      </c>
      <c r="BI905">
        <v>11</v>
      </c>
      <c r="BJ905" t="s">
        <v>162</v>
      </c>
      <c r="BK905" t="s">
        <v>765</v>
      </c>
      <c r="BL905" t="s">
        <v>162</v>
      </c>
      <c r="BM905" t="s">
        <v>17264</v>
      </c>
      <c r="BN905" t="s">
        <v>74</v>
      </c>
      <c r="BO905" t="s">
        <v>17265</v>
      </c>
      <c r="BP905" t="s">
        <v>352</v>
      </c>
      <c r="BQ905" t="s">
        <v>353</v>
      </c>
      <c r="BR905" t="s">
        <v>105</v>
      </c>
      <c r="BS905" t="s">
        <v>17266</v>
      </c>
      <c r="BT905" t="str">
        <f>HYPERLINK("https%3A%2F%2Fwww.webofscience.com%2Fwos%2Fwoscc%2Ffull-record%2FWOS:000405396000001","View Full Record in Web of Science")</f>
        <v>View Full Record in Web of Science</v>
      </c>
    </row>
    <row r="906" spans="1:72" x14ac:dyDescent="0.15">
      <c r="A906" t="s">
        <v>72</v>
      </c>
      <c r="B906" t="s">
        <v>17267</v>
      </c>
      <c r="C906" t="s">
        <v>74</v>
      </c>
      <c r="D906" t="s">
        <v>74</v>
      </c>
      <c r="E906" t="s">
        <v>74</v>
      </c>
      <c r="F906" t="s">
        <v>17268</v>
      </c>
      <c r="G906" t="s">
        <v>74</v>
      </c>
      <c r="H906" t="s">
        <v>74</v>
      </c>
      <c r="I906" t="s">
        <v>17269</v>
      </c>
      <c r="J906" t="s">
        <v>17270</v>
      </c>
      <c r="K906" t="s">
        <v>74</v>
      </c>
      <c r="L906" t="s">
        <v>74</v>
      </c>
      <c r="M906" t="s">
        <v>78</v>
      </c>
      <c r="N906" t="s">
        <v>4722</v>
      </c>
      <c r="O906" t="s">
        <v>17271</v>
      </c>
      <c r="P906" t="s">
        <v>17272</v>
      </c>
      <c r="Q906" t="s">
        <v>17273</v>
      </c>
      <c r="R906" t="s">
        <v>74</v>
      </c>
      <c r="S906" t="s">
        <v>74</v>
      </c>
      <c r="T906" t="s">
        <v>17274</v>
      </c>
      <c r="U906" t="s">
        <v>17275</v>
      </c>
      <c r="V906" t="s">
        <v>17276</v>
      </c>
      <c r="W906" t="s">
        <v>17277</v>
      </c>
      <c r="X906" t="s">
        <v>17278</v>
      </c>
      <c r="Y906" t="s">
        <v>17279</v>
      </c>
      <c r="Z906" t="s">
        <v>17280</v>
      </c>
      <c r="AA906" t="s">
        <v>17281</v>
      </c>
      <c r="AB906" t="s">
        <v>17282</v>
      </c>
      <c r="AC906" t="s">
        <v>17283</v>
      </c>
      <c r="AD906" t="s">
        <v>17284</v>
      </c>
      <c r="AE906" t="s">
        <v>17285</v>
      </c>
      <c r="AF906" t="s">
        <v>74</v>
      </c>
      <c r="AG906">
        <v>45</v>
      </c>
      <c r="AH906">
        <v>156</v>
      </c>
      <c r="AI906">
        <v>160</v>
      </c>
      <c r="AJ906">
        <v>0</v>
      </c>
      <c r="AK906">
        <v>13</v>
      </c>
      <c r="AL906" t="s">
        <v>5918</v>
      </c>
      <c r="AM906" t="s">
        <v>729</v>
      </c>
      <c r="AN906" t="s">
        <v>5919</v>
      </c>
      <c r="AO906" t="s">
        <v>17286</v>
      </c>
      <c r="AP906" t="s">
        <v>17287</v>
      </c>
      <c r="AQ906" t="s">
        <v>74</v>
      </c>
      <c r="AR906" t="s">
        <v>17288</v>
      </c>
      <c r="AS906" t="s">
        <v>17289</v>
      </c>
      <c r="AT906" t="s">
        <v>15076</v>
      </c>
      <c r="AU906">
        <v>2017</v>
      </c>
      <c r="AV906">
        <v>469</v>
      </c>
      <c r="AW906" t="s">
        <v>74</v>
      </c>
      <c r="AX906" t="s">
        <v>74</v>
      </c>
      <c r="AY906">
        <v>2</v>
      </c>
      <c r="AZ906" t="s">
        <v>74</v>
      </c>
      <c r="BA906" t="s">
        <v>74</v>
      </c>
      <c r="BB906" t="s">
        <v>17290</v>
      </c>
      <c r="BC906" t="s">
        <v>17291</v>
      </c>
      <c r="BD906" t="s">
        <v>74</v>
      </c>
      <c r="BE906" t="s">
        <v>17292</v>
      </c>
      <c r="BF906" t="str">
        <f>HYPERLINK("http://dx.doi.org/10.1093/mnras/stx2640","http://dx.doi.org/10.1093/mnras/stx2640")</f>
        <v>http://dx.doi.org/10.1093/mnras/stx2640</v>
      </c>
      <c r="BG906" t="s">
        <v>74</v>
      </c>
      <c r="BH906" t="s">
        <v>74</v>
      </c>
      <c r="BI906">
        <v>11</v>
      </c>
      <c r="BJ906" t="s">
        <v>349</v>
      </c>
      <c r="BK906" t="s">
        <v>1347</v>
      </c>
      <c r="BL906" t="s">
        <v>349</v>
      </c>
      <c r="BM906" t="s">
        <v>17293</v>
      </c>
      <c r="BN906" t="s">
        <v>74</v>
      </c>
      <c r="BO906" t="s">
        <v>855</v>
      </c>
      <c r="BP906" t="s">
        <v>74</v>
      </c>
      <c r="BQ906" t="s">
        <v>74</v>
      </c>
      <c r="BR906" t="s">
        <v>105</v>
      </c>
      <c r="BS906" t="s">
        <v>17294</v>
      </c>
      <c r="BT906" t="str">
        <f>HYPERLINK("https%3A%2F%2Fwww.webofscience.com%2Fwos%2Fwoscc%2Ffull-record%2FWOS:000443940500063","View Full Record in Web of Science")</f>
        <v>View Full Record in Web of Science</v>
      </c>
    </row>
    <row r="907" spans="1:72" x14ac:dyDescent="0.15">
      <c r="A907" t="s">
        <v>72</v>
      </c>
      <c r="B907" t="s">
        <v>17295</v>
      </c>
      <c r="C907" t="s">
        <v>74</v>
      </c>
      <c r="D907" t="s">
        <v>74</v>
      </c>
      <c r="E907" t="s">
        <v>74</v>
      </c>
      <c r="F907" t="s">
        <v>17296</v>
      </c>
      <c r="G907" t="s">
        <v>74</v>
      </c>
      <c r="H907" t="s">
        <v>74</v>
      </c>
      <c r="I907" t="s">
        <v>17297</v>
      </c>
      <c r="J907" t="s">
        <v>17270</v>
      </c>
      <c r="K907" t="s">
        <v>74</v>
      </c>
      <c r="L907" t="s">
        <v>74</v>
      </c>
      <c r="M907" t="s">
        <v>78</v>
      </c>
      <c r="N907" t="s">
        <v>4722</v>
      </c>
      <c r="O907" t="s">
        <v>17271</v>
      </c>
      <c r="P907" t="s">
        <v>17272</v>
      </c>
      <c r="Q907" t="s">
        <v>17273</v>
      </c>
      <c r="R907" t="s">
        <v>74</v>
      </c>
      <c r="S907" t="s">
        <v>74</v>
      </c>
      <c r="T907" t="s">
        <v>17298</v>
      </c>
      <c r="U907" t="s">
        <v>17299</v>
      </c>
      <c r="V907" t="s">
        <v>17300</v>
      </c>
      <c r="W907" t="s">
        <v>17301</v>
      </c>
      <c r="X907" t="s">
        <v>17302</v>
      </c>
      <c r="Y907" t="s">
        <v>17303</v>
      </c>
      <c r="Z907" t="s">
        <v>17304</v>
      </c>
      <c r="AA907" t="s">
        <v>17305</v>
      </c>
      <c r="AB907" t="s">
        <v>17306</v>
      </c>
      <c r="AC907" t="s">
        <v>17307</v>
      </c>
      <c r="AD907" t="s">
        <v>17308</v>
      </c>
      <c r="AE907" t="s">
        <v>17309</v>
      </c>
      <c r="AF907" t="s">
        <v>74</v>
      </c>
      <c r="AG907">
        <v>77</v>
      </c>
      <c r="AH907">
        <v>50</v>
      </c>
      <c r="AI907">
        <v>52</v>
      </c>
      <c r="AJ907">
        <v>0</v>
      </c>
      <c r="AK907">
        <v>3</v>
      </c>
      <c r="AL907" t="s">
        <v>5918</v>
      </c>
      <c r="AM907" t="s">
        <v>729</v>
      </c>
      <c r="AN907" t="s">
        <v>5919</v>
      </c>
      <c r="AO907" t="s">
        <v>17286</v>
      </c>
      <c r="AP907" t="s">
        <v>17287</v>
      </c>
      <c r="AQ907" t="s">
        <v>74</v>
      </c>
      <c r="AR907" t="s">
        <v>17288</v>
      </c>
      <c r="AS907" t="s">
        <v>17289</v>
      </c>
      <c r="AT907" t="s">
        <v>15076</v>
      </c>
      <c r="AU907">
        <v>2017</v>
      </c>
      <c r="AV907">
        <v>469</v>
      </c>
      <c r="AW907" t="s">
        <v>74</v>
      </c>
      <c r="AX907" t="s">
        <v>74</v>
      </c>
      <c r="AY907">
        <v>2</v>
      </c>
      <c r="AZ907" t="s">
        <v>74</v>
      </c>
      <c r="BA907" t="s">
        <v>74</v>
      </c>
      <c r="BB907" t="s">
        <v>17310</v>
      </c>
      <c r="BC907" t="s">
        <v>17311</v>
      </c>
      <c r="BD907" t="s">
        <v>74</v>
      </c>
      <c r="BE907" t="s">
        <v>17312</v>
      </c>
      <c r="BF907" t="str">
        <f>HYPERLINK("http://dx.doi.org/10.1093/mnras/stx1950","http://dx.doi.org/10.1093/mnras/stx1950")</f>
        <v>http://dx.doi.org/10.1093/mnras/stx1950</v>
      </c>
      <c r="BG907" t="s">
        <v>74</v>
      </c>
      <c r="BH907" t="s">
        <v>74</v>
      </c>
      <c r="BI907">
        <v>16</v>
      </c>
      <c r="BJ907" t="s">
        <v>349</v>
      </c>
      <c r="BK907" t="s">
        <v>1347</v>
      </c>
      <c r="BL907" t="s">
        <v>349</v>
      </c>
      <c r="BM907" t="s">
        <v>17293</v>
      </c>
      <c r="BN907" t="s">
        <v>74</v>
      </c>
      <c r="BO907" t="s">
        <v>17313</v>
      </c>
      <c r="BP907" t="s">
        <v>74</v>
      </c>
      <c r="BQ907" t="s">
        <v>74</v>
      </c>
      <c r="BR907" t="s">
        <v>105</v>
      </c>
      <c r="BS907" t="s">
        <v>17314</v>
      </c>
      <c r="BT907" t="str">
        <f>HYPERLINK("https%3A%2F%2Fwww.webofscience.com%2Fwos%2Fwoscc%2Ffull-record%2FWOS:000443940500043","View Full Record in Web of Science")</f>
        <v>View Full Record in Web of Science</v>
      </c>
    </row>
    <row r="908" spans="1:72" x14ac:dyDescent="0.15">
      <c r="A908" t="s">
        <v>72</v>
      </c>
      <c r="B908" t="s">
        <v>17315</v>
      </c>
      <c r="C908" t="s">
        <v>74</v>
      </c>
      <c r="D908" t="s">
        <v>74</v>
      </c>
      <c r="E908" t="s">
        <v>74</v>
      </c>
      <c r="F908" t="s">
        <v>17316</v>
      </c>
      <c r="G908" t="s">
        <v>74</v>
      </c>
      <c r="H908" t="s">
        <v>74</v>
      </c>
      <c r="I908" t="s">
        <v>17317</v>
      </c>
      <c r="J908" t="s">
        <v>17270</v>
      </c>
      <c r="K908" t="s">
        <v>74</v>
      </c>
      <c r="L908" t="s">
        <v>74</v>
      </c>
      <c r="M908" t="s">
        <v>78</v>
      </c>
      <c r="N908" t="s">
        <v>4722</v>
      </c>
      <c r="O908" t="s">
        <v>17271</v>
      </c>
      <c r="P908" t="s">
        <v>17272</v>
      </c>
      <c r="Q908" t="s">
        <v>17273</v>
      </c>
      <c r="R908" t="s">
        <v>74</v>
      </c>
      <c r="S908" t="s">
        <v>74</v>
      </c>
      <c r="T908" t="s">
        <v>17318</v>
      </c>
      <c r="U908" t="s">
        <v>17319</v>
      </c>
      <c r="V908" t="s">
        <v>17320</v>
      </c>
      <c r="W908" t="s">
        <v>17321</v>
      </c>
      <c r="X908" t="s">
        <v>17322</v>
      </c>
      <c r="Y908" t="s">
        <v>17323</v>
      </c>
      <c r="Z908" t="s">
        <v>17324</v>
      </c>
      <c r="AA908" t="s">
        <v>17281</v>
      </c>
      <c r="AB908" t="s">
        <v>17325</v>
      </c>
      <c r="AC908" t="s">
        <v>17326</v>
      </c>
      <c r="AD908" t="s">
        <v>17327</v>
      </c>
      <c r="AE908" t="s">
        <v>17328</v>
      </c>
      <c r="AF908" t="s">
        <v>74</v>
      </c>
      <c r="AG908">
        <v>72</v>
      </c>
      <c r="AH908">
        <v>48</v>
      </c>
      <c r="AI908">
        <v>50</v>
      </c>
      <c r="AJ908">
        <v>0</v>
      </c>
      <c r="AK908">
        <v>7</v>
      </c>
      <c r="AL908" t="s">
        <v>5918</v>
      </c>
      <c r="AM908" t="s">
        <v>729</v>
      </c>
      <c r="AN908" t="s">
        <v>5919</v>
      </c>
      <c r="AO908" t="s">
        <v>17286</v>
      </c>
      <c r="AP908" t="s">
        <v>17287</v>
      </c>
      <c r="AQ908" t="s">
        <v>74</v>
      </c>
      <c r="AR908" t="s">
        <v>17288</v>
      </c>
      <c r="AS908" t="s">
        <v>17289</v>
      </c>
      <c r="AT908" t="s">
        <v>15076</v>
      </c>
      <c r="AU908">
        <v>2017</v>
      </c>
      <c r="AV908">
        <v>469</v>
      </c>
      <c r="AW908" t="s">
        <v>74</v>
      </c>
      <c r="AX908" t="s">
        <v>74</v>
      </c>
      <c r="AY908">
        <v>2</v>
      </c>
      <c r="AZ908" t="s">
        <v>74</v>
      </c>
      <c r="BA908" t="s">
        <v>74</v>
      </c>
      <c r="BB908" t="s">
        <v>17329</v>
      </c>
      <c r="BC908" t="s">
        <v>17330</v>
      </c>
      <c r="BD908" t="s">
        <v>74</v>
      </c>
      <c r="BE908" t="s">
        <v>17331</v>
      </c>
      <c r="BF908" t="str">
        <f>HYPERLINK("http://dx.doi.org/10.1093/mnras/stx2002","http://dx.doi.org/10.1093/mnras/stx2002")</f>
        <v>http://dx.doi.org/10.1093/mnras/stx2002</v>
      </c>
      <c r="BG908" t="s">
        <v>74</v>
      </c>
      <c r="BH908" t="s">
        <v>74</v>
      </c>
      <c r="BI908">
        <v>11</v>
      </c>
      <c r="BJ908" t="s">
        <v>349</v>
      </c>
      <c r="BK908" t="s">
        <v>1347</v>
      </c>
      <c r="BL908" t="s">
        <v>349</v>
      </c>
      <c r="BM908" t="s">
        <v>17293</v>
      </c>
      <c r="BN908" t="s">
        <v>74</v>
      </c>
      <c r="BO908" t="s">
        <v>2804</v>
      </c>
      <c r="BP908" t="s">
        <v>74</v>
      </c>
      <c r="BQ908" t="s">
        <v>74</v>
      </c>
      <c r="BR908" t="s">
        <v>105</v>
      </c>
      <c r="BS908" t="s">
        <v>17332</v>
      </c>
      <c r="BT908" t="str">
        <f>HYPERLINK("https%3A%2F%2Fwww.webofscience.com%2Fwos%2Fwoscc%2Ffull-record%2FWOS:000443940500047","View Full Record in Web of Science")</f>
        <v>View Full Record in Web of Science</v>
      </c>
    </row>
    <row r="909" spans="1:72" x14ac:dyDescent="0.15">
      <c r="A909" t="s">
        <v>72</v>
      </c>
      <c r="B909" t="s">
        <v>17333</v>
      </c>
      <c r="C909" t="s">
        <v>74</v>
      </c>
      <c r="D909" t="s">
        <v>74</v>
      </c>
      <c r="E909" t="s">
        <v>74</v>
      </c>
      <c r="F909" t="s">
        <v>17334</v>
      </c>
      <c r="G909" t="s">
        <v>74</v>
      </c>
      <c r="H909" t="s">
        <v>74</v>
      </c>
      <c r="I909" t="s">
        <v>17335</v>
      </c>
      <c r="J909" t="s">
        <v>5588</v>
      </c>
      <c r="K909" t="s">
        <v>74</v>
      </c>
      <c r="L909" t="s">
        <v>74</v>
      </c>
      <c r="M909" t="s">
        <v>78</v>
      </c>
      <c r="N909" t="s">
        <v>79</v>
      </c>
      <c r="O909" t="s">
        <v>74</v>
      </c>
      <c r="P909" t="s">
        <v>74</v>
      </c>
      <c r="Q909" t="s">
        <v>74</v>
      </c>
      <c r="R909" t="s">
        <v>74</v>
      </c>
      <c r="S909" t="s">
        <v>74</v>
      </c>
      <c r="T909" t="s">
        <v>74</v>
      </c>
      <c r="U909" t="s">
        <v>17336</v>
      </c>
      <c r="V909" t="s">
        <v>17337</v>
      </c>
      <c r="W909" t="s">
        <v>17338</v>
      </c>
      <c r="X909" t="s">
        <v>17339</v>
      </c>
      <c r="Y909" t="s">
        <v>17340</v>
      </c>
      <c r="Z909" t="s">
        <v>17341</v>
      </c>
      <c r="AA909" t="s">
        <v>17342</v>
      </c>
      <c r="AB909" t="s">
        <v>17343</v>
      </c>
      <c r="AC909" t="s">
        <v>17344</v>
      </c>
      <c r="AD909" t="s">
        <v>17345</v>
      </c>
      <c r="AE909" t="s">
        <v>17346</v>
      </c>
      <c r="AF909" t="s">
        <v>74</v>
      </c>
      <c r="AG909">
        <v>32</v>
      </c>
      <c r="AH909">
        <v>79</v>
      </c>
      <c r="AI909">
        <v>84</v>
      </c>
      <c r="AJ909">
        <v>6</v>
      </c>
      <c r="AK909">
        <v>73</v>
      </c>
      <c r="AL909" t="s">
        <v>181</v>
      </c>
      <c r="AM909" t="s">
        <v>182</v>
      </c>
      <c r="AN909" t="s">
        <v>183</v>
      </c>
      <c r="AO909" t="s">
        <v>5600</v>
      </c>
      <c r="AP909" t="s">
        <v>74</v>
      </c>
      <c r="AQ909" t="s">
        <v>74</v>
      </c>
      <c r="AR909" t="s">
        <v>5601</v>
      </c>
      <c r="AS909" t="s">
        <v>5602</v>
      </c>
      <c r="AT909" t="s">
        <v>15076</v>
      </c>
      <c r="AU909">
        <v>2017</v>
      </c>
      <c r="AV909">
        <v>1</v>
      </c>
      <c r="AW909">
        <v>7</v>
      </c>
      <c r="AX909" t="s">
        <v>74</v>
      </c>
      <c r="AY909" t="s">
        <v>74</v>
      </c>
      <c r="AZ909" t="s">
        <v>74</v>
      </c>
      <c r="BA909" t="s">
        <v>74</v>
      </c>
      <c r="BB909" t="s">
        <v>74</v>
      </c>
      <c r="BC909" t="s">
        <v>74</v>
      </c>
      <c r="BD909">
        <v>195</v>
      </c>
      <c r="BE909" t="s">
        <v>17347</v>
      </c>
      <c r="BF909" t="str">
        <f>HYPERLINK("http://dx.doi.org/10.1038/s41559-017-0195","http://dx.doi.org/10.1038/s41559-017-0195")</f>
        <v>http://dx.doi.org/10.1038/s41559-017-0195</v>
      </c>
      <c r="BG909" t="s">
        <v>74</v>
      </c>
      <c r="BH909" t="s">
        <v>74</v>
      </c>
      <c r="BI909">
        <v>8</v>
      </c>
      <c r="BJ909" t="s">
        <v>3034</v>
      </c>
      <c r="BK909" t="s">
        <v>101</v>
      </c>
      <c r="BL909" t="s">
        <v>3035</v>
      </c>
      <c r="BM909" t="s">
        <v>15186</v>
      </c>
      <c r="BN909">
        <v>28812592</v>
      </c>
      <c r="BO909" t="s">
        <v>74</v>
      </c>
      <c r="BP909" t="s">
        <v>74</v>
      </c>
      <c r="BQ909" t="s">
        <v>74</v>
      </c>
      <c r="BR909" t="s">
        <v>105</v>
      </c>
      <c r="BS909" t="s">
        <v>17348</v>
      </c>
      <c r="BT909" t="str">
        <f>HYPERLINK("https%3A%2F%2Fwww.webofscience.com%2Fwos%2Fwoscc%2Ffull-record%2FWOS:000417179000023","View Full Record in Web of Science")</f>
        <v>View Full Record in Web of Science</v>
      </c>
    </row>
    <row r="910" spans="1:72" x14ac:dyDescent="0.15">
      <c r="A910" t="s">
        <v>72</v>
      </c>
      <c r="B910" t="s">
        <v>17349</v>
      </c>
      <c r="C910" t="s">
        <v>74</v>
      </c>
      <c r="D910" t="s">
        <v>74</v>
      </c>
      <c r="E910" t="s">
        <v>74</v>
      </c>
      <c r="F910" t="s">
        <v>17350</v>
      </c>
      <c r="G910" t="s">
        <v>74</v>
      </c>
      <c r="H910" t="s">
        <v>74</v>
      </c>
      <c r="I910" t="s">
        <v>17351</v>
      </c>
      <c r="J910" t="s">
        <v>5588</v>
      </c>
      <c r="K910" t="s">
        <v>74</v>
      </c>
      <c r="L910" t="s">
        <v>74</v>
      </c>
      <c r="M910" t="s">
        <v>78</v>
      </c>
      <c r="N910" t="s">
        <v>79</v>
      </c>
      <c r="O910" t="s">
        <v>74</v>
      </c>
      <c r="P910" t="s">
        <v>74</v>
      </c>
      <c r="Q910" t="s">
        <v>74</v>
      </c>
      <c r="R910" t="s">
        <v>74</v>
      </c>
      <c r="S910" t="s">
        <v>74</v>
      </c>
      <c r="T910" t="s">
        <v>74</v>
      </c>
      <c r="U910" t="s">
        <v>17352</v>
      </c>
      <c r="V910" t="s">
        <v>17353</v>
      </c>
      <c r="W910" t="s">
        <v>17354</v>
      </c>
      <c r="X910" t="s">
        <v>17355</v>
      </c>
      <c r="Y910" t="s">
        <v>17356</v>
      </c>
      <c r="Z910" t="s">
        <v>17357</v>
      </c>
      <c r="AA910" t="s">
        <v>17358</v>
      </c>
      <c r="AB910" t="s">
        <v>17359</v>
      </c>
      <c r="AC910" t="s">
        <v>17360</v>
      </c>
      <c r="AD910" t="s">
        <v>17361</v>
      </c>
      <c r="AE910" t="s">
        <v>17362</v>
      </c>
      <c r="AF910" t="s">
        <v>74</v>
      </c>
      <c r="AG910">
        <v>50</v>
      </c>
      <c r="AH910">
        <v>40</v>
      </c>
      <c r="AI910">
        <v>46</v>
      </c>
      <c r="AJ910">
        <v>0</v>
      </c>
      <c r="AK910">
        <v>38</v>
      </c>
      <c r="AL910" t="s">
        <v>181</v>
      </c>
      <c r="AM910" t="s">
        <v>182</v>
      </c>
      <c r="AN910" t="s">
        <v>183</v>
      </c>
      <c r="AO910" t="s">
        <v>5600</v>
      </c>
      <c r="AP910" t="s">
        <v>74</v>
      </c>
      <c r="AQ910" t="s">
        <v>74</v>
      </c>
      <c r="AR910" t="s">
        <v>5601</v>
      </c>
      <c r="AS910" t="s">
        <v>5602</v>
      </c>
      <c r="AT910" t="s">
        <v>15076</v>
      </c>
      <c r="AU910">
        <v>2017</v>
      </c>
      <c r="AV910">
        <v>1</v>
      </c>
      <c r="AW910">
        <v>7</v>
      </c>
      <c r="AX910" t="s">
        <v>74</v>
      </c>
      <c r="AY910" t="s">
        <v>74</v>
      </c>
      <c r="AZ910" t="s">
        <v>74</v>
      </c>
      <c r="BA910" t="s">
        <v>74</v>
      </c>
      <c r="BB910" t="s">
        <v>74</v>
      </c>
      <c r="BC910" t="s">
        <v>74</v>
      </c>
      <c r="BD910">
        <v>177</v>
      </c>
      <c r="BE910" t="s">
        <v>17363</v>
      </c>
      <c r="BF910" t="str">
        <f>HYPERLINK("http://dx.doi.org/10.1038/s41559-017-0177","http://dx.doi.org/10.1038/s41559-017-0177")</f>
        <v>http://dx.doi.org/10.1038/s41559-017-0177</v>
      </c>
      <c r="BG910" t="s">
        <v>74</v>
      </c>
      <c r="BH910" t="s">
        <v>74</v>
      </c>
      <c r="BI910">
        <v>8</v>
      </c>
      <c r="BJ910" t="s">
        <v>3034</v>
      </c>
      <c r="BK910" t="s">
        <v>101</v>
      </c>
      <c r="BL910" t="s">
        <v>3035</v>
      </c>
      <c r="BM910" t="s">
        <v>15186</v>
      </c>
      <c r="BN910">
        <v>28685164</v>
      </c>
      <c r="BO910" t="s">
        <v>633</v>
      </c>
      <c r="BP910" t="s">
        <v>74</v>
      </c>
      <c r="BQ910" t="s">
        <v>74</v>
      </c>
      <c r="BR910" t="s">
        <v>105</v>
      </c>
      <c r="BS910" t="s">
        <v>17364</v>
      </c>
      <c r="BT910" t="str">
        <f>HYPERLINK("https%3A%2F%2Fwww.webofscience.com%2Fwos%2Fwoscc%2Ffull-record%2FWOS:000417179000007","View Full Record in Web of Science")</f>
        <v>View Full Record in Web of Science</v>
      </c>
    </row>
    <row r="911" spans="1:72" x14ac:dyDescent="0.15">
      <c r="A911" t="s">
        <v>72</v>
      </c>
      <c r="B911" t="s">
        <v>17365</v>
      </c>
      <c r="C911" t="s">
        <v>74</v>
      </c>
      <c r="D911" t="s">
        <v>74</v>
      </c>
      <c r="E911" t="s">
        <v>74</v>
      </c>
      <c r="F911" t="s">
        <v>17366</v>
      </c>
      <c r="G911" t="s">
        <v>74</v>
      </c>
      <c r="H911" t="s">
        <v>74</v>
      </c>
      <c r="I911" t="s">
        <v>17367</v>
      </c>
      <c r="J911" t="s">
        <v>17368</v>
      </c>
      <c r="K911" t="s">
        <v>74</v>
      </c>
      <c r="L911" t="s">
        <v>74</v>
      </c>
      <c r="M911" t="s">
        <v>78</v>
      </c>
      <c r="N911" t="s">
        <v>79</v>
      </c>
      <c r="O911" t="s">
        <v>74</v>
      </c>
      <c r="P911" t="s">
        <v>74</v>
      </c>
      <c r="Q911" t="s">
        <v>74</v>
      </c>
      <c r="R911" t="s">
        <v>74</v>
      </c>
      <c r="S911" t="s">
        <v>74</v>
      </c>
      <c r="T911" t="s">
        <v>17369</v>
      </c>
      <c r="U911" t="s">
        <v>17370</v>
      </c>
      <c r="V911" t="s">
        <v>17371</v>
      </c>
      <c r="W911" t="s">
        <v>17372</v>
      </c>
      <c r="X911" t="s">
        <v>17373</v>
      </c>
      <c r="Y911" t="s">
        <v>17374</v>
      </c>
      <c r="Z911" t="s">
        <v>17375</v>
      </c>
      <c r="AA911" t="s">
        <v>74</v>
      </c>
      <c r="AB911" t="s">
        <v>17376</v>
      </c>
      <c r="AC911" t="s">
        <v>17377</v>
      </c>
      <c r="AD911" t="s">
        <v>17377</v>
      </c>
      <c r="AE911" t="s">
        <v>17378</v>
      </c>
      <c r="AF911" t="s">
        <v>74</v>
      </c>
      <c r="AG911">
        <v>60</v>
      </c>
      <c r="AH911">
        <v>4</v>
      </c>
      <c r="AI911">
        <v>4</v>
      </c>
      <c r="AJ911">
        <v>0</v>
      </c>
      <c r="AK911">
        <v>26</v>
      </c>
      <c r="AL911" t="s">
        <v>2520</v>
      </c>
      <c r="AM911" t="s">
        <v>2521</v>
      </c>
      <c r="AN911" t="s">
        <v>2522</v>
      </c>
      <c r="AO911" t="s">
        <v>17379</v>
      </c>
      <c r="AP911" t="s">
        <v>17380</v>
      </c>
      <c r="AQ911" t="s">
        <v>74</v>
      </c>
      <c r="AR911" t="s">
        <v>17381</v>
      </c>
      <c r="AS911" t="s">
        <v>17382</v>
      </c>
      <c r="AT911" t="s">
        <v>15076</v>
      </c>
      <c r="AU911">
        <v>2017</v>
      </c>
      <c r="AV911">
        <v>67</v>
      </c>
      <c r="AW911">
        <v>7</v>
      </c>
      <c r="AX911" t="s">
        <v>74</v>
      </c>
      <c r="AY911" t="s">
        <v>74</v>
      </c>
      <c r="AZ911" t="s">
        <v>74</v>
      </c>
      <c r="BA911" t="s">
        <v>74</v>
      </c>
      <c r="BB911">
        <v>813</v>
      </c>
      <c r="BC911">
        <v>838</v>
      </c>
      <c r="BD911" t="s">
        <v>74</v>
      </c>
      <c r="BE911" t="s">
        <v>17383</v>
      </c>
      <c r="BF911" t="str">
        <f>HYPERLINK("http://dx.doi.org/10.1007/s10236-017-1054-3","http://dx.doi.org/10.1007/s10236-017-1054-3")</f>
        <v>http://dx.doi.org/10.1007/s10236-017-1054-3</v>
      </c>
      <c r="BG911" t="s">
        <v>74</v>
      </c>
      <c r="BH911" t="s">
        <v>74</v>
      </c>
      <c r="BI911">
        <v>26</v>
      </c>
      <c r="BJ911" t="s">
        <v>1459</v>
      </c>
      <c r="BK911" t="s">
        <v>101</v>
      </c>
      <c r="BL911" t="s">
        <v>1459</v>
      </c>
      <c r="BM911" t="s">
        <v>17384</v>
      </c>
      <c r="BN911" t="s">
        <v>74</v>
      </c>
      <c r="BO911" t="s">
        <v>1240</v>
      </c>
      <c r="BP911" t="s">
        <v>74</v>
      </c>
      <c r="BQ911" t="s">
        <v>74</v>
      </c>
      <c r="BR911" t="s">
        <v>105</v>
      </c>
      <c r="BS911" t="s">
        <v>17385</v>
      </c>
      <c r="BT911" t="str">
        <f>HYPERLINK("https%3A%2F%2Fwww.webofscience.com%2Fwos%2Fwoscc%2Ffull-record%2FWOS:000403461600001","View Full Record in Web of Science")</f>
        <v>View Full Record in Web of Science</v>
      </c>
    </row>
    <row r="912" spans="1:72" x14ac:dyDescent="0.15">
      <c r="A912" t="s">
        <v>72</v>
      </c>
      <c r="B912" t="s">
        <v>17386</v>
      </c>
      <c r="C912" t="s">
        <v>74</v>
      </c>
      <c r="D912" t="s">
        <v>74</v>
      </c>
      <c r="E912" t="s">
        <v>74</v>
      </c>
      <c r="F912" t="s">
        <v>17387</v>
      </c>
      <c r="G912" t="s">
        <v>74</v>
      </c>
      <c r="H912" t="s">
        <v>74</v>
      </c>
      <c r="I912" t="s">
        <v>17388</v>
      </c>
      <c r="J912" t="s">
        <v>2576</v>
      </c>
      <c r="K912" t="s">
        <v>74</v>
      </c>
      <c r="L912" t="s">
        <v>74</v>
      </c>
      <c r="M912" t="s">
        <v>78</v>
      </c>
      <c r="N912" t="s">
        <v>79</v>
      </c>
      <c r="O912" t="s">
        <v>74</v>
      </c>
      <c r="P912" t="s">
        <v>74</v>
      </c>
      <c r="Q912" t="s">
        <v>74</v>
      </c>
      <c r="R912" t="s">
        <v>74</v>
      </c>
      <c r="S912" t="s">
        <v>74</v>
      </c>
      <c r="T912" t="s">
        <v>17389</v>
      </c>
      <c r="U912" t="s">
        <v>17390</v>
      </c>
      <c r="V912" t="s">
        <v>17391</v>
      </c>
      <c r="W912" t="s">
        <v>17392</v>
      </c>
      <c r="X912" t="s">
        <v>17393</v>
      </c>
      <c r="Y912" t="s">
        <v>17394</v>
      </c>
      <c r="Z912" t="s">
        <v>17395</v>
      </c>
      <c r="AA912" t="s">
        <v>17396</v>
      </c>
      <c r="AB912" t="s">
        <v>17397</v>
      </c>
      <c r="AC912" t="s">
        <v>17398</v>
      </c>
      <c r="AD912" t="s">
        <v>17399</v>
      </c>
      <c r="AE912" t="s">
        <v>17400</v>
      </c>
      <c r="AF912" t="s">
        <v>74</v>
      </c>
      <c r="AG912">
        <v>91</v>
      </c>
      <c r="AH912">
        <v>34</v>
      </c>
      <c r="AI912">
        <v>35</v>
      </c>
      <c r="AJ912">
        <v>0</v>
      </c>
      <c r="AK912">
        <v>36</v>
      </c>
      <c r="AL912" t="s">
        <v>208</v>
      </c>
      <c r="AM912" t="s">
        <v>209</v>
      </c>
      <c r="AN912" t="s">
        <v>2659</v>
      </c>
      <c r="AO912" t="s">
        <v>2587</v>
      </c>
      <c r="AP912" t="s">
        <v>2588</v>
      </c>
      <c r="AQ912" t="s">
        <v>74</v>
      </c>
      <c r="AR912" t="s">
        <v>2589</v>
      </c>
      <c r="AS912" t="s">
        <v>2590</v>
      </c>
      <c r="AT912" t="s">
        <v>15076</v>
      </c>
      <c r="AU912">
        <v>2017</v>
      </c>
      <c r="AV912">
        <v>40</v>
      </c>
      <c r="AW912">
        <v>7</v>
      </c>
      <c r="AX912" t="s">
        <v>74</v>
      </c>
      <c r="AY912" t="s">
        <v>74</v>
      </c>
      <c r="AZ912" t="s">
        <v>74</v>
      </c>
      <c r="BA912" t="s">
        <v>74</v>
      </c>
      <c r="BB912">
        <v>1425</v>
      </c>
      <c r="BC912">
        <v>1439</v>
      </c>
      <c r="BD912" t="s">
        <v>74</v>
      </c>
      <c r="BE912" t="s">
        <v>17401</v>
      </c>
      <c r="BF912" t="str">
        <f>HYPERLINK("http://dx.doi.org/10.1007/s00300-016-2067-y","http://dx.doi.org/10.1007/s00300-016-2067-y")</f>
        <v>http://dx.doi.org/10.1007/s00300-016-2067-y</v>
      </c>
      <c r="BG912" t="s">
        <v>74</v>
      </c>
      <c r="BH912" t="s">
        <v>74</v>
      </c>
      <c r="BI912">
        <v>15</v>
      </c>
      <c r="BJ912" t="s">
        <v>2592</v>
      </c>
      <c r="BK912" t="s">
        <v>101</v>
      </c>
      <c r="BL912" t="s">
        <v>2593</v>
      </c>
      <c r="BM912" t="s">
        <v>15847</v>
      </c>
      <c r="BN912" t="s">
        <v>74</v>
      </c>
      <c r="BO912" t="s">
        <v>164</v>
      </c>
      <c r="BP912" t="s">
        <v>74</v>
      </c>
      <c r="BQ912" t="s">
        <v>74</v>
      </c>
      <c r="BR912" t="s">
        <v>105</v>
      </c>
      <c r="BS912" t="s">
        <v>17402</v>
      </c>
      <c r="BT912" t="str">
        <f>HYPERLINK("https%3A%2F%2Fwww.webofscience.com%2Fwos%2Fwoscc%2Ffull-record%2FWOS:000406338800008","View Full Record in Web of Science")</f>
        <v>View Full Record in Web of Science</v>
      </c>
    </row>
    <row r="913" spans="1:72" x14ac:dyDescent="0.15">
      <c r="A913" t="s">
        <v>72</v>
      </c>
      <c r="B913" t="s">
        <v>17403</v>
      </c>
      <c r="C913" t="s">
        <v>74</v>
      </c>
      <c r="D913" t="s">
        <v>74</v>
      </c>
      <c r="E913" t="s">
        <v>74</v>
      </c>
      <c r="F913" t="s">
        <v>17404</v>
      </c>
      <c r="G913" t="s">
        <v>74</v>
      </c>
      <c r="H913" t="s">
        <v>74</v>
      </c>
      <c r="I913" t="s">
        <v>17405</v>
      </c>
      <c r="J913" t="s">
        <v>2576</v>
      </c>
      <c r="K913" t="s">
        <v>74</v>
      </c>
      <c r="L913" t="s">
        <v>74</v>
      </c>
      <c r="M913" t="s">
        <v>78</v>
      </c>
      <c r="N913" t="s">
        <v>2737</v>
      </c>
      <c r="O913" t="s">
        <v>74</v>
      </c>
      <c r="P913" t="s">
        <v>74</v>
      </c>
      <c r="Q913" t="s">
        <v>74</v>
      </c>
      <c r="R913" t="s">
        <v>74</v>
      </c>
      <c r="S913" t="s">
        <v>74</v>
      </c>
      <c r="T913" t="s">
        <v>17406</v>
      </c>
      <c r="U913" t="s">
        <v>17407</v>
      </c>
      <c r="V913" t="s">
        <v>17408</v>
      </c>
      <c r="W913" t="s">
        <v>17409</v>
      </c>
      <c r="X913" t="s">
        <v>5289</v>
      </c>
      <c r="Y913" t="s">
        <v>17410</v>
      </c>
      <c r="Z913" t="s">
        <v>17411</v>
      </c>
      <c r="AA913" t="s">
        <v>74</v>
      </c>
      <c r="AB913" t="s">
        <v>17412</v>
      </c>
      <c r="AC913" t="s">
        <v>74</v>
      </c>
      <c r="AD913" t="s">
        <v>74</v>
      </c>
      <c r="AE913" t="s">
        <v>74</v>
      </c>
      <c r="AF913" t="s">
        <v>74</v>
      </c>
      <c r="AG913">
        <v>70</v>
      </c>
      <c r="AH913">
        <v>4</v>
      </c>
      <c r="AI913">
        <v>5</v>
      </c>
      <c r="AJ913">
        <v>0</v>
      </c>
      <c r="AK913">
        <v>18</v>
      </c>
      <c r="AL913" t="s">
        <v>208</v>
      </c>
      <c r="AM913" t="s">
        <v>209</v>
      </c>
      <c r="AN913" t="s">
        <v>210</v>
      </c>
      <c r="AO913" t="s">
        <v>2587</v>
      </c>
      <c r="AP913" t="s">
        <v>2588</v>
      </c>
      <c r="AQ913" t="s">
        <v>74</v>
      </c>
      <c r="AR913" t="s">
        <v>2589</v>
      </c>
      <c r="AS913" t="s">
        <v>2590</v>
      </c>
      <c r="AT913" t="s">
        <v>15076</v>
      </c>
      <c r="AU913">
        <v>2017</v>
      </c>
      <c r="AV913">
        <v>40</v>
      </c>
      <c r="AW913">
        <v>7</v>
      </c>
      <c r="AX913" t="s">
        <v>74</v>
      </c>
      <c r="AY913" t="s">
        <v>74</v>
      </c>
      <c r="AZ913" t="s">
        <v>74</v>
      </c>
      <c r="BA913" t="s">
        <v>74</v>
      </c>
      <c r="BB913">
        <v>1481</v>
      </c>
      <c r="BC913">
        <v>1492</v>
      </c>
      <c r="BD913" t="s">
        <v>74</v>
      </c>
      <c r="BE913" t="s">
        <v>17413</v>
      </c>
      <c r="BF913" t="str">
        <f>HYPERLINK("http://dx.doi.org/10.1007/s00300-016-2059-y","http://dx.doi.org/10.1007/s00300-016-2059-y")</f>
        <v>http://dx.doi.org/10.1007/s00300-016-2059-y</v>
      </c>
      <c r="BG913" t="s">
        <v>74</v>
      </c>
      <c r="BH913" t="s">
        <v>74</v>
      </c>
      <c r="BI913">
        <v>12</v>
      </c>
      <c r="BJ913" t="s">
        <v>2592</v>
      </c>
      <c r="BK913" t="s">
        <v>101</v>
      </c>
      <c r="BL913" t="s">
        <v>2593</v>
      </c>
      <c r="BM913" t="s">
        <v>15847</v>
      </c>
      <c r="BN913" t="s">
        <v>74</v>
      </c>
      <c r="BO913" t="s">
        <v>529</v>
      </c>
      <c r="BP913" t="s">
        <v>74</v>
      </c>
      <c r="BQ913" t="s">
        <v>74</v>
      </c>
      <c r="BR913" t="s">
        <v>105</v>
      </c>
      <c r="BS913" t="s">
        <v>17414</v>
      </c>
      <c r="BT913" t="str">
        <f>HYPERLINK("https%3A%2F%2Fwww.webofscience.com%2Fwos%2Fwoscc%2Ffull-record%2FWOS:000406338800014","View Full Record in Web of Science")</f>
        <v>View Full Record in Web of Science</v>
      </c>
    </row>
    <row r="914" spans="1:72" x14ac:dyDescent="0.15">
      <c r="A914" t="s">
        <v>72</v>
      </c>
      <c r="B914" t="s">
        <v>17415</v>
      </c>
      <c r="C914" t="s">
        <v>74</v>
      </c>
      <c r="D914" t="s">
        <v>74</v>
      </c>
      <c r="E914" t="s">
        <v>74</v>
      </c>
      <c r="F914" t="s">
        <v>17416</v>
      </c>
      <c r="G914" t="s">
        <v>74</v>
      </c>
      <c r="H914" t="s">
        <v>74</v>
      </c>
      <c r="I914" t="s">
        <v>17417</v>
      </c>
      <c r="J914" t="s">
        <v>2256</v>
      </c>
      <c r="K914" t="s">
        <v>74</v>
      </c>
      <c r="L914" t="s">
        <v>74</v>
      </c>
      <c r="M914" t="s">
        <v>78</v>
      </c>
      <c r="N914" t="s">
        <v>79</v>
      </c>
      <c r="O914" t="s">
        <v>74</v>
      </c>
      <c r="P914" t="s">
        <v>74</v>
      </c>
      <c r="Q914" t="s">
        <v>74</v>
      </c>
      <c r="R914" t="s">
        <v>74</v>
      </c>
      <c r="S914" t="s">
        <v>74</v>
      </c>
      <c r="T914" t="s">
        <v>74</v>
      </c>
      <c r="U914" t="s">
        <v>17418</v>
      </c>
      <c r="V914" t="s">
        <v>17419</v>
      </c>
      <c r="W914" t="s">
        <v>17420</v>
      </c>
      <c r="X914" t="s">
        <v>17421</v>
      </c>
      <c r="Y914" t="s">
        <v>17422</v>
      </c>
      <c r="Z914" t="s">
        <v>17423</v>
      </c>
      <c r="AA914" t="s">
        <v>17424</v>
      </c>
      <c r="AB914" t="s">
        <v>17425</v>
      </c>
      <c r="AC914" t="s">
        <v>17426</v>
      </c>
      <c r="AD914" t="s">
        <v>17427</v>
      </c>
      <c r="AE914" t="s">
        <v>17428</v>
      </c>
      <c r="AF914" t="s">
        <v>74</v>
      </c>
      <c r="AG914">
        <v>76</v>
      </c>
      <c r="AH914">
        <v>19</v>
      </c>
      <c r="AI914">
        <v>21</v>
      </c>
      <c r="AJ914">
        <v>1</v>
      </c>
      <c r="AK914">
        <v>27</v>
      </c>
      <c r="AL914" t="s">
        <v>1981</v>
      </c>
      <c r="AM914" t="s">
        <v>729</v>
      </c>
      <c r="AN914" t="s">
        <v>1982</v>
      </c>
      <c r="AO914" t="s">
        <v>2269</v>
      </c>
      <c r="AP914" t="s">
        <v>74</v>
      </c>
      <c r="AQ914" t="s">
        <v>74</v>
      </c>
      <c r="AR914" t="s">
        <v>2270</v>
      </c>
      <c r="AS914" t="s">
        <v>2271</v>
      </c>
      <c r="AT914" t="s">
        <v>16014</v>
      </c>
      <c r="AU914">
        <v>2017</v>
      </c>
      <c r="AV914">
        <v>167</v>
      </c>
      <c r="AW914" t="s">
        <v>74</v>
      </c>
      <c r="AX914" t="s">
        <v>74</v>
      </c>
      <c r="AY914" t="s">
        <v>74</v>
      </c>
      <c r="AZ914" t="s">
        <v>74</v>
      </c>
      <c r="BA914" t="s">
        <v>74</v>
      </c>
      <c r="BB914">
        <v>1</v>
      </c>
      <c r="BC914">
        <v>13</v>
      </c>
      <c r="BD914" t="s">
        <v>74</v>
      </c>
      <c r="BE914" t="s">
        <v>17429</v>
      </c>
      <c r="BF914" t="str">
        <f>HYPERLINK("http://dx.doi.org/10.1016/j.quascirev.2017.04.020","http://dx.doi.org/10.1016/j.quascirev.2017.04.020")</f>
        <v>http://dx.doi.org/10.1016/j.quascirev.2017.04.020</v>
      </c>
      <c r="BG914" t="s">
        <v>74</v>
      </c>
      <c r="BH914" t="s">
        <v>74</v>
      </c>
      <c r="BI914">
        <v>13</v>
      </c>
      <c r="BJ914" t="s">
        <v>319</v>
      </c>
      <c r="BK914" t="s">
        <v>101</v>
      </c>
      <c r="BL914" t="s">
        <v>320</v>
      </c>
      <c r="BM914" t="s">
        <v>17430</v>
      </c>
      <c r="BN914" t="s">
        <v>74</v>
      </c>
      <c r="BO914" t="s">
        <v>511</v>
      </c>
      <c r="BP914" t="s">
        <v>74</v>
      </c>
      <c r="BQ914" t="s">
        <v>74</v>
      </c>
      <c r="BR914" t="s">
        <v>105</v>
      </c>
      <c r="BS914" t="s">
        <v>17431</v>
      </c>
      <c r="BT914" t="str">
        <f>HYPERLINK("https%3A%2F%2Fwww.webofscience.com%2Fwos%2Fwoscc%2Ffull-record%2FWOS:000403997900001","View Full Record in Web of Science")</f>
        <v>View Full Record in Web of Science</v>
      </c>
    </row>
    <row r="915" spans="1:72" x14ac:dyDescent="0.15">
      <c r="A915" t="s">
        <v>72</v>
      </c>
      <c r="B915" t="s">
        <v>17432</v>
      </c>
      <c r="C915" t="s">
        <v>74</v>
      </c>
      <c r="D915" t="s">
        <v>74</v>
      </c>
      <c r="E915" t="s">
        <v>74</v>
      </c>
      <c r="F915" t="s">
        <v>17433</v>
      </c>
      <c r="G915" t="s">
        <v>74</v>
      </c>
      <c r="H915" t="s">
        <v>74</v>
      </c>
      <c r="I915" t="s">
        <v>17434</v>
      </c>
      <c r="J915" t="s">
        <v>3728</v>
      </c>
      <c r="K915" t="s">
        <v>74</v>
      </c>
      <c r="L915" t="s">
        <v>74</v>
      </c>
      <c r="M915" t="s">
        <v>78</v>
      </c>
      <c r="N915" t="s">
        <v>79</v>
      </c>
      <c r="O915" t="s">
        <v>74</v>
      </c>
      <c r="P915" t="s">
        <v>74</v>
      </c>
      <c r="Q915" t="s">
        <v>74</v>
      </c>
      <c r="R915" t="s">
        <v>74</v>
      </c>
      <c r="S915" t="s">
        <v>74</v>
      </c>
      <c r="T915" t="s">
        <v>17435</v>
      </c>
      <c r="U915" t="s">
        <v>17436</v>
      </c>
      <c r="V915" t="s">
        <v>17437</v>
      </c>
      <c r="W915" t="s">
        <v>17438</v>
      </c>
      <c r="X915" t="s">
        <v>17439</v>
      </c>
      <c r="Y915" t="s">
        <v>17440</v>
      </c>
      <c r="Z915" t="s">
        <v>17441</v>
      </c>
      <c r="AA915" t="s">
        <v>17442</v>
      </c>
      <c r="AB915" t="s">
        <v>17443</v>
      </c>
      <c r="AC915" t="s">
        <v>17444</v>
      </c>
      <c r="AD915" t="s">
        <v>17445</v>
      </c>
      <c r="AE915" t="s">
        <v>17446</v>
      </c>
      <c r="AF915" t="s">
        <v>74</v>
      </c>
      <c r="AG915">
        <v>68</v>
      </c>
      <c r="AH915">
        <v>45</v>
      </c>
      <c r="AI915">
        <v>48</v>
      </c>
      <c r="AJ915">
        <v>1</v>
      </c>
      <c r="AK915">
        <v>36</v>
      </c>
      <c r="AL915" t="s">
        <v>1809</v>
      </c>
      <c r="AM915" t="s">
        <v>182</v>
      </c>
      <c r="AN915" t="s">
        <v>1810</v>
      </c>
      <c r="AO915" t="s">
        <v>3741</v>
      </c>
      <c r="AP915" t="s">
        <v>74</v>
      </c>
      <c r="AQ915" t="s">
        <v>74</v>
      </c>
      <c r="AR915" t="s">
        <v>3742</v>
      </c>
      <c r="AS915" t="s">
        <v>3743</v>
      </c>
      <c r="AT915" t="s">
        <v>15076</v>
      </c>
      <c r="AU915">
        <v>2017</v>
      </c>
      <c r="AV915">
        <v>4</v>
      </c>
      <c r="AW915">
        <v>7</v>
      </c>
      <c r="AX915" t="s">
        <v>74</v>
      </c>
      <c r="AY915" t="s">
        <v>74</v>
      </c>
      <c r="AZ915" t="s">
        <v>74</v>
      </c>
      <c r="BA915" t="s">
        <v>74</v>
      </c>
      <c r="BB915" t="s">
        <v>74</v>
      </c>
      <c r="BC915" t="s">
        <v>74</v>
      </c>
      <c r="BD915">
        <v>170147</v>
      </c>
      <c r="BE915" t="s">
        <v>17447</v>
      </c>
      <c r="BF915" t="str">
        <f>HYPERLINK("http://dx.doi.org/10.1098/rsos.170147","http://dx.doi.org/10.1098/rsos.170147")</f>
        <v>http://dx.doi.org/10.1098/rsos.170147</v>
      </c>
      <c r="BG915" t="s">
        <v>74</v>
      </c>
      <c r="BH915" t="s">
        <v>74</v>
      </c>
      <c r="BI915">
        <v>13</v>
      </c>
      <c r="BJ915" t="s">
        <v>190</v>
      </c>
      <c r="BK915" t="s">
        <v>101</v>
      </c>
      <c r="BL915" t="s">
        <v>191</v>
      </c>
      <c r="BM915" t="s">
        <v>17448</v>
      </c>
      <c r="BN915">
        <v>28791139</v>
      </c>
      <c r="BO915" t="s">
        <v>17449</v>
      </c>
      <c r="BP915" t="s">
        <v>74</v>
      </c>
      <c r="BQ915" t="s">
        <v>74</v>
      </c>
      <c r="BR915" t="s">
        <v>105</v>
      </c>
      <c r="BS915" t="s">
        <v>17450</v>
      </c>
      <c r="BT915" t="str">
        <f>HYPERLINK("https%3A%2F%2Fwww.webofscience.com%2Fwos%2Fwoscc%2Ffull-record%2FWOS:000406670000022","View Full Record in Web of Science")</f>
        <v>View Full Record in Web of Science</v>
      </c>
    </row>
    <row r="916" spans="1:72" x14ac:dyDescent="0.15">
      <c r="A916" t="s">
        <v>72</v>
      </c>
      <c r="B916" t="s">
        <v>17451</v>
      </c>
      <c r="C916" t="s">
        <v>74</v>
      </c>
      <c r="D916" t="s">
        <v>74</v>
      </c>
      <c r="E916" t="s">
        <v>74</v>
      </c>
      <c r="F916" t="s">
        <v>17452</v>
      </c>
      <c r="G916" t="s">
        <v>74</v>
      </c>
      <c r="H916" t="s">
        <v>74</v>
      </c>
      <c r="I916" t="s">
        <v>17453</v>
      </c>
      <c r="J916" t="s">
        <v>17454</v>
      </c>
      <c r="K916" t="s">
        <v>74</v>
      </c>
      <c r="L916" t="s">
        <v>74</v>
      </c>
      <c r="M916" t="s">
        <v>78</v>
      </c>
      <c r="N916" t="s">
        <v>79</v>
      </c>
      <c r="O916" t="s">
        <v>74</v>
      </c>
      <c r="P916" t="s">
        <v>74</v>
      </c>
      <c r="Q916" t="s">
        <v>74</v>
      </c>
      <c r="R916" t="s">
        <v>74</v>
      </c>
      <c r="S916" t="s">
        <v>74</v>
      </c>
      <c r="T916" t="s">
        <v>17455</v>
      </c>
      <c r="U916" t="s">
        <v>17456</v>
      </c>
      <c r="V916" t="s">
        <v>17457</v>
      </c>
      <c r="W916" t="s">
        <v>17458</v>
      </c>
      <c r="X916" t="s">
        <v>17459</v>
      </c>
      <c r="Y916" t="s">
        <v>17460</v>
      </c>
      <c r="Z916" t="s">
        <v>17461</v>
      </c>
      <c r="AA916" t="s">
        <v>17462</v>
      </c>
      <c r="AB916" t="s">
        <v>17463</v>
      </c>
      <c r="AC916" t="s">
        <v>17464</v>
      </c>
      <c r="AD916" t="s">
        <v>17465</v>
      </c>
      <c r="AE916" t="s">
        <v>17466</v>
      </c>
      <c r="AF916" t="s">
        <v>74</v>
      </c>
      <c r="AG916">
        <v>61</v>
      </c>
      <c r="AH916">
        <v>33</v>
      </c>
      <c r="AI916">
        <v>35</v>
      </c>
      <c r="AJ916">
        <v>0</v>
      </c>
      <c r="AK916">
        <v>9</v>
      </c>
      <c r="AL916" t="s">
        <v>5918</v>
      </c>
      <c r="AM916" t="s">
        <v>729</v>
      </c>
      <c r="AN916" t="s">
        <v>5919</v>
      </c>
      <c r="AO916" t="s">
        <v>74</v>
      </c>
      <c r="AP916" t="s">
        <v>17467</v>
      </c>
      <c r="AQ916" t="s">
        <v>74</v>
      </c>
      <c r="AR916" t="s">
        <v>17468</v>
      </c>
      <c r="AS916" t="s">
        <v>17469</v>
      </c>
      <c r="AT916" t="s">
        <v>15076</v>
      </c>
      <c r="AU916">
        <v>2017</v>
      </c>
      <c r="AV916">
        <v>3</v>
      </c>
      <c r="AW916">
        <v>2</v>
      </c>
      <c r="AX916" t="s">
        <v>74</v>
      </c>
      <c r="AY916" t="s">
        <v>74</v>
      </c>
      <c r="AZ916" t="s">
        <v>74</v>
      </c>
      <c r="BA916" t="s">
        <v>74</v>
      </c>
      <c r="BB916" t="s">
        <v>74</v>
      </c>
      <c r="BC916" t="s">
        <v>74</v>
      </c>
      <c r="BD916" t="s">
        <v>17470</v>
      </c>
      <c r="BE916" t="s">
        <v>17471</v>
      </c>
      <c r="BF916" t="str">
        <f>HYPERLINK("http://dx.doi.org/10.1093/ve/vex027","http://dx.doi.org/10.1093/ve/vex027")</f>
        <v>http://dx.doi.org/10.1093/ve/vex027</v>
      </c>
      <c r="BG916" t="s">
        <v>74</v>
      </c>
      <c r="BH916" t="s">
        <v>74</v>
      </c>
      <c r="BI916">
        <v>12</v>
      </c>
      <c r="BJ916" t="s">
        <v>10682</v>
      </c>
      <c r="BK916" t="s">
        <v>101</v>
      </c>
      <c r="BL916" t="s">
        <v>10682</v>
      </c>
      <c r="BM916" t="s">
        <v>17472</v>
      </c>
      <c r="BN916">
        <v>29026649</v>
      </c>
      <c r="BO916" t="s">
        <v>1112</v>
      </c>
      <c r="BP916" t="s">
        <v>74</v>
      </c>
      <c r="BQ916" t="s">
        <v>74</v>
      </c>
      <c r="BR916" t="s">
        <v>105</v>
      </c>
      <c r="BS916" t="s">
        <v>17473</v>
      </c>
      <c r="BT916" t="str">
        <f>HYPERLINK("https%3A%2F%2Fwww.webofscience.com%2Fwos%2Fwoscc%2Ffull-record%2FWOS:000424296300012","View Full Record in Web of Science")</f>
        <v>View Full Record in Web of Science</v>
      </c>
    </row>
    <row r="917" spans="1:72" x14ac:dyDescent="0.15">
      <c r="A917" t="s">
        <v>72</v>
      </c>
      <c r="B917" t="s">
        <v>17474</v>
      </c>
      <c r="C917" t="s">
        <v>74</v>
      </c>
      <c r="D917" t="s">
        <v>74</v>
      </c>
      <c r="E917" t="s">
        <v>74</v>
      </c>
      <c r="F917" t="s">
        <v>17475</v>
      </c>
      <c r="G917" t="s">
        <v>74</v>
      </c>
      <c r="H917" t="s">
        <v>74</v>
      </c>
      <c r="I917" t="s">
        <v>17476</v>
      </c>
      <c r="J917" t="s">
        <v>2406</v>
      </c>
      <c r="K917" t="s">
        <v>74</v>
      </c>
      <c r="L917" t="s">
        <v>74</v>
      </c>
      <c r="M917" t="s">
        <v>78</v>
      </c>
      <c r="N917" t="s">
        <v>79</v>
      </c>
      <c r="O917" t="s">
        <v>74</v>
      </c>
      <c r="P917" t="s">
        <v>74</v>
      </c>
      <c r="Q917" t="s">
        <v>74</v>
      </c>
      <c r="R917" t="s">
        <v>74</v>
      </c>
      <c r="S917" t="s">
        <v>74</v>
      </c>
      <c r="T917" t="s">
        <v>74</v>
      </c>
      <c r="U917" t="s">
        <v>17477</v>
      </c>
      <c r="V917" t="s">
        <v>17478</v>
      </c>
      <c r="W917" t="s">
        <v>17479</v>
      </c>
      <c r="X917" t="s">
        <v>17480</v>
      </c>
      <c r="Y917" t="s">
        <v>17481</v>
      </c>
      <c r="Z917" t="s">
        <v>17482</v>
      </c>
      <c r="AA917" t="s">
        <v>6171</v>
      </c>
      <c r="AB917" t="s">
        <v>74</v>
      </c>
      <c r="AC917" t="s">
        <v>17483</v>
      </c>
      <c r="AD917" t="s">
        <v>17484</v>
      </c>
      <c r="AE917" t="s">
        <v>17485</v>
      </c>
      <c r="AF917" t="s">
        <v>74</v>
      </c>
      <c r="AG917">
        <v>40</v>
      </c>
      <c r="AH917">
        <v>11</v>
      </c>
      <c r="AI917">
        <v>13</v>
      </c>
      <c r="AJ917">
        <v>0</v>
      </c>
      <c r="AK917">
        <v>9</v>
      </c>
      <c r="AL917" t="s">
        <v>1366</v>
      </c>
      <c r="AM917" t="s">
        <v>1367</v>
      </c>
      <c r="AN917" t="s">
        <v>1368</v>
      </c>
      <c r="AO917" t="s">
        <v>2418</v>
      </c>
      <c r="AP917" t="s">
        <v>2419</v>
      </c>
      <c r="AQ917" t="s">
        <v>74</v>
      </c>
      <c r="AR917" t="s">
        <v>2420</v>
      </c>
      <c r="AS917" t="s">
        <v>2421</v>
      </c>
      <c r="AT917" t="s">
        <v>15076</v>
      </c>
      <c r="AU917">
        <v>2017</v>
      </c>
      <c r="AV917">
        <v>30</v>
      </c>
      <c r="AW917">
        <v>13</v>
      </c>
      <c r="AX917" t="s">
        <v>74</v>
      </c>
      <c r="AY917" t="s">
        <v>74</v>
      </c>
      <c r="AZ917" t="s">
        <v>74</v>
      </c>
      <c r="BA917" t="s">
        <v>74</v>
      </c>
      <c r="BB917">
        <v>5119</v>
      </c>
      <c r="BC917">
        <v>5140</v>
      </c>
      <c r="BD917" t="s">
        <v>74</v>
      </c>
      <c r="BE917" t="s">
        <v>17486</v>
      </c>
      <c r="BF917" t="str">
        <f>HYPERLINK("http://dx.doi.org/10.1175/JCLI-D-16-0223.1","http://dx.doi.org/10.1175/JCLI-D-16-0223.1")</f>
        <v>http://dx.doi.org/10.1175/JCLI-D-16-0223.1</v>
      </c>
      <c r="BG917" t="s">
        <v>74</v>
      </c>
      <c r="BH917" t="s">
        <v>74</v>
      </c>
      <c r="BI917">
        <v>22</v>
      </c>
      <c r="BJ917" t="s">
        <v>162</v>
      </c>
      <c r="BK917" t="s">
        <v>101</v>
      </c>
      <c r="BL917" t="s">
        <v>162</v>
      </c>
      <c r="BM917" t="s">
        <v>17487</v>
      </c>
      <c r="BN917" t="s">
        <v>74</v>
      </c>
      <c r="BO917" t="s">
        <v>16640</v>
      </c>
      <c r="BP917" t="s">
        <v>74</v>
      </c>
      <c r="BQ917" t="s">
        <v>74</v>
      </c>
      <c r="BR917" t="s">
        <v>105</v>
      </c>
      <c r="BS917" t="s">
        <v>17488</v>
      </c>
      <c r="BT917" t="str">
        <f>HYPERLINK("https%3A%2F%2Fwww.webofscience.com%2Fwos%2Fwoscc%2Ffull-record%2FWOS:000403096200014","View Full Record in Web of Science")</f>
        <v>View Full Record in Web of Science</v>
      </c>
    </row>
    <row r="918" spans="1:72" x14ac:dyDescent="0.15">
      <c r="A918" t="s">
        <v>72</v>
      </c>
      <c r="B918" t="s">
        <v>17489</v>
      </c>
      <c r="C918" t="s">
        <v>74</v>
      </c>
      <c r="D918" t="s">
        <v>74</v>
      </c>
      <c r="E918" t="s">
        <v>74</v>
      </c>
      <c r="F918" t="s">
        <v>17490</v>
      </c>
      <c r="G918" t="s">
        <v>74</v>
      </c>
      <c r="H918" t="s">
        <v>74</v>
      </c>
      <c r="I918" t="s">
        <v>17491</v>
      </c>
      <c r="J918" t="s">
        <v>17492</v>
      </c>
      <c r="K918" t="s">
        <v>74</v>
      </c>
      <c r="L918" t="s">
        <v>74</v>
      </c>
      <c r="M918" t="s">
        <v>78</v>
      </c>
      <c r="N918" t="s">
        <v>79</v>
      </c>
      <c r="O918" t="s">
        <v>74</v>
      </c>
      <c r="P918" t="s">
        <v>74</v>
      </c>
      <c r="Q918" t="s">
        <v>74</v>
      </c>
      <c r="R918" t="s">
        <v>74</v>
      </c>
      <c r="S918" t="s">
        <v>74</v>
      </c>
      <c r="T918" t="s">
        <v>17493</v>
      </c>
      <c r="U918" t="s">
        <v>17494</v>
      </c>
      <c r="V918" t="s">
        <v>17495</v>
      </c>
      <c r="W918" t="s">
        <v>17496</v>
      </c>
      <c r="X918" t="s">
        <v>3617</v>
      </c>
      <c r="Y918" t="s">
        <v>17497</v>
      </c>
      <c r="Z918" t="s">
        <v>17498</v>
      </c>
      <c r="AA918" t="s">
        <v>17499</v>
      </c>
      <c r="AB918" t="s">
        <v>17500</v>
      </c>
      <c r="AC918" t="s">
        <v>17501</v>
      </c>
      <c r="AD918" t="s">
        <v>17502</v>
      </c>
      <c r="AE918" t="s">
        <v>17503</v>
      </c>
      <c r="AF918" t="s">
        <v>74</v>
      </c>
      <c r="AG918">
        <v>24</v>
      </c>
      <c r="AH918">
        <v>51</v>
      </c>
      <c r="AI918">
        <v>57</v>
      </c>
      <c r="AJ918">
        <v>2</v>
      </c>
      <c r="AK918">
        <v>59</v>
      </c>
      <c r="AL918" t="s">
        <v>1338</v>
      </c>
      <c r="AM918" t="s">
        <v>1339</v>
      </c>
      <c r="AN918" t="s">
        <v>1340</v>
      </c>
      <c r="AO918" t="s">
        <v>17504</v>
      </c>
      <c r="AP918" t="s">
        <v>17505</v>
      </c>
      <c r="AQ918" t="s">
        <v>74</v>
      </c>
      <c r="AR918" t="s">
        <v>17492</v>
      </c>
      <c r="AS918" t="s">
        <v>17506</v>
      </c>
      <c r="AT918" t="s">
        <v>15076</v>
      </c>
      <c r="AU918">
        <v>2017</v>
      </c>
      <c r="AV918">
        <v>159</v>
      </c>
      <c r="AW918">
        <v>3</v>
      </c>
      <c r="AX918" t="s">
        <v>74</v>
      </c>
      <c r="AY918" t="s">
        <v>74</v>
      </c>
      <c r="AZ918" t="s">
        <v>74</v>
      </c>
      <c r="BA918" t="s">
        <v>74</v>
      </c>
      <c r="BB918">
        <v>481</v>
      </c>
      <c r="BC918">
        <v>490</v>
      </c>
      <c r="BD918" t="s">
        <v>74</v>
      </c>
      <c r="BE918" t="s">
        <v>17507</v>
      </c>
      <c r="BF918" t="str">
        <f>HYPERLINK("http://dx.doi.org/10.1111/ibi.12482","http://dx.doi.org/10.1111/ibi.12482")</f>
        <v>http://dx.doi.org/10.1111/ibi.12482</v>
      </c>
      <c r="BG918" t="s">
        <v>74</v>
      </c>
      <c r="BH918" t="s">
        <v>74</v>
      </c>
      <c r="BI918">
        <v>10</v>
      </c>
      <c r="BJ918" t="s">
        <v>2801</v>
      </c>
      <c r="BK918" t="s">
        <v>101</v>
      </c>
      <c r="BL918" t="s">
        <v>2802</v>
      </c>
      <c r="BM918" t="s">
        <v>17508</v>
      </c>
      <c r="BN918" t="s">
        <v>74</v>
      </c>
      <c r="BO918" t="s">
        <v>1240</v>
      </c>
      <c r="BP918" t="s">
        <v>74</v>
      </c>
      <c r="BQ918" t="s">
        <v>74</v>
      </c>
      <c r="BR918" t="s">
        <v>105</v>
      </c>
      <c r="BS918" t="s">
        <v>17509</v>
      </c>
      <c r="BT918" t="str">
        <f>HYPERLINK("https%3A%2F%2Fwww.webofscience.com%2Fwos%2Fwoscc%2Ffull-record%2FWOS:000403102000001","View Full Record in Web of Science")</f>
        <v>View Full Record in Web of Science</v>
      </c>
    </row>
    <row r="919" spans="1:72" x14ac:dyDescent="0.15">
      <c r="A919" t="s">
        <v>72</v>
      </c>
      <c r="B919" t="s">
        <v>17510</v>
      </c>
      <c r="C919" t="s">
        <v>74</v>
      </c>
      <c r="D919" t="s">
        <v>74</v>
      </c>
      <c r="E919" t="s">
        <v>74</v>
      </c>
      <c r="F919" t="s">
        <v>17511</v>
      </c>
      <c r="G919" t="s">
        <v>74</v>
      </c>
      <c r="H919" t="s">
        <v>74</v>
      </c>
      <c r="I919" t="s">
        <v>17512</v>
      </c>
      <c r="J919" t="s">
        <v>7392</v>
      </c>
      <c r="K919" t="s">
        <v>74</v>
      </c>
      <c r="L919" t="s">
        <v>74</v>
      </c>
      <c r="M919" t="s">
        <v>78</v>
      </c>
      <c r="N919" t="s">
        <v>273</v>
      </c>
      <c r="O919" t="s">
        <v>74</v>
      </c>
      <c r="P919" t="s">
        <v>74</v>
      </c>
      <c r="Q919" t="s">
        <v>74</v>
      </c>
      <c r="R919" t="s">
        <v>74</v>
      </c>
      <c r="S919" t="s">
        <v>74</v>
      </c>
      <c r="T919" t="s">
        <v>17513</v>
      </c>
      <c r="U919" t="s">
        <v>17514</v>
      </c>
      <c r="V919" t="s">
        <v>17515</v>
      </c>
      <c r="W919" t="s">
        <v>17516</v>
      </c>
      <c r="X919" t="s">
        <v>17517</v>
      </c>
      <c r="Y919" t="s">
        <v>17518</v>
      </c>
      <c r="Z919" t="s">
        <v>17519</v>
      </c>
      <c r="AA919" t="s">
        <v>17520</v>
      </c>
      <c r="AB919" t="s">
        <v>17521</v>
      </c>
      <c r="AC919" t="s">
        <v>17522</v>
      </c>
      <c r="AD919" t="s">
        <v>17523</v>
      </c>
      <c r="AE919" t="s">
        <v>17524</v>
      </c>
      <c r="AF919" t="s">
        <v>74</v>
      </c>
      <c r="AG919">
        <v>122</v>
      </c>
      <c r="AH919">
        <v>19</v>
      </c>
      <c r="AI919">
        <v>20</v>
      </c>
      <c r="AJ919">
        <v>0</v>
      </c>
      <c r="AK919">
        <v>6</v>
      </c>
      <c r="AL919" t="s">
        <v>1270</v>
      </c>
      <c r="AM919" t="s">
        <v>209</v>
      </c>
      <c r="AN919" t="s">
        <v>1682</v>
      </c>
      <c r="AO919" t="s">
        <v>7404</v>
      </c>
      <c r="AP919" t="s">
        <v>7405</v>
      </c>
      <c r="AQ919" t="s">
        <v>74</v>
      </c>
      <c r="AR919" t="s">
        <v>7406</v>
      </c>
      <c r="AS919" t="s">
        <v>7407</v>
      </c>
      <c r="AT919" t="s">
        <v>15076</v>
      </c>
      <c r="AU919">
        <v>2017</v>
      </c>
      <c r="AV919">
        <v>154</v>
      </c>
      <c r="AW919">
        <v>4</v>
      </c>
      <c r="AX919" t="s">
        <v>74</v>
      </c>
      <c r="AY919" t="s">
        <v>74</v>
      </c>
      <c r="AZ919" t="s">
        <v>74</v>
      </c>
      <c r="BA919" t="s">
        <v>74</v>
      </c>
      <c r="BB919">
        <v>777</v>
      </c>
      <c r="BC919">
        <v>803</v>
      </c>
      <c r="BD919" t="s">
        <v>74</v>
      </c>
      <c r="BE919" t="s">
        <v>17525</v>
      </c>
      <c r="BF919" t="str">
        <f>HYPERLINK("http://dx.doi.org/10.1017/S0016756816000388","http://dx.doi.org/10.1017/S0016756816000388")</f>
        <v>http://dx.doi.org/10.1017/S0016756816000388</v>
      </c>
      <c r="BG919" t="s">
        <v>74</v>
      </c>
      <c r="BH919" t="s">
        <v>74</v>
      </c>
      <c r="BI919">
        <v>27</v>
      </c>
      <c r="BJ919" t="s">
        <v>100</v>
      </c>
      <c r="BK919" t="s">
        <v>101</v>
      </c>
      <c r="BL919" t="s">
        <v>102</v>
      </c>
      <c r="BM919" t="s">
        <v>17526</v>
      </c>
      <c r="BN919" t="s">
        <v>74</v>
      </c>
      <c r="BO919" t="s">
        <v>74</v>
      </c>
      <c r="BP919" t="s">
        <v>74</v>
      </c>
      <c r="BQ919" t="s">
        <v>74</v>
      </c>
      <c r="BR919" t="s">
        <v>105</v>
      </c>
      <c r="BS919" t="s">
        <v>17527</v>
      </c>
      <c r="BT919" t="str">
        <f>HYPERLINK("https%3A%2F%2Fwww.webofscience.com%2Fwos%2Fwoscc%2Ffull-record%2FWOS:000402811500006","View Full Record in Web of Science")</f>
        <v>View Full Record in Web of Science</v>
      </c>
    </row>
    <row r="920" spans="1:72" x14ac:dyDescent="0.15">
      <c r="A920" t="s">
        <v>72</v>
      </c>
      <c r="B920" t="s">
        <v>17528</v>
      </c>
      <c r="C920" t="s">
        <v>74</v>
      </c>
      <c r="D920" t="s">
        <v>74</v>
      </c>
      <c r="E920" t="s">
        <v>74</v>
      </c>
      <c r="F920" t="s">
        <v>17529</v>
      </c>
      <c r="G920" t="s">
        <v>74</v>
      </c>
      <c r="H920" t="s">
        <v>74</v>
      </c>
      <c r="I920" t="s">
        <v>17530</v>
      </c>
      <c r="J920" t="s">
        <v>3926</v>
      </c>
      <c r="K920" t="s">
        <v>74</v>
      </c>
      <c r="L920" t="s">
        <v>74</v>
      </c>
      <c r="M920" t="s">
        <v>78</v>
      </c>
      <c r="N920" t="s">
        <v>79</v>
      </c>
      <c r="O920" t="s">
        <v>74</v>
      </c>
      <c r="P920" t="s">
        <v>74</v>
      </c>
      <c r="Q920" t="s">
        <v>74</v>
      </c>
      <c r="R920" t="s">
        <v>74</v>
      </c>
      <c r="S920" t="s">
        <v>74</v>
      </c>
      <c r="T920" t="s">
        <v>17531</v>
      </c>
      <c r="U920" t="s">
        <v>17532</v>
      </c>
      <c r="V920" t="s">
        <v>17533</v>
      </c>
      <c r="W920" t="s">
        <v>17534</v>
      </c>
      <c r="X920" t="s">
        <v>17535</v>
      </c>
      <c r="Y920" t="s">
        <v>17536</v>
      </c>
      <c r="Z920" t="s">
        <v>17537</v>
      </c>
      <c r="AA920" t="s">
        <v>17538</v>
      </c>
      <c r="AB920" t="s">
        <v>17539</v>
      </c>
      <c r="AC920" t="s">
        <v>17540</v>
      </c>
      <c r="AD920" t="s">
        <v>17541</v>
      </c>
      <c r="AE920" t="s">
        <v>17542</v>
      </c>
      <c r="AF920" t="s">
        <v>74</v>
      </c>
      <c r="AG920">
        <v>87</v>
      </c>
      <c r="AH920">
        <v>37</v>
      </c>
      <c r="AI920">
        <v>38</v>
      </c>
      <c r="AJ920">
        <v>1</v>
      </c>
      <c r="AK920">
        <v>32</v>
      </c>
      <c r="AL920" t="s">
        <v>1981</v>
      </c>
      <c r="AM920" t="s">
        <v>729</v>
      </c>
      <c r="AN920" t="s">
        <v>1982</v>
      </c>
      <c r="AO920" t="s">
        <v>3939</v>
      </c>
      <c r="AP920" t="s">
        <v>3940</v>
      </c>
      <c r="AQ920" t="s">
        <v>74</v>
      </c>
      <c r="AR920" t="s">
        <v>3941</v>
      </c>
      <c r="AS920" t="s">
        <v>3942</v>
      </c>
      <c r="AT920" t="s">
        <v>16014</v>
      </c>
      <c r="AU920">
        <v>2017</v>
      </c>
      <c r="AV920">
        <v>208</v>
      </c>
      <c r="AW920" t="s">
        <v>74</v>
      </c>
      <c r="AX920" t="s">
        <v>74</v>
      </c>
      <c r="AY920" t="s">
        <v>74</v>
      </c>
      <c r="AZ920" t="s">
        <v>74</v>
      </c>
      <c r="BA920" t="s">
        <v>74</v>
      </c>
      <c r="BB920">
        <v>119</v>
      </c>
      <c r="BC920">
        <v>144</v>
      </c>
      <c r="BD920" t="s">
        <v>74</v>
      </c>
      <c r="BE920" t="s">
        <v>17543</v>
      </c>
      <c r="BF920" t="str">
        <f>HYPERLINK("http://dx.doi.org/10.1016/j.gca.2017.03.034","http://dx.doi.org/10.1016/j.gca.2017.03.034")</f>
        <v>http://dx.doi.org/10.1016/j.gca.2017.03.034</v>
      </c>
      <c r="BG920" t="s">
        <v>74</v>
      </c>
      <c r="BH920" t="s">
        <v>74</v>
      </c>
      <c r="BI920">
        <v>26</v>
      </c>
      <c r="BJ920" t="s">
        <v>509</v>
      </c>
      <c r="BK920" t="s">
        <v>101</v>
      </c>
      <c r="BL920" t="s">
        <v>509</v>
      </c>
      <c r="BM920" t="s">
        <v>17544</v>
      </c>
      <c r="BN920" t="s">
        <v>74</v>
      </c>
      <c r="BO920" t="s">
        <v>511</v>
      </c>
      <c r="BP920" t="s">
        <v>74</v>
      </c>
      <c r="BQ920" t="s">
        <v>74</v>
      </c>
      <c r="BR920" t="s">
        <v>105</v>
      </c>
      <c r="BS920" t="s">
        <v>17545</v>
      </c>
      <c r="BT920" t="str">
        <f>HYPERLINK("https%3A%2F%2Fwww.webofscience.com%2Fwos%2Fwoscc%2Ffull-record%2FWOS:000402489500007","View Full Record in Web of Science")</f>
        <v>View Full Record in Web of Science</v>
      </c>
    </row>
    <row r="921" spans="1:72" x14ac:dyDescent="0.15">
      <c r="A921" t="s">
        <v>72</v>
      </c>
      <c r="B921" t="s">
        <v>17546</v>
      </c>
      <c r="C921" t="s">
        <v>74</v>
      </c>
      <c r="D921" t="s">
        <v>74</v>
      </c>
      <c r="E921" t="s">
        <v>74</v>
      </c>
      <c r="F921" t="s">
        <v>17547</v>
      </c>
      <c r="G921" t="s">
        <v>74</v>
      </c>
      <c r="H921" t="s">
        <v>74</v>
      </c>
      <c r="I921" t="s">
        <v>17548</v>
      </c>
      <c r="J921" t="s">
        <v>13075</v>
      </c>
      <c r="K921" t="s">
        <v>74</v>
      </c>
      <c r="L921" t="s">
        <v>74</v>
      </c>
      <c r="M921" t="s">
        <v>78</v>
      </c>
      <c r="N921" t="s">
        <v>79</v>
      </c>
      <c r="O921" t="s">
        <v>74</v>
      </c>
      <c r="P921" t="s">
        <v>74</v>
      </c>
      <c r="Q921" t="s">
        <v>74</v>
      </c>
      <c r="R921" t="s">
        <v>74</v>
      </c>
      <c r="S921" t="s">
        <v>74</v>
      </c>
      <c r="T921" t="s">
        <v>17549</v>
      </c>
      <c r="U921" t="s">
        <v>17550</v>
      </c>
      <c r="V921" t="s">
        <v>17551</v>
      </c>
      <c r="W921" t="s">
        <v>17552</v>
      </c>
      <c r="X921" t="s">
        <v>17553</v>
      </c>
      <c r="Y921" t="s">
        <v>17554</v>
      </c>
      <c r="Z921" t="s">
        <v>17555</v>
      </c>
      <c r="AA921" t="s">
        <v>17556</v>
      </c>
      <c r="AB921" t="s">
        <v>17557</v>
      </c>
      <c r="AC921" t="s">
        <v>17558</v>
      </c>
      <c r="AD921" t="s">
        <v>17559</v>
      </c>
      <c r="AE921" t="s">
        <v>17560</v>
      </c>
      <c r="AF921" t="s">
        <v>74</v>
      </c>
      <c r="AG921">
        <v>45</v>
      </c>
      <c r="AH921">
        <v>3</v>
      </c>
      <c r="AI921">
        <v>3</v>
      </c>
      <c r="AJ921">
        <v>2</v>
      </c>
      <c r="AK921">
        <v>38</v>
      </c>
      <c r="AL921" t="s">
        <v>728</v>
      </c>
      <c r="AM921" t="s">
        <v>729</v>
      </c>
      <c r="AN921" t="s">
        <v>730</v>
      </c>
      <c r="AO921" t="s">
        <v>13088</v>
      </c>
      <c r="AP921" t="s">
        <v>13089</v>
      </c>
      <c r="AQ921" t="s">
        <v>74</v>
      </c>
      <c r="AR921" t="s">
        <v>13090</v>
      </c>
      <c r="AS921" t="s">
        <v>13091</v>
      </c>
      <c r="AT921" t="s">
        <v>15076</v>
      </c>
      <c r="AU921">
        <v>2017</v>
      </c>
      <c r="AV921">
        <v>81</v>
      </c>
      <c r="AW921" t="s">
        <v>74</v>
      </c>
      <c r="AX921" t="s">
        <v>74</v>
      </c>
      <c r="AY921" t="s">
        <v>74</v>
      </c>
      <c r="AZ921" t="s">
        <v>74</v>
      </c>
      <c r="BA921" t="s">
        <v>74</v>
      </c>
      <c r="BB921">
        <v>312</v>
      </c>
      <c r="BC921">
        <v>321</v>
      </c>
      <c r="BD921" t="s">
        <v>74</v>
      </c>
      <c r="BE921" t="s">
        <v>17561</v>
      </c>
      <c r="BF921" t="str">
        <f>HYPERLINK("http://dx.doi.org/10.1016/j.marpol.2017.04.002","http://dx.doi.org/10.1016/j.marpol.2017.04.002")</f>
        <v>http://dx.doi.org/10.1016/j.marpol.2017.04.002</v>
      </c>
      <c r="BG921" t="s">
        <v>74</v>
      </c>
      <c r="BH921" t="s">
        <v>74</v>
      </c>
      <c r="BI921">
        <v>10</v>
      </c>
      <c r="BJ921" t="s">
        <v>13093</v>
      </c>
      <c r="BK921" t="s">
        <v>2049</v>
      </c>
      <c r="BL921" t="s">
        <v>13094</v>
      </c>
      <c r="BM921" t="s">
        <v>17224</v>
      </c>
      <c r="BN921" t="s">
        <v>74</v>
      </c>
      <c r="BO921" t="s">
        <v>74</v>
      </c>
      <c r="BP921" t="s">
        <v>74</v>
      </c>
      <c r="BQ921" t="s">
        <v>74</v>
      </c>
      <c r="BR921" t="s">
        <v>105</v>
      </c>
      <c r="BS921" t="s">
        <v>17562</v>
      </c>
      <c r="BT921" t="str">
        <f>HYPERLINK("https%3A%2F%2Fwww.webofscience.com%2Fwos%2Fwoscc%2Ffull-record%2FWOS:000402213400037","View Full Record in Web of Science")</f>
        <v>View Full Record in Web of Science</v>
      </c>
    </row>
    <row r="922" spans="1:72" x14ac:dyDescent="0.15">
      <c r="A922" t="s">
        <v>72</v>
      </c>
      <c r="B922" t="s">
        <v>17563</v>
      </c>
      <c r="C922" t="s">
        <v>74</v>
      </c>
      <c r="D922" t="s">
        <v>74</v>
      </c>
      <c r="E922" t="s">
        <v>74</v>
      </c>
      <c r="F922" t="s">
        <v>17564</v>
      </c>
      <c r="G922" t="s">
        <v>74</v>
      </c>
      <c r="H922" t="s">
        <v>74</v>
      </c>
      <c r="I922" t="s">
        <v>17565</v>
      </c>
      <c r="J922" t="s">
        <v>17566</v>
      </c>
      <c r="K922" t="s">
        <v>74</v>
      </c>
      <c r="L922" t="s">
        <v>74</v>
      </c>
      <c r="M922" t="s">
        <v>78</v>
      </c>
      <c r="N922" t="s">
        <v>79</v>
      </c>
      <c r="O922" t="s">
        <v>74</v>
      </c>
      <c r="P922" t="s">
        <v>74</v>
      </c>
      <c r="Q922" t="s">
        <v>74</v>
      </c>
      <c r="R922" t="s">
        <v>74</v>
      </c>
      <c r="S922" t="s">
        <v>74</v>
      </c>
      <c r="T922" t="s">
        <v>17567</v>
      </c>
      <c r="U922" t="s">
        <v>17568</v>
      </c>
      <c r="V922" t="s">
        <v>17569</v>
      </c>
      <c r="W922" t="s">
        <v>17570</v>
      </c>
      <c r="X922" t="s">
        <v>17571</v>
      </c>
      <c r="Y922" t="s">
        <v>17572</v>
      </c>
      <c r="Z922" t="s">
        <v>17573</v>
      </c>
      <c r="AA922" t="s">
        <v>17574</v>
      </c>
      <c r="AB922" t="s">
        <v>17575</v>
      </c>
      <c r="AC922" t="s">
        <v>17576</v>
      </c>
      <c r="AD922" t="s">
        <v>17577</v>
      </c>
      <c r="AE922" t="s">
        <v>17578</v>
      </c>
      <c r="AF922" t="s">
        <v>74</v>
      </c>
      <c r="AG922">
        <v>45</v>
      </c>
      <c r="AH922">
        <v>21</v>
      </c>
      <c r="AI922">
        <v>24</v>
      </c>
      <c r="AJ922">
        <v>1</v>
      </c>
      <c r="AK922">
        <v>28</v>
      </c>
      <c r="AL922" t="s">
        <v>4811</v>
      </c>
      <c r="AM922" t="s">
        <v>209</v>
      </c>
      <c r="AN922" t="s">
        <v>4812</v>
      </c>
      <c r="AO922" t="s">
        <v>17579</v>
      </c>
      <c r="AP922" t="s">
        <v>17580</v>
      </c>
      <c r="AQ922" t="s">
        <v>74</v>
      </c>
      <c r="AR922" t="s">
        <v>17581</v>
      </c>
      <c r="AS922" t="s">
        <v>17582</v>
      </c>
      <c r="AT922" t="s">
        <v>15076</v>
      </c>
      <c r="AU922">
        <v>2017</v>
      </c>
      <c r="AV922">
        <v>209</v>
      </c>
      <c r="AW922" t="s">
        <v>74</v>
      </c>
      <c r="AX922" t="s">
        <v>74</v>
      </c>
      <c r="AY922" t="s">
        <v>74</v>
      </c>
      <c r="AZ922" t="s">
        <v>74</v>
      </c>
      <c r="BA922" t="s">
        <v>74</v>
      </c>
      <c r="BB922">
        <v>65</v>
      </c>
      <c r="BC922">
        <v>73</v>
      </c>
      <c r="BD922" t="s">
        <v>74</v>
      </c>
      <c r="BE922" t="s">
        <v>17583</v>
      </c>
      <c r="BF922" t="str">
        <f>HYPERLINK("http://dx.doi.org/10.1016/j.cbpa.2017.04.014","http://dx.doi.org/10.1016/j.cbpa.2017.04.014")</f>
        <v>http://dx.doi.org/10.1016/j.cbpa.2017.04.014</v>
      </c>
      <c r="BG922" t="s">
        <v>74</v>
      </c>
      <c r="BH922" t="s">
        <v>74</v>
      </c>
      <c r="BI922">
        <v>9</v>
      </c>
      <c r="BJ922" t="s">
        <v>17584</v>
      </c>
      <c r="BK922" t="s">
        <v>101</v>
      </c>
      <c r="BL922" t="s">
        <v>17584</v>
      </c>
      <c r="BM922" t="s">
        <v>17585</v>
      </c>
      <c r="BN922">
        <v>28454925</v>
      </c>
      <c r="BO922" t="s">
        <v>74</v>
      </c>
      <c r="BP922" t="s">
        <v>74</v>
      </c>
      <c r="BQ922" t="s">
        <v>74</v>
      </c>
      <c r="BR922" t="s">
        <v>105</v>
      </c>
      <c r="BS922" t="s">
        <v>17586</v>
      </c>
      <c r="BT922" t="str">
        <f>HYPERLINK("https%3A%2F%2Fwww.webofscience.com%2Fwos%2Fwoscc%2Ffull-record%2FWOS:000402359400009","View Full Record in Web of Science")</f>
        <v>View Full Record in Web of Science</v>
      </c>
    </row>
    <row r="923" spans="1:72" x14ac:dyDescent="0.15">
      <c r="A923" t="s">
        <v>72</v>
      </c>
      <c r="B923" t="s">
        <v>17587</v>
      </c>
      <c r="C923" t="s">
        <v>74</v>
      </c>
      <c r="D923" t="s">
        <v>74</v>
      </c>
      <c r="E923" t="s">
        <v>74</v>
      </c>
      <c r="F923" t="s">
        <v>17588</v>
      </c>
      <c r="G923" t="s">
        <v>74</v>
      </c>
      <c r="H923" t="s">
        <v>74</v>
      </c>
      <c r="I923" t="s">
        <v>17589</v>
      </c>
      <c r="J923" t="s">
        <v>663</v>
      </c>
      <c r="K923" t="s">
        <v>74</v>
      </c>
      <c r="L923" t="s">
        <v>74</v>
      </c>
      <c r="M923" t="s">
        <v>78</v>
      </c>
      <c r="N923" t="s">
        <v>79</v>
      </c>
      <c r="O923" t="s">
        <v>74</v>
      </c>
      <c r="P923" t="s">
        <v>74</v>
      </c>
      <c r="Q923" t="s">
        <v>74</v>
      </c>
      <c r="R923" t="s">
        <v>74</v>
      </c>
      <c r="S923" t="s">
        <v>74</v>
      </c>
      <c r="T923" t="s">
        <v>17590</v>
      </c>
      <c r="U923" t="s">
        <v>17591</v>
      </c>
      <c r="V923" t="s">
        <v>17592</v>
      </c>
      <c r="W923" t="s">
        <v>17593</v>
      </c>
      <c r="X923" t="s">
        <v>17594</v>
      </c>
      <c r="Y923" t="s">
        <v>17595</v>
      </c>
      <c r="Z923" t="s">
        <v>17596</v>
      </c>
      <c r="AA923" t="s">
        <v>17597</v>
      </c>
      <c r="AB923" t="s">
        <v>17598</v>
      </c>
      <c r="AC923" t="s">
        <v>17599</v>
      </c>
      <c r="AD923" t="s">
        <v>17600</v>
      </c>
      <c r="AE923" t="s">
        <v>17601</v>
      </c>
      <c r="AF923" t="s">
        <v>74</v>
      </c>
      <c r="AG923">
        <v>68</v>
      </c>
      <c r="AH923">
        <v>16</v>
      </c>
      <c r="AI923">
        <v>18</v>
      </c>
      <c r="AJ923">
        <v>0</v>
      </c>
      <c r="AK923">
        <v>18</v>
      </c>
      <c r="AL923" t="s">
        <v>502</v>
      </c>
      <c r="AM923" t="s">
        <v>372</v>
      </c>
      <c r="AN923" t="s">
        <v>503</v>
      </c>
      <c r="AO923" t="s">
        <v>676</v>
      </c>
      <c r="AP923" t="s">
        <v>677</v>
      </c>
      <c r="AQ923" t="s">
        <v>74</v>
      </c>
      <c r="AR923" t="s">
        <v>678</v>
      </c>
      <c r="AS923" t="s">
        <v>679</v>
      </c>
      <c r="AT923" t="s">
        <v>16014</v>
      </c>
      <c r="AU923">
        <v>2017</v>
      </c>
      <c r="AV923">
        <v>469</v>
      </c>
      <c r="AW923" t="s">
        <v>74</v>
      </c>
      <c r="AX923" t="s">
        <v>74</v>
      </c>
      <c r="AY923" t="s">
        <v>74</v>
      </c>
      <c r="AZ923" t="s">
        <v>74</v>
      </c>
      <c r="BA923" t="s">
        <v>74</v>
      </c>
      <c r="BB923">
        <v>110</v>
      </c>
      <c r="BC923">
        <v>122</v>
      </c>
      <c r="BD923" t="s">
        <v>74</v>
      </c>
      <c r="BE923" t="s">
        <v>17602</v>
      </c>
      <c r="BF923" t="str">
        <f>HYPERLINK("http://dx.doi.org/10.1016/j.epsl.2017.03.035","http://dx.doi.org/10.1016/j.epsl.2017.03.035")</f>
        <v>http://dx.doi.org/10.1016/j.epsl.2017.03.035</v>
      </c>
      <c r="BG923" t="s">
        <v>74</v>
      </c>
      <c r="BH923" t="s">
        <v>74</v>
      </c>
      <c r="BI923">
        <v>13</v>
      </c>
      <c r="BJ923" t="s">
        <v>509</v>
      </c>
      <c r="BK923" t="s">
        <v>101</v>
      </c>
      <c r="BL923" t="s">
        <v>509</v>
      </c>
      <c r="BM923" t="s">
        <v>16781</v>
      </c>
      <c r="BN923" t="s">
        <v>74</v>
      </c>
      <c r="BO923" t="s">
        <v>74</v>
      </c>
      <c r="BP923" t="s">
        <v>74</v>
      </c>
      <c r="BQ923" t="s">
        <v>74</v>
      </c>
      <c r="BR923" t="s">
        <v>105</v>
      </c>
      <c r="BS923" t="s">
        <v>17603</v>
      </c>
      <c r="BT923" t="str">
        <f>HYPERLINK("https%3A%2F%2Fwww.webofscience.com%2Fwos%2Fwoscc%2Ffull-record%2FWOS:000402444700010","View Full Record in Web of Science")</f>
        <v>View Full Record in Web of Science</v>
      </c>
    </row>
    <row r="924" spans="1:72" x14ac:dyDescent="0.15">
      <c r="A924" t="s">
        <v>72</v>
      </c>
      <c r="B924" t="s">
        <v>17604</v>
      </c>
      <c r="C924" t="s">
        <v>74</v>
      </c>
      <c r="D924" t="s">
        <v>74</v>
      </c>
      <c r="E924" t="s">
        <v>74</v>
      </c>
      <c r="F924" t="s">
        <v>17605</v>
      </c>
      <c r="G924" t="s">
        <v>74</v>
      </c>
      <c r="H924" t="s">
        <v>74</v>
      </c>
      <c r="I924" t="s">
        <v>17606</v>
      </c>
      <c r="J924" t="s">
        <v>663</v>
      </c>
      <c r="K924" t="s">
        <v>74</v>
      </c>
      <c r="L924" t="s">
        <v>74</v>
      </c>
      <c r="M924" t="s">
        <v>78</v>
      </c>
      <c r="N924" t="s">
        <v>79</v>
      </c>
      <c r="O924" t="s">
        <v>74</v>
      </c>
      <c r="P924" t="s">
        <v>74</v>
      </c>
      <c r="Q924" t="s">
        <v>74</v>
      </c>
      <c r="R924" t="s">
        <v>74</v>
      </c>
      <c r="S924" t="s">
        <v>74</v>
      </c>
      <c r="T924" t="s">
        <v>17607</v>
      </c>
      <c r="U924" t="s">
        <v>17608</v>
      </c>
      <c r="V924" t="s">
        <v>17609</v>
      </c>
      <c r="W924" t="s">
        <v>17610</v>
      </c>
      <c r="X924" t="s">
        <v>17611</v>
      </c>
      <c r="Y924" t="s">
        <v>17612</v>
      </c>
      <c r="Z924" t="s">
        <v>17613</v>
      </c>
      <c r="AA924" t="s">
        <v>17614</v>
      </c>
      <c r="AB924" t="s">
        <v>17615</v>
      </c>
      <c r="AC924" t="s">
        <v>17616</v>
      </c>
      <c r="AD924" t="s">
        <v>17617</v>
      </c>
      <c r="AE924" t="s">
        <v>17618</v>
      </c>
      <c r="AF924" t="s">
        <v>74</v>
      </c>
      <c r="AG924">
        <v>43</v>
      </c>
      <c r="AH924">
        <v>26</v>
      </c>
      <c r="AI924">
        <v>29</v>
      </c>
      <c r="AJ924">
        <v>0</v>
      </c>
      <c r="AK924">
        <v>27</v>
      </c>
      <c r="AL924" t="s">
        <v>371</v>
      </c>
      <c r="AM924" t="s">
        <v>372</v>
      </c>
      <c r="AN924" t="s">
        <v>373</v>
      </c>
      <c r="AO924" t="s">
        <v>676</v>
      </c>
      <c r="AP924" t="s">
        <v>677</v>
      </c>
      <c r="AQ924" t="s">
        <v>74</v>
      </c>
      <c r="AR924" t="s">
        <v>678</v>
      </c>
      <c r="AS924" t="s">
        <v>679</v>
      </c>
      <c r="AT924" t="s">
        <v>16014</v>
      </c>
      <c r="AU924">
        <v>2017</v>
      </c>
      <c r="AV924">
        <v>469</v>
      </c>
      <c r="AW924" t="s">
        <v>74</v>
      </c>
      <c r="AX924" t="s">
        <v>74</v>
      </c>
      <c r="AY924" t="s">
        <v>74</v>
      </c>
      <c r="AZ924" t="s">
        <v>74</v>
      </c>
      <c r="BA924" t="s">
        <v>74</v>
      </c>
      <c r="BB924">
        <v>156</v>
      </c>
      <c r="BC924">
        <v>169</v>
      </c>
      <c r="BD924" t="s">
        <v>74</v>
      </c>
      <c r="BE924" t="s">
        <v>17619</v>
      </c>
      <c r="BF924" t="str">
        <f>HYPERLINK("http://dx.doi.org/10.1016/j.epsl.2017.04.001","http://dx.doi.org/10.1016/j.epsl.2017.04.001")</f>
        <v>http://dx.doi.org/10.1016/j.epsl.2017.04.001</v>
      </c>
      <c r="BG924" t="s">
        <v>74</v>
      </c>
      <c r="BH924" t="s">
        <v>74</v>
      </c>
      <c r="BI924">
        <v>14</v>
      </c>
      <c r="BJ924" t="s">
        <v>509</v>
      </c>
      <c r="BK924" t="s">
        <v>101</v>
      </c>
      <c r="BL924" t="s">
        <v>509</v>
      </c>
      <c r="BM924" t="s">
        <v>16781</v>
      </c>
      <c r="BN924" t="s">
        <v>74</v>
      </c>
      <c r="BO924" t="s">
        <v>2091</v>
      </c>
      <c r="BP924" t="s">
        <v>74</v>
      </c>
      <c r="BQ924" t="s">
        <v>74</v>
      </c>
      <c r="BR924" t="s">
        <v>105</v>
      </c>
      <c r="BS924" t="s">
        <v>17620</v>
      </c>
      <c r="BT924" t="str">
        <f>HYPERLINK("https%3A%2F%2Fwww.webofscience.com%2Fwos%2Fwoscc%2Ffull-record%2FWOS:000402444700014","View Full Record in Web of Science")</f>
        <v>View Full Record in Web of Science</v>
      </c>
    </row>
    <row r="925" spans="1:72" x14ac:dyDescent="0.15">
      <c r="A925" t="s">
        <v>72</v>
      </c>
      <c r="B925" t="s">
        <v>17621</v>
      </c>
      <c r="C925" t="s">
        <v>74</v>
      </c>
      <c r="D925" t="s">
        <v>74</v>
      </c>
      <c r="E925" t="s">
        <v>74</v>
      </c>
      <c r="F925" t="s">
        <v>17622</v>
      </c>
      <c r="G925" t="s">
        <v>74</v>
      </c>
      <c r="H925" t="s">
        <v>74</v>
      </c>
      <c r="I925" t="s">
        <v>17623</v>
      </c>
      <c r="J925" t="s">
        <v>12771</v>
      </c>
      <c r="K925" t="s">
        <v>74</v>
      </c>
      <c r="L925" t="s">
        <v>74</v>
      </c>
      <c r="M925" t="s">
        <v>78</v>
      </c>
      <c r="N925" t="s">
        <v>79</v>
      </c>
      <c r="O925" t="s">
        <v>74</v>
      </c>
      <c r="P925" t="s">
        <v>74</v>
      </c>
      <c r="Q925" t="s">
        <v>74</v>
      </c>
      <c r="R925" t="s">
        <v>74</v>
      </c>
      <c r="S925" t="s">
        <v>74</v>
      </c>
      <c r="T925" t="s">
        <v>17624</v>
      </c>
      <c r="U925" t="s">
        <v>17625</v>
      </c>
      <c r="V925" t="s">
        <v>17626</v>
      </c>
      <c r="W925" t="s">
        <v>17627</v>
      </c>
      <c r="X925" t="s">
        <v>17628</v>
      </c>
      <c r="Y925" t="s">
        <v>17629</v>
      </c>
      <c r="Z925" t="s">
        <v>17630</v>
      </c>
      <c r="AA925" t="s">
        <v>17631</v>
      </c>
      <c r="AB925" t="s">
        <v>17632</v>
      </c>
      <c r="AC925" t="s">
        <v>17633</v>
      </c>
      <c r="AD925" t="s">
        <v>17634</v>
      </c>
      <c r="AE925" t="s">
        <v>17635</v>
      </c>
      <c r="AF925" t="s">
        <v>74</v>
      </c>
      <c r="AG925">
        <v>55</v>
      </c>
      <c r="AH925">
        <v>45</v>
      </c>
      <c r="AI925">
        <v>48</v>
      </c>
      <c r="AJ925">
        <v>3</v>
      </c>
      <c r="AK925">
        <v>63</v>
      </c>
      <c r="AL925" t="s">
        <v>1338</v>
      </c>
      <c r="AM925" t="s">
        <v>1339</v>
      </c>
      <c r="AN925" t="s">
        <v>1340</v>
      </c>
      <c r="AO925" t="s">
        <v>12784</v>
      </c>
      <c r="AP925" t="s">
        <v>12785</v>
      </c>
      <c r="AQ925" t="s">
        <v>74</v>
      </c>
      <c r="AR925" t="s">
        <v>12786</v>
      </c>
      <c r="AS925" t="s">
        <v>12787</v>
      </c>
      <c r="AT925" t="s">
        <v>15076</v>
      </c>
      <c r="AU925">
        <v>2017</v>
      </c>
      <c r="AV925">
        <v>23</v>
      </c>
      <c r="AW925">
        <v>7</v>
      </c>
      <c r="AX925" t="s">
        <v>74</v>
      </c>
      <c r="AY925" t="s">
        <v>74</v>
      </c>
      <c r="AZ925" t="s">
        <v>74</v>
      </c>
      <c r="BA925" t="s">
        <v>74</v>
      </c>
      <c r="BB925">
        <v>2863</v>
      </c>
      <c r="BC925">
        <v>2873</v>
      </c>
      <c r="BD925" t="s">
        <v>74</v>
      </c>
      <c r="BE925" t="s">
        <v>17636</v>
      </c>
      <c r="BF925" t="str">
        <f>HYPERLINK("http://dx.doi.org/10.1111/gcb.13596","http://dx.doi.org/10.1111/gcb.13596")</f>
        <v>http://dx.doi.org/10.1111/gcb.13596</v>
      </c>
      <c r="BG925" t="s">
        <v>74</v>
      </c>
      <c r="BH925" t="s">
        <v>74</v>
      </c>
      <c r="BI925">
        <v>11</v>
      </c>
      <c r="BJ925" t="s">
        <v>12039</v>
      </c>
      <c r="BK925" t="s">
        <v>101</v>
      </c>
      <c r="BL925" t="s">
        <v>2593</v>
      </c>
      <c r="BM925" t="s">
        <v>16936</v>
      </c>
      <c r="BN925">
        <v>27976462</v>
      </c>
      <c r="BO925" t="s">
        <v>74</v>
      </c>
      <c r="BP925" t="s">
        <v>74</v>
      </c>
      <c r="BQ925" t="s">
        <v>74</v>
      </c>
      <c r="BR925" t="s">
        <v>105</v>
      </c>
      <c r="BS925" t="s">
        <v>17637</v>
      </c>
      <c r="BT925" t="str">
        <f>HYPERLINK("https%3A%2F%2Fwww.webofscience.com%2Fwos%2Fwoscc%2Ffull-record%2FWOS:000402514900026","View Full Record in Web of Science")</f>
        <v>View Full Record in Web of Science</v>
      </c>
    </row>
    <row r="926" spans="1:72" x14ac:dyDescent="0.15">
      <c r="A926" t="s">
        <v>72</v>
      </c>
      <c r="B926" t="s">
        <v>17638</v>
      </c>
      <c r="C926" t="s">
        <v>74</v>
      </c>
      <c r="D926" t="s">
        <v>74</v>
      </c>
      <c r="E926" t="s">
        <v>74</v>
      </c>
      <c r="F926" t="s">
        <v>17639</v>
      </c>
      <c r="G926" t="s">
        <v>74</v>
      </c>
      <c r="H926" t="s">
        <v>74</v>
      </c>
      <c r="I926" t="s">
        <v>17640</v>
      </c>
      <c r="J926" t="s">
        <v>2406</v>
      </c>
      <c r="K926" t="s">
        <v>74</v>
      </c>
      <c r="L926" t="s">
        <v>74</v>
      </c>
      <c r="M926" t="s">
        <v>78</v>
      </c>
      <c r="N926" t="s">
        <v>79</v>
      </c>
      <c r="O926" t="s">
        <v>74</v>
      </c>
      <c r="P926" t="s">
        <v>74</v>
      </c>
      <c r="Q926" t="s">
        <v>74</v>
      </c>
      <c r="R926" t="s">
        <v>74</v>
      </c>
      <c r="S926" t="s">
        <v>74</v>
      </c>
      <c r="T926" t="s">
        <v>74</v>
      </c>
      <c r="U926" t="s">
        <v>17641</v>
      </c>
      <c r="V926" t="s">
        <v>17642</v>
      </c>
      <c r="W926" t="s">
        <v>17643</v>
      </c>
      <c r="X926" t="s">
        <v>4829</v>
      </c>
      <c r="Y926" t="s">
        <v>17644</v>
      </c>
      <c r="Z926" t="s">
        <v>17645</v>
      </c>
      <c r="AA926" t="s">
        <v>17646</v>
      </c>
      <c r="AB926" t="s">
        <v>17647</v>
      </c>
      <c r="AC926" t="s">
        <v>17648</v>
      </c>
      <c r="AD926" t="s">
        <v>17649</v>
      </c>
      <c r="AE926" t="s">
        <v>17650</v>
      </c>
      <c r="AF926" t="s">
        <v>74</v>
      </c>
      <c r="AG926">
        <v>60</v>
      </c>
      <c r="AH926">
        <v>15</v>
      </c>
      <c r="AI926">
        <v>20</v>
      </c>
      <c r="AJ926">
        <v>0</v>
      </c>
      <c r="AK926">
        <v>28</v>
      </c>
      <c r="AL926" t="s">
        <v>1366</v>
      </c>
      <c r="AM926" t="s">
        <v>1367</v>
      </c>
      <c r="AN926" t="s">
        <v>1368</v>
      </c>
      <c r="AO926" t="s">
        <v>2418</v>
      </c>
      <c r="AP926" t="s">
        <v>2419</v>
      </c>
      <c r="AQ926" t="s">
        <v>74</v>
      </c>
      <c r="AR926" t="s">
        <v>2420</v>
      </c>
      <c r="AS926" t="s">
        <v>2421</v>
      </c>
      <c r="AT926" t="s">
        <v>15076</v>
      </c>
      <c r="AU926">
        <v>2017</v>
      </c>
      <c r="AV926">
        <v>30</v>
      </c>
      <c r="AW926">
        <v>13</v>
      </c>
      <c r="AX926" t="s">
        <v>74</v>
      </c>
      <c r="AY926" t="s">
        <v>74</v>
      </c>
      <c r="AZ926" t="s">
        <v>74</v>
      </c>
      <c r="BA926" t="s">
        <v>74</v>
      </c>
      <c r="BB926">
        <v>4857</v>
      </c>
      <c r="BC926">
        <v>4871</v>
      </c>
      <c r="BD926" t="s">
        <v>74</v>
      </c>
      <c r="BE926" t="s">
        <v>17651</v>
      </c>
      <c r="BF926" t="str">
        <f>HYPERLINK("http://dx.doi.org/10.1175/JCLI-D-16-0483.1","http://dx.doi.org/10.1175/JCLI-D-16-0483.1")</f>
        <v>http://dx.doi.org/10.1175/JCLI-D-16-0483.1</v>
      </c>
      <c r="BG926" t="s">
        <v>74</v>
      </c>
      <c r="BH926" t="s">
        <v>74</v>
      </c>
      <c r="BI926">
        <v>15</v>
      </c>
      <c r="BJ926" t="s">
        <v>162</v>
      </c>
      <c r="BK926" t="s">
        <v>101</v>
      </c>
      <c r="BL926" t="s">
        <v>162</v>
      </c>
      <c r="BM926" t="s">
        <v>17652</v>
      </c>
      <c r="BN926" t="s">
        <v>74</v>
      </c>
      <c r="BO926" t="s">
        <v>74</v>
      </c>
      <c r="BP926" t="s">
        <v>74</v>
      </c>
      <c r="BQ926" t="s">
        <v>74</v>
      </c>
      <c r="BR926" t="s">
        <v>105</v>
      </c>
      <c r="BS926" t="s">
        <v>17653</v>
      </c>
      <c r="BT926" t="str">
        <f>HYPERLINK("https%3A%2F%2Fwww.webofscience.com%2Fwos%2Fwoscc%2Ffull-record%2FWOS:000402380900006","View Full Record in Web of Science")</f>
        <v>View Full Record in Web of Science</v>
      </c>
    </row>
    <row r="927" spans="1:72" x14ac:dyDescent="0.15">
      <c r="A927" t="s">
        <v>72</v>
      </c>
      <c r="B927" t="s">
        <v>17654</v>
      </c>
      <c r="C927" t="s">
        <v>74</v>
      </c>
      <c r="D927" t="s">
        <v>74</v>
      </c>
      <c r="E927" t="s">
        <v>74</v>
      </c>
      <c r="F927" t="s">
        <v>17655</v>
      </c>
      <c r="G927" t="s">
        <v>74</v>
      </c>
      <c r="H927" t="s">
        <v>74</v>
      </c>
      <c r="I927" t="s">
        <v>17656</v>
      </c>
      <c r="J927" t="s">
        <v>2406</v>
      </c>
      <c r="K927" t="s">
        <v>74</v>
      </c>
      <c r="L927" t="s">
        <v>74</v>
      </c>
      <c r="M927" t="s">
        <v>78</v>
      </c>
      <c r="N927" t="s">
        <v>79</v>
      </c>
      <c r="O927" t="s">
        <v>74</v>
      </c>
      <c r="P927" t="s">
        <v>74</v>
      </c>
      <c r="Q927" t="s">
        <v>74</v>
      </c>
      <c r="R927" t="s">
        <v>74</v>
      </c>
      <c r="S927" t="s">
        <v>74</v>
      </c>
      <c r="T927" t="s">
        <v>74</v>
      </c>
      <c r="U927" t="s">
        <v>17657</v>
      </c>
      <c r="V927" t="s">
        <v>17658</v>
      </c>
      <c r="W927" t="s">
        <v>17659</v>
      </c>
      <c r="X927" t="s">
        <v>8196</v>
      </c>
      <c r="Y927" t="s">
        <v>17660</v>
      </c>
      <c r="Z927" t="s">
        <v>17661</v>
      </c>
      <c r="AA927" t="s">
        <v>17662</v>
      </c>
      <c r="AB927" t="s">
        <v>17663</v>
      </c>
      <c r="AC927" t="s">
        <v>17664</v>
      </c>
      <c r="AD927" t="s">
        <v>17665</v>
      </c>
      <c r="AE927" t="s">
        <v>17666</v>
      </c>
      <c r="AF927" t="s">
        <v>74</v>
      </c>
      <c r="AG927">
        <v>36</v>
      </c>
      <c r="AH927">
        <v>15</v>
      </c>
      <c r="AI927">
        <v>15</v>
      </c>
      <c r="AJ927">
        <v>0</v>
      </c>
      <c r="AK927">
        <v>34</v>
      </c>
      <c r="AL927" t="s">
        <v>1366</v>
      </c>
      <c r="AM927" t="s">
        <v>1367</v>
      </c>
      <c r="AN927" t="s">
        <v>1368</v>
      </c>
      <c r="AO927" t="s">
        <v>2418</v>
      </c>
      <c r="AP927" t="s">
        <v>2419</v>
      </c>
      <c r="AQ927" t="s">
        <v>74</v>
      </c>
      <c r="AR927" t="s">
        <v>2420</v>
      </c>
      <c r="AS927" t="s">
        <v>2421</v>
      </c>
      <c r="AT927" t="s">
        <v>15076</v>
      </c>
      <c r="AU927">
        <v>2017</v>
      </c>
      <c r="AV927">
        <v>30</v>
      </c>
      <c r="AW927">
        <v>13</v>
      </c>
      <c r="AX927" t="s">
        <v>74</v>
      </c>
      <c r="AY927" t="s">
        <v>74</v>
      </c>
      <c r="AZ927" t="s">
        <v>74</v>
      </c>
      <c r="BA927" t="s">
        <v>74</v>
      </c>
      <c r="BB927">
        <v>4883</v>
      </c>
      <c r="BC927">
        <v>4890</v>
      </c>
      <c r="BD927" t="s">
        <v>74</v>
      </c>
      <c r="BE927" t="s">
        <v>17667</v>
      </c>
      <c r="BF927" t="str">
        <f>HYPERLINK("http://dx.doi.org/10.1175/JCLI-D-16-0842.1","http://dx.doi.org/10.1175/JCLI-D-16-0842.1")</f>
        <v>http://dx.doi.org/10.1175/JCLI-D-16-0842.1</v>
      </c>
      <c r="BG927" t="s">
        <v>74</v>
      </c>
      <c r="BH927" t="s">
        <v>74</v>
      </c>
      <c r="BI927">
        <v>8</v>
      </c>
      <c r="BJ927" t="s">
        <v>162</v>
      </c>
      <c r="BK927" t="s">
        <v>101</v>
      </c>
      <c r="BL927" t="s">
        <v>162</v>
      </c>
      <c r="BM927" t="s">
        <v>17652</v>
      </c>
      <c r="BN927" t="s">
        <v>74</v>
      </c>
      <c r="BO927" t="s">
        <v>74</v>
      </c>
      <c r="BP927" t="s">
        <v>74</v>
      </c>
      <c r="BQ927" t="s">
        <v>74</v>
      </c>
      <c r="BR927" t="s">
        <v>105</v>
      </c>
      <c r="BS927" t="s">
        <v>17668</v>
      </c>
      <c r="BT927" t="str">
        <f>HYPERLINK("https%3A%2F%2Fwww.webofscience.com%2Fwos%2Fwoscc%2Ffull-record%2FWOS:000402380900004","View Full Record in Web of Science")</f>
        <v>View Full Record in Web of Science</v>
      </c>
    </row>
    <row r="928" spans="1:72" x14ac:dyDescent="0.15">
      <c r="A928" t="s">
        <v>72</v>
      </c>
      <c r="B928" t="s">
        <v>17669</v>
      </c>
      <c r="C928" t="s">
        <v>74</v>
      </c>
      <c r="D928" t="s">
        <v>74</v>
      </c>
      <c r="E928" t="s">
        <v>74</v>
      </c>
      <c r="F928" t="s">
        <v>17670</v>
      </c>
      <c r="G928" t="s">
        <v>74</v>
      </c>
      <c r="H928" t="s">
        <v>74</v>
      </c>
      <c r="I928" t="s">
        <v>17671</v>
      </c>
      <c r="J928" t="s">
        <v>2469</v>
      </c>
      <c r="K928" t="s">
        <v>74</v>
      </c>
      <c r="L928" t="s">
        <v>74</v>
      </c>
      <c r="M928" t="s">
        <v>78</v>
      </c>
      <c r="N928" t="s">
        <v>79</v>
      </c>
      <c r="O928" t="s">
        <v>74</v>
      </c>
      <c r="P928" t="s">
        <v>74</v>
      </c>
      <c r="Q928" t="s">
        <v>74</v>
      </c>
      <c r="R928" t="s">
        <v>74</v>
      </c>
      <c r="S928" t="s">
        <v>74</v>
      </c>
      <c r="T928" t="s">
        <v>17672</v>
      </c>
      <c r="U928" t="s">
        <v>17673</v>
      </c>
      <c r="V928" t="s">
        <v>17674</v>
      </c>
      <c r="W928" t="s">
        <v>17675</v>
      </c>
      <c r="X928" t="s">
        <v>17676</v>
      </c>
      <c r="Y928" t="s">
        <v>17677</v>
      </c>
      <c r="Z928" t="s">
        <v>17678</v>
      </c>
      <c r="AA928" t="s">
        <v>17679</v>
      </c>
      <c r="AB928" t="s">
        <v>17680</v>
      </c>
      <c r="AC928" t="s">
        <v>17681</v>
      </c>
      <c r="AD928" t="s">
        <v>17682</v>
      </c>
      <c r="AE928" t="s">
        <v>17683</v>
      </c>
      <c r="AF928" t="s">
        <v>74</v>
      </c>
      <c r="AG928">
        <v>105</v>
      </c>
      <c r="AH928">
        <v>13</v>
      </c>
      <c r="AI928">
        <v>15</v>
      </c>
      <c r="AJ928">
        <v>0</v>
      </c>
      <c r="AK928">
        <v>21</v>
      </c>
      <c r="AL928" t="s">
        <v>371</v>
      </c>
      <c r="AM928" t="s">
        <v>372</v>
      </c>
      <c r="AN928" t="s">
        <v>373</v>
      </c>
      <c r="AO928" t="s">
        <v>2482</v>
      </c>
      <c r="AP928" t="s">
        <v>2483</v>
      </c>
      <c r="AQ928" t="s">
        <v>74</v>
      </c>
      <c r="AR928" t="s">
        <v>2484</v>
      </c>
      <c r="AS928" t="s">
        <v>2485</v>
      </c>
      <c r="AT928" t="s">
        <v>16014</v>
      </c>
      <c r="AU928">
        <v>2017</v>
      </c>
      <c r="AV928">
        <v>477</v>
      </c>
      <c r="AW928" t="s">
        <v>74</v>
      </c>
      <c r="AX928" t="s">
        <v>74</v>
      </c>
      <c r="AY928" t="s">
        <v>74</v>
      </c>
      <c r="AZ928" t="s">
        <v>74</v>
      </c>
      <c r="BA928" t="s">
        <v>74</v>
      </c>
      <c r="BB928">
        <v>40</v>
      </c>
      <c r="BC928">
        <v>54</v>
      </c>
      <c r="BD928" t="s">
        <v>74</v>
      </c>
      <c r="BE928" t="s">
        <v>17684</v>
      </c>
      <c r="BF928" t="str">
        <f>HYPERLINK("http://dx.doi.org/10.1016/j.palaeo.2017.04.013","http://dx.doi.org/10.1016/j.palaeo.2017.04.013")</f>
        <v>http://dx.doi.org/10.1016/j.palaeo.2017.04.013</v>
      </c>
      <c r="BG928" t="s">
        <v>74</v>
      </c>
      <c r="BH928" t="s">
        <v>74</v>
      </c>
      <c r="BI928">
        <v>15</v>
      </c>
      <c r="BJ928" t="s">
        <v>2487</v>
      </c>
      <c r="BK928" t="s">
        <v>101</v>
      </c>
      <c r="BL928" t="s">
        <v>2488</v>
      </c>
      <c r="BM928" t="s">
        <v>17685</v>
      </c>
      <c r="BN928" t="s">
        <v>74</v>
      </c>
      <c r="BO928" t="s">
        <v>1691</v>
      </c>
      <c r="BP928" t="s">
        <v>74</v>
      </c>
      <c r="BQ928" t="s">
        <v>74</v>
      </c>
      <c r="BR928" t="s">
        <v>105</v>
      </c>
      <c r="BS928" t="s">
        <v>17686</v>
      </c>
      <c r="BT928" t="str">
        <f>HYPERLINK("https%3A%2F%2Fwww.webofscience.com%2Fwos%2Fwoscc%2Ffull-record%2FWOS:000401885900004","View Full Record in Web of Science")</f>
        <v>View Full Record in Web of Science</v>
      </c>
    </row>
    <row r="929" spans="1:72" x14ac:dyDescent="0.15">
      <c r="A929" t="s">
        <v>72</v>
      </c>
      <c r="B929" t="s">
        <v>17687</v>
      </c>
      <c r="C929" t="s">
        <v>74</v>
      </c>
      <c r="D929" t="s">
        <v>74</v>
      </c>
      <c r="E929" t="s">
        <v>74</v>
      </c>
      <c r="F929" t="s">
        <v>17688</v>
      </c>
      <c r="G929" t="s">
        <v>74</v>
      </c>
      <c r="H929" t="s">
        <v>74</v>
      </c>
      <c r="I929" t="s">
        <v>17689</v>
      </c>
      <c r="J929" t="s">
        <v>2856</v>
      </c>
      <c r="K929" t="s">
        <v>74</v>
      </c>
      <c r="L929" t="s">
        <v>74</v>
      </c>
      <c r="M929" t="s">
        <v>78</v>
      </c>
      <c r="N929" t="s">
        <v>79</v>
      </c>
      <c r="O929" t="s">
        <v>74</v>
      </c>
      <c r="P929" t="s">
        <v>74</v>
      </c>
      <c r="Q929" t="s">
        <v>74</v>
      </c>
      <c r="R929" t="s">
        <v>74</v>
      </c>
      <c r="S929" t="s">
        <v>74</v>
      </c>
      <c r="T929" t="s">
        <v>17690</v>
      </c>
      <c r="U929" t="s">
        <v>17691</v>
      </c>
      <c r="V929" t="s">
        <v>17692</v>
      </c>
      <c r="W929" t="s">
        <v>17693</v>
      </c>
      <c r="X929" t="s">
        <v>17694</v>
      </c>
      <c r="Y929" t="s">
        <v>17695</v>
      </c>
      <c r="Z929" t="s">
        <v>17696</v>
      </c>
      <c r="AA929" t="s">
        <v>17697</v>
      </c>
      <c r="AB929" t="s">
        <v>17698</v>
      </c>
      <c r="AC929" t="s">
        <v>17699</v>
      </c>
      <c r="AD929" t="s">
        <v>17700</v>
      </c>
      <c r="AE929" t="s">
        <v>17701</v>
      </c>
      <c r="AF929" t="s">
        <v>74</v>
      </c>
      <c r="AG929">
        <v>50</v>
      </c>
      <c r="AH929">
        <v>38</v>
      </c>
      <c r="AI929">
        <v>41</v>
      </c>
      <c r="AJ929">
        <v>6</v>
      </c>
      <c r="AK929">
        <v>104</v>
      </c>
      <c r="AL929" t="s">
        <v>1981</v>
      </c>
      <c r="AM929" t="s">
        <v>729</v>
      </c>
      <c r="AN929" t="s">
        <v>1982</v>
      </c>
      <c r="AO929" t="s">
        <v>2863</v>
      </c>
      <c r="AP929" t="s">
        <v>2864</v>
      </c>
      <c r="AQ929" t="s">
        <v>74</v>
      </c>
      <c r="AR929" t="s">
        <v>2856</v>
      </c>
      <c r="AS929" t="s">
        <v>2865</v>
      </c>
      <c r="AT929" t="s">
        <v>15076</v>
      </c>
      <c r="AU929">
        <v>2017</v>
      </c>
      <c r="AV929">
        <v>178</v>
      </c>
      <c r="AW929" t="s">
        <v>74</v>
      </c>
      <c r="AX929" t="s">
        <v>74</v>
      </c>
      <c r="AY929" t="s">
        <v>74</v>
      </c>
      <c r="AZ929" t="s">
        <v>74</v>
      </c>
      <c r="BA929" t="s">
        <v>74</v>
      </c>
      <c r="BB929">
        <v>458</v>
      </c>
      <c r="BC929">
        <v>465</v>
      </c>
      <c r="BD929" t="s">
        <v>74</v>
      </c>
      <c r="BE929" t="s">
        <v>17702</v>
      </c>
      <c r="BF929" t="str">
        <f>HYPERLINK("http://dx.doi.org/10.1016/j.chemosphere.2017.02.118","http://dx.doi.org/10.1016/j.chemosphere.2017.02.118")</f>
        <v>http://dx.doi.org/10.1016/j.chemosphere.2017.02.118</v>
      </c>
      <c r="BG929" t="s">
        <v>74</v>
      </c>
      <c r="BH929" t="s">
        <v>74</v>
      </c>
      <c r="BI929">
        <v>8</v>
      </c>
      <c r="BJ929" t="s">
        <v>2867</v>
      </c>
      <c r="BK929" t="s">
        <v>101</v>
      </c>
      <c r="BL929" t="s">
        <v>1048</v>
      </c>
      <c r="BM929" t="s">
        <v>17703</v>
      </c>
      <c r="BN929">
        <v>28342994</v>
      </c>
      <c r="BO929" t="s">
        <v>74</v>
      </c>
      <c r="BP929" t="s">
        <v>74</v>
      </c>
      <c r="BQ929" t="s">
        <v>74</v>
      </c>
      <c r="BR929" t="s">
        <v>105</v>
      </c>
      <c r="BS929" t="s">
        <v>17704</v>
      </c>
      <c r="BT929" t="str">
        <f>HYPERLINK("https%3A%2F%2Fwww.webofscience.com%2Fwos%2Fwoscc%2Ffull-record%2FWOS:000400879800052","View Full Record in Web of Science")</f>
        <v>View Full Record in Web of Science</v>
      </c>
    </row>
    <row r="930" spans="1:72" x14ac:dyDescent="0.15">
      <c r="A930" t="s">
        <v>72</v>
      </c>
      <c r="B930" t="s">
        <v>17705</v>
      </c>
      <c r="C930" t="s">
        <v>74</v>
      </c>
      <c r="D930" t="s">
        <v>74</v>
      </c>
      <c r="E930" t="s">
        <v>74</v>
      </c>
      <c r="F930" t="s">
        <v>17706</v>
      </c>
      <c r="G930" t="s">
        <v>74</v>
      </c>
      <c r="H930" t="s">
        <v>74</v>
      </c>
      <c r="I930" t="s">
        <v>17707</v>
      </c>
      <c r="J930" t="s">
        <v>17708</v>
      </c>
      <c r="K930" t="s">
        <v>74</v>
      </c>
      <c r="L930" t="s">
        <v>74</v>
      </c>
      <c r="M930" t="s">
        <v>78</v>
      </c>
      <c r="N930" t="s">
        <v>79</v>
      </c>
      <c r="O930" t="s">
        <v>74</v>
      </c>
      <c r="P930" t="s">
        <v>74</v>
      </c>
      <c r="Q930" t="s">
        <v>74</v>
      </c>
      <c r="R930" t="s">
        <v>74</v>
      </c>
      <c r="S930" t="s">
        <v>74</v>
      </c>
      <c r="T930" t="s">
        <v>17709</v>
      </c>
      <c r="U930" t="s">
        <v>17710</v>
      </c>
      <c r="V930" t="s">
        <v>17711</v>
      </c>
      <c r="W930" t="s">
        <v>17712</v>
      </c>
      <c r="X930" t="s">
        <v>17713</v>
      </c>
      <c r="Y930" t="s">
        <v>17714</v>
      </c>
      <c r="Z930" t="s">
        <v>17715</v>
      </c>
      <c r="AA930" t="s">
        <v>17716</v>
      </c>
      <c r="AB930" t="s">
        <v>17717</v>
      </c>
      <c r="AC930" t="s">
        <v>74</v>
      </c>
      <c r="AD930" t="s">
        <v>74</v>
      </c>
      <c r="AE930" t="s">
        <v>74</v>
      </c>
      <c r="AF930" t="s">
        <v>74</v>
      </c>
      <c r="AG930">
        <v>45</v>
      </c>
      <c r="AH930">
        <v>16</v>
      </c>
      <c r="AI930">
        <v>18</v>
      </c>
      <c r="AJ930">
        <v>0</v>
      </c>
      <c r="AK930">
        <v>50</v>
      </c>
      <c r="AL930" t="s">
        <v>2393</v>
      </c>
      <c r="AM930" t="s">
        <v>2394</v>
      </c>
      <c r="AN930" t="s">
        <v>2395</v>
      </c>
      <c r="AO930" t="s">
        <v>17718</v>
      </c>
      <c r="AP930" t="s">
        <v>17719</v>
      </c>
      <c r="AQ930" t="s">
        <v>74</v>
      </c>
      <c r="AR930" t="s">
        <v>17720</v>
      </c>
      <c r="AS930" t="s">
        <v>17721</v>
      </c>
      <c r="AT930" t="s">
        <v>15830</v>
      </c>
      <c r="AU930">
        <v>2017</v>
      </c>
      <c r="AV930">
        <v>90</v>
      </c>
      <c r="AW930">
        <v>4</v>
      </c>
      <c r="AX930" t="s">
        <v>74</v>
      </c>
      <c r="AY930" t="s">
        <v>74</v>
      </c>
      <c r="AZ930" t="s">
        <v>74</v>
      </c>
      <c r="BA930" t="s">
        <v>74</v>
      </c>
      <c r="BB930">
        <v>494</v>
      </c>
      <c r="BC930">
        <v>501</v>
      </c>
      <c r="BD930" t="s">
        <v>74</v>
      </c>
      <c r="BE930" t="s">
        <v>17722</v>
      </c>
      <c r="BF930" t="str">
        <f>HYPERLINK("http://dx.doi.org/10.1086/692250","http://dx.doi.org/10.1086/692250")</f>
        <v>http://dx.doi.org/10.1086/692250</v>
      </c>
      <c r="BG930" t="s">
        <v>74</v>
      </c>
      <c r="BH930" t="s">
        <v>74</v>
      </c>
      <c r="BI930">
        <v>8</v>
      </c>
      <c r="BJ930" t="s">
        <v>17723</v>
      </c>
      <c r="BK930" t="s">
        <v>101</v>
      </c>
      <c r="BL930" t="s">
        <v>17723</v>
      </c>
      <c r="BM930" t="s">
        <v>17724</v>
      </c>
      <c r="BN930">
        <v>28459654</v>
      </c>
      <c r="BO930" t="s">
        <v>633</v>
      </c>
      <c r="BP930" t="s">
        <v>74</v>
      </c>
      <c r="BQ930" t="s">
        <v>74</v>
      </c>
      <c r="BR930" t="s">
        <v>105</v>
      </c>
      <c r="BS930" t="s">
        <v>17725</v>
      </c>
      <c r="BT930" t="str">
        <f>HYPERLINK("https%3A%2F%2Fwww.webofscience.com%2Fwos%2Fwoscc%2Ffull-record%2FWOS:000400464100002","View Full Record in Web of Science")</f>
        <v>View Full Record in Web of Science</v>
      </c>
    </row>
    <row r="931" spans="1:72" x14ac:dyDescent="0.15">
      <c r="A931" t="s">
        <v>72</v>
      </c>
      <c r="B931" t="s">
        <v>17726</v>
      </c>
      <c r="C931" t="s">
        <v>74</v>
      </c>
      <c r="D931" t="s">
        <v>74</v>
      </c>
      <c r="E931" t="s">
        <v>74</v>
      </c>
      <c r="F931" t="s">
        <v>17727</v>
      </c>
      <c r="G931" t="s">
        <v>74</v>
      </c>
      <c r="H931" t="s">
        <v>74</v>
      </c>
      <c r="I931" t="s">
        <v>17728</v>
      </c>
      <c r="J931" t="s">
        <v>17729</v>
      </c>
      <c r="K931" t="s">
        <v>74</v>
      </c>
      <c r="L931" t="s">
        <v>74</v>
      </c>
      <c r="M931" t="s">
        <v>78</v>
      </c>
      <c r="N931" t="s">
        <v>79</v>
      </c>
      <c r="O931" t="s">
        <v>74</v>
      </c>
      <c r="P931" t="s">
        <v>74</v>
      </c>
      <c r="Q931" t="s">
        <v>74</v>
      </c>
      <c r="R931" t="s">
        <v>74</v>
      </c>
      <c r="S931" t="s">
        <v>74</v>
      </c>
      <c r="T931" t="s">
        <v>17730</v>
      </c>
      <c r="U931" t="s">
        <v>17731</v>
      </c>
      <c r="V931" t="s">
        <v>17732</v>
      </c>
      <c r="W931" t="s">
        <v>17733</v>
      </c>
      <c r="X931" t="s">
        <v>17734</v>
      </c>
      <c r="Y931" t="s">
        <v>17735</v>
      </c>
      <c r="Z931" t="s">
        <v>17736</v>
      </c>
      <c r="AA931" t="s">
        <v>17737</v>
      </c>
      <c r="AB931" t="s">
        <v>17738</v>
      </c>
      <c r="AC931" t="s">
        <v>17739</v>
      </c>
      <c r="AD931" t="s">
        <v>17740</v>
      </c>
      <c r="AE931" t="s">
        <v>17741</v>
      </c>
      <c r="AF931" t="s">
        <v>74</v>
      </c>
      <c r="AG931">
        <v>28</v>
      </c>
      <c r="AH931">
        <v>38</v>
      </c>
      <c r="AI931">
        <v>40</v>
      </c>
      <c r="AJ931">
        <v>1</v>
      </c>
      <c r="AK931">
        <v>22</v>
      </c>
      <c r="AL931" t="s">
        <v>4811</v>
      </c>
      <c r="AM931" t="s">
        <v>209</v>
      </c>
      <c r="AN931" t="s">
        <v>4812</v>
      </c>
      <c r="AO931" t="s">
        <v>17742</v>
      </c>
      <c r="AP931" t="s">
        <v>17743</v>
      </c>
      <c r="AQ931" t="s">
        <v>74</v>
      </c>
      <c r="AR931" t="s">
        <v>17744</v>
      </c>
      <c r="AS931" t="s">
        <v>17745</v>
      </c>
      <c r="AT931" t="s">
        <v>16014</v>
      </c>
      <c r="AU931">
        <v>2017</v>
      </c>
      <c r="AV931">
        <v>190</v>
      </c>
      <c r="AW931" t="s">
        <v>74</v>
      </c>
      <c r="AX931" t="s">
        <v>74</v>
      </c>
      <c r="AY931" t="s">
        <v>74</v>
      </c>
      <c r="AZ931" t="s">
        <v>74</v>
      </c>
      <c r="BA931" t="s">
        <v>74</v>
      </c>
      <c r="BB931">
        <v>104</v>
      </c>
      <c r="BC931">
        <v>112</v>
      </c>
      <c r="BD931" t="s">
        <v>74</v>
      </c>
      <c r="BE931" t="s">
        <v>17746</v>
      </c>
      <c r="BF931" t="str">
        <f>HYPERLINK("http://dx.doi.org/10.1016/j.atmosres.2017.02.015","http://dx.doi.org/10.1016/j.atmosres.2017.02.015")</f>
        <v>http://dx.doi.org/10.1016/j.atmosres.2017.02.015</v>
      </c>
      <c r="BG931" t="s">
        <v>74</v>
      </c>
      <c r="BH931" t="s">
        <v>74</v>
      </c>
      <c r="BI931">
        <v>9</v>
      </c>
      <c r="BJ931" t="s">
        <v>162</v>
      </c>
      <c r="BK931" t="s">
        <v>101</v>
      </c>
      <c r="BL931" t="s">
        <v>162</v>
      </c>
      <c r="BM931" t="s">
        <v>17747</v>
      </c>
      <c r="BN931" t="s">
        <v>74</v>
      </c>
      <c r="BO931" t="s">
        <v>529</v>
      </c>
      <c r="BP931" t="s">
        <v>74</v>
      </c>
      <c r="BQ931" t="s">
        <v>74</v>
      </c>
      <c r="BR931" t="s">
        <v>105</v>
      </c>
      <c r="BS931" t="s">
        <v>17748</v>
      </c>
      <c r="BT931" t="str">
        <f>HYPERLINK("https%3A%2F%2Fwww.webofscience.com%2Fwos%2Fwoscc%2Ffull-record%2FWOS:000399631900010","View Full Record in Web of Science")</f>
        <v>View Full Record in Web of Science</v>
      </c>
    </row>
    <row r="932" spans="1:72" x14ac:dyDescent="0.15">
      <c r="A932" t="s">
        <v>72</v>
      </c>
      <c r="B932" t="s">
        <v>17749</v>
      </c>
      <c r="C932" t="s">
        <v>74</v>
      </c>
      <c r="D932" t="s">
        <v>74</v>
      </c>
      <c r="E932" t="s">
        <v>74</v>
      </c>
      <c r="F932" t="s">
        <v>17750</v>
      </c>
      <c r="G932" t="s">
        <v>74</v>
      </c>
      <c r="H932" t="s">
        <v>74</v>
      </c>
      <c r="I932" t="s">
        <v>17751</v>
      </c>
      <c r="J932" t="s">
        <v>17752</v>
      </c>
      <c r="K932" t="s">
        <v>74</v>
      </c>
      <c r="L932" t="s">
        <v>74</v>
      </c>
      <c r="M932" t="s">
        <v>78</v>
      </c>
      <c r="N932" t="s">
        <v>79</v>
      </c>
      <c r="O932" t="s">
        <v>74</v>
      </c>
      <c r="P932" t="s">
        <v>74</v>
      </c>
      <c r="Q932" t="s">
        <v>74</v>
      </c>
      <c r="R932" t="s">
        <v>74</v>
      </c>
      <c r="S932" t="s">
        <v>74</v>
      </c>
      <c r="T932" t="s">
        <v>17753</v>
      </c>
      <c r="U932" t="s">
        <v>17754</v>
      </c>
      <c r="V932" t="s">
        <v>17755</v>
      </c>
      <c r="W932" t="s">
        <v>17756</v>
      </c>
      <c r="X932" t="s">
        <v>17757</v>
      </c>
      <c r="Y932" t="s">
        <v>17758</v>
      </c>
      <c r="Z932" t="s">
        <v>17759</v>
      </c>
      <c r="AA932" t="s">
        <v>17760</v>
      </c>
      <c r="AB932" t="s">
        <v>17761</v>
      </c>
      <c r="AC932" t="s">
        <v>17762</v>
      </c>
      <c r="AD932" t="s">
        <v>17762</v>
      </c>
      <c r="AE932" t="s">
        <v>17763</v>
      </c>
      <c r="AF932" t="s">
        <v>74</v>
      </c>
      <c r="AG932">
        <v>41</v>
      </c>
      <c r="AH932">
        <v>2</v>
      </c>
      <c r="AI932">
        <v>2</v>
      </c>
      <c r="AJ932">
        <v>0</v>
      </c>
      <c r="AK932">
        <v>12</v>
      </c>
      <c r="AL932" t="s">
        <v>17764</v>
      </c>
      <c r="AM932" t="s">
        <v>17765</v>
      </c>
      <c r="AN932" t="s">
        <v>17766</v>
      </c>
      <c r="AO932" t="s">
        <v>17767</v>
      </c>
      <c r="AP932" t="s">
        <v>74</v>
      </c>
      <c r="AQ932" t="s">
        <v>74</v>
      </c>
      <c r="AR932" t="s">
        <v>17768</v>
      </c>
      <c r="AS932" t="s">
        <v>17769</v>
      </c>
      <c r="AT932" t="s">
        <v>17770</v>
      </c>
      <c r="AU932">
        <v>2017</v>
      </c>
      <c r="AV932">
        <v>11</v>
      </c>
      <c r="AW932" t="s">
        <v>74</v>
      </c>
      <c r="AX932" t="s">
        <v>74</v>
      </c>
      <c r="AY932" t="s">
        <v>74</v>
      </c>
      <c r="AZ932" t="s">
        <v>74</v>
      </c>
      <c r="BA932" t="s">
        <v>74</v>
      </c>
      <c r="BB932" t="s">
        <v>74</v>
      </c>
      <c r="BC932" t="s">
        <v>74</v>
      </c>
      <c r="BD932">
        <v>26041</v>
      </c>
      <c r="BE932" t="s">
        <v>17771</v>
      </c>
      <c r="BF932" t="str">
        <f>HYPERLINK("http://dx.doi.org/10.1117/1.JRS.11.026041","http://dx.doi.org/10.1117/1.JRS.11.026041")</f>
        <v>http://dx.doi.org/10.1117/1.JRS.11.026041</v>
      </c>
      <c r="BG932" t="s">
        <v>74</v>
      </c>
      <c r="BH932" t="s">
        <v>74</v>
      </c>
      <c r="BI932">
        <v>13</v>
      </c>
      <c r="BJ932" t="s">
        <v>4818</v>
      </c>
      <c r="BK932" t="s">
        <v>101</v>
      </c>
      <c r="BL932" t="s">
        <v>4819</v>
      </c>
      <c r="BM932" t="s">
        <v>17772</v>
      </c>
      <c r="BN932" t="s">
        <v>74</v>
      </c>
      <c r="BO932" t="s">
        <v>699</v>
      </c>
      <c r="BP932" t="s">
        <v>74</v>
      </c>
      <c r="BQ932" t="s">
        <v>74</v>
      </c>
      <c r="BR932" t="s">
        <v>105</v>
      </c>
      <c r="BS932" t="s">
        <v>17773</v>
      </c>
      <c r="BT932" t="str">
        <f>HYPERLINK("https%3A%2F%2Fwww.webofscience.com%2Fwos%2Fwoscc%2Ffull-record%2FWOS:000406039100001","View Full Record in Web of Science")</f>
        <v>View Full Record in Web of Science</v>
      </c>
    </row>
    <row r="933" spans="1:72" x14ac:dyDescent="0.15">
      <c r="A933" t="s">
        <v>72</v>
      </c>
      <c r="B933" t="s">
        <v>17774</v>
      </c>
      <c r="C933" t="s">
        <v>74</v>
      </c>
      <c r="D933" t="s">
        <v>74</v>
      </c>
      <c r="E933" t="s">
        <v>74</v>
      </c>
      <c r="F933" t="s">
        <v>17775</v>
      </c>
      <c r="G933" t="s">
        <v>74</v>
      </c>
      <c r="H933" t="s">
        <v>74</v>
      </c>
      <c r="I933" t="s">
        <v>17776</v>
      </c>
      <c r="J933" t="s">
        <v>13846</v>
      </c>
      <c r="K933" t="s">
        <v>74</v>
      </c>
      <c r="L933" t="s">
        <v>74</v>
      </c>
      <c r="M933" t="s">
        <v>78</v>
      </c>
      <c r="N933" t="s">
        <v>79</v>
      </c>
      <c r="O933" t="s">
        <v>74</v>
      </c>
      <c r="P933" t="s">
        <v>74</v>
      </c>
      <c r="Q933" t="s">
        <v>74</v>
      </c>
      <c r="R933" t="s">
        <v>74</v>
      </c>
      <c r="S933" t="s">
        <v>74</v>
      </c>
      <c r="T933" t="s">
        <v>74</v>
      </c>
      <c r="U933" t="s">
        <v>17777</v>
      </c>
      <c r="V933" t="s">
        <v>17778</v>
      </c>
      <c r="W933" t="s">
        <v>17779</v>
      </c>
      <c r="X933" t="s">
        <v>17780</v>
      </c>
      <c r="Y933" t="s">
        <v>17781</v>
      </c>
      <c r="Z933" t="s">
        <v>17782</v>
      </c>
      <c r="AA933" t="s">
        <v>17783</v>
      </c>
      <c r="AB933" t="s">
        <v>17784</v>
      </c>
      <c r="AC933" t="s">
        <v>17785</v>
      </c>
      <c r="AD933" t="s">
        <v>17786</v>
      </c>
      <c r="AE933" t="s">
        <v>17787</v>
      </c>
      <c r="AF933" t="s">
        <v>74</v>
      </c>
      <c r="AG933">
        <v>109</v>
      </c>
      <c r="AH933">
        <v>52</v>
      </c>
      <c r="AI933">
        <v>55</v>
      </c>
      <c r="AJ933">
        <v>2</v>
      </c>
      <c r="AK933">
        <v>30</v>
      </c>
      <c r="AL933" t="s">
        <v>311</v>
      </c>
      <c r="AM933" t="s">
        <v>312</v>
      </c>
      <c r="AN933" t="s">
        <v>313</v>
      </c>
      <c r="AO933" t="s">
        <v>13858</v>
      </c>
      <c r="AP933" t="s">
        <v>13859</v>
      </c>
      <c r="AQ933" t="s">
        <v>74</v>
      </c>
      <c r="AR933" t="s">
        <v>13860</v>
      </c>
      <c r="AS933" t="s">
        <v>13861</v>
      </c>
      <c r="AT933" t="s">
        <v>17770</v>
      </c>
      <c r="AU933">
        <v>2017</v>
      </c>
      <c r="AV933">
        <v>10</v>
      </c>
      <c r="AW933">
        <v>6</v>
      </c>
      <c r="AX933" t="s">
        <v>74</v>
      </c>
      <c r="AY933" t="s">
        <v>74</v>
      </c>
      <c r="AZ933" t="s">
        <v>74</v>
      </c>
      <c r="BA933" t="s">
        <v>74</v>
      </c>
      <c r="BB933">
        <v>2495</v>
      </c>
      <c r="BC933">
        <v>2524</v>
      </c>
      <c r="BD933" t="s">
        <v>74</v>
      </c>
      <c r="BE933" t="s">
        <v>17788</v>
      </c>
      <c r="BF933" t="str">
        <f>HYPERLINK("http://dx.doi.org/10.5194/gmd-10-2495-2017","http://dx.doi.org/10.5194/gmd-10-2495-2017")</f>
        <v>http://dx.doi.org/10.5194/gmd-10-2495-2017</v>
      </c>
      <c r="BG933" t="s">
        <v>74</v>
      </c>
      <c r="BH933" t="s">
        <v>74</v>
      </c>
      <c r="BI933">
        <v>30</v>
      </c>
      <c r="BJ933" t="s">
        <v>100</v>
      </c>
      <c r="BK933" t="s">
        <v>101</v>
      </c>
      <c r="BL933" t="s">
        <v>102</v>
      </c>
      <c r="BM933" t="s">
        <v>17789</v>
      </c>
      <c r="BN933" t="s">
        <v>74</v>
      </c>
      <c r="BO933" t="s">
        <v>322</v>
      </c>
      <c r="BP933" t="s">
        <v>74</v>
      </c>
      <c r="BQ933" t="s">
        <v>74</v>
      </c>
      <c r="BR933" t="s">
        <v>105</v>
      </c>
      <c r="BS933" t="s">
        <v>17790</v>
      </c>
      <c r="BT933" t="str">
        <f>HYPERLINK("https%3A%2F%2Fwww.webofscience.com%2Fwos%2Fwoscc%2Ffull-record%2FWOS:000404782200001","View Full Record in Web of Science")</f>
        <v>View Full Record in Web of Science</v>
      </c>
    </row>
    <row r="934" spans="1:72" x14ac:dyDescent="0.15">
      <c r="A934" t="s">
        <v>72</v>
      </c>
      <c r="B934" t="s">
        <v>17791</v>
      </c>
      <c r="C934" t="s">
        <v>74</v>
      </c>
      <c r="D934" t="s">
        <v>74</v>
      </c>
      <c r="E934" t="s">
        <v>74</v>
      </c>
      <c r="F934" t="s">
        <v>17792</v>
      </c>
      <c r="G934" t="s">
        <v>74</v>
      </c>
      <c r="H934" t="s">
        <v>74</v>
      </c>
      <c r="I934" t="s">
        <v>17793</v>
      </c>
      <c r="J934" t="s">
        <v>638</v>
      </c>
      <c r="K934" t="s">
        <v>74</v>
      </c>
      <c r="L934" t="s">
        <v>74</v>
      </c>
      <c r="M934" t="s">
        <v>78</v>
      </c>
      <c r="N934" t="s">
        <v>79</v>
      </c>
      <c r="O934" t="s">
        <v>74</v>
      </c>
      <c r="P934" t="s">
        <v>74</v>
      </c>
      <c r="Q934" t="s">
        <v>74</v>
      </c>
      <c r="R934" t="s">
        <v>74</v>
      </c>
      <c r="S934" t="s">
        <v>74</v>
      </c>
      <c r="T934" t="s">
        <v>74</v>
      </c>
      <c r="U934" t="s">
        <v>17794</v>
      </c>
      <c r="V934" t="s">
        <v>17795</v>
      </c>
      <c r="W934" t="s">
        <v>17796</v>
      </c>
      <c r="X934" t="s">
        <v>17797</v>
      </c>
      <c r="Y934" t="s">
        <v>17798</v>
      </c>
      <c r="Z934" t="s">
        <v>12194</v>
      </c>
      <c r="AA934" t="s">
        <v>17799</v>
      </c>
      <c r="AB934" t="s">
        <v>17800</v>
      </c>
      <c r="AC934" t="s">
        <v>17801</v>
      </c>
      <c r="AD934" t="s">
        <v>17802</v>
      </c>
      <c r="AE934" t="s">
        <v>17803</v>
      </c>
      <c r="AF934" t="s">
        <v>74</v>
      </c>
      <c r="AG934">
        <v>35</v>
      </c>
      <c r="AH934">
        <v>21</v>
      </c>
      <c r="AI934">
        <v>23</v>
      </c>
      <c r="AJ934">
        <v>1</v>
      </c>
      <c r="AK934">
        <v>28</v>
      </c>
      <c r="AL934" t="s">
        <v>650</v>
      </c>
      <c r="AM934" t="s">
        <v>651</v>
      </c>
      <c r="AN934" t="s">
        <v>652</v>
      </c>
      <c r="AO934" t="s">
        <v>653</v>
      </c>
      <c r="AP934" t="s">
        <v>74</v>
      </c>
      <c r="AQ934" t="s">
        <v>74</v>
      </c>
      <c r="AR934" t="s">
        <v>654</v>
      </c>
      <c r="AS934" t="s">
        <v>655</v>
      </c>
      <c r="AT934" t="s">
        <v>17770</v>
      </c>
      <c r="AU934">
        <v>2017</v>
      </c>
      <c r="AV934">
        <v>7</v>
      </c>
      <c r="AW934" t="s">
        <v>74</v>
      </c>
      <c r="AX934" t="s">
        <v>74</v>
      </c>
      <c r="AY934" t="s">
        <v>74</v>
      </c>
      <c r="AZ934" t="s">
        <v>74</v>
      </c>
      <c r="BA934" t="s">
        <v>74</v>
      </c>
      <c r="BB934" t="s">
        <v>74</v>
      </c>
      <c r="BC934" t="s">
        <v>74</v>
      </c>
      <c r="BD934">
        <v>4438</v>
      </c>
      <c r="BE934" t="s">
        <v>17804</v>
      </c>
      <c r="BF934" t="str">
        <f>HYPERLINK("http://dx.doi.org/10.1038/s41598-017-04848-6","http://dx.doi.org/10.1038/s41598-017-04848-6")</f>
        <v>http://dx.doi.org/10.1038/s41598-017-04848-6</v>
      </c>
      <c r="BG934" t="s">
        <v>74</v>
      </c>
      <c r="BH934" t="s">
        <v>74</v>
      </c>
      <c r="BI934">
        <v>7</v>
      </c>
      <c r="BJ934" t="s">
        <v>190</v>
      </c>
      <c r="BK934" t="s">
        <v>101</v>
      </c>
      <c r="BL934" t="s">
        <v>191</v>
      </c>
      <c r="BM934" t="s">
        <v>17805</v>
      </c>
      <c r="BN934">
        <v>28667295</v>
      </c>
      <c r="BO934" t="s">
        <v>3746</v>
      </c>
      <c r="BP934" t="s">
        <v>74</v>
      </c>
      <c r="BQ934" t="s">
        <v>74</v>
      </c>
      <c r="BR934" t="s">
        <v>105</v>
      </c>
      <c r="BS934" t="s">
        <v>17806</v>
      </c>
      <c r="BT934" t="str">
        <f>HYPERLINK("https%3A%2F%2Fwww.webofscience.com%2Fwos%2Fwoscc%2Ffull-record%2FWOS:000404451300044","View Full Record in Web of Science")</f>
        <v>View Full Record in Web of Science</v>
      </c>
    </row>
    <row r="935" spans="1:72" x14ac:dyDescent="0.15">
      <c r="A935" t="s">
        <v>72</v>
      </c>
      <c r="B935" t="s">
        <v>17807</v>
      </c>
      <c r="C935" t="s">
        <v>74</v>
      </c>
      <c r="D935" t="s">
        <v>74</v>
      </c>
      <c r="E935" t="s">
        <v>74</v>
      </c>
      <c r="F935" t="s">
        <v>17808</v>
      </c>
      <c r="G935" t="s">
        <v>74</v>
      </c>
      <c r="H935" t="s">
        <v>74</v>
      </c>
      <c r="I935" t="s">
        <v>17809</v>
      </c>
      <c r="J935" t="s">
        <v>638</v>
      </c>
      <c r="K935" t="s">
        <v>74</v>
      </c>
      <c r="L935" t="s">
        <v>74</v>
      </c>
      <c r="M935" t="s">
        <v>78</v>
      </c>
      <c r="N935" t="s">
        <v>79</v>
      </c>
      <c r="O935" t="s">
        <v>74</v>
      </c>
      <c r="P935" t="s">
        <v>74</v>
      </c>
      <c r="Q935" t="s">
        <v>74</v>
      </c>
      <c r="R935" t="s">
        <v>74</v>
      </c>
      <c r="S935" t="s">
        <v>74</v>
      </c>
      <c r="T935" t="s">
        <v>74</v>
      </c>
      <c r="U935" t="s">
        <v>17810</v>
      </c>
      <c r="V935" t="s">
        <v>17811</v>
      </c>
      <c r="W935" t="s">
        <v>17812</v>
      </c>
      <c r="X935" t="s">
        <v>17813</v>
      </c>
      <c r="Y935" t="s">
        <v>17814</v>
      </c>
      <c r="Z935" t="s">
        <v>17815</v>
      </c>
      <c r="AA935" t="s">
        <v>17816</v>
      </c>
      <c r="AB935" t="s">
        <v>17817</v>
      </c>
      <c r="AC935" t="s">
        <v>17818</v>
      </c>
      <c r="AD935" t="s">
        <v>17819</v>
      </c>
      <c r="AE935" t="s">
        <v>17820</v>
      </c>
      <c r="AF935" t="s">
        <v>74</v>
      </c>
      <c r="AG935">
        <v>55</v>
      </c>
      <c r="AH935">
        <v>13</v>
      </c>
      <c r="AI935">
        <v>14</v>
      </c>
      <c r="AJ935">
        <v>2</v>
      </c>
      <c r="AK935">
        <v>19</v>
      </c>
      <c r="AL935" t="s">
        <v>650</v>
      </c>
      <c r="AM935" t="s">
        <v>651</v>
      </c>
      <c r="AN935" t="s">
        <v>652</v>
      </c>
      <c r="AO935" t="s">
        <v>653</v>
      </c>
      <c r="AP935" t="s">
        <v>74</v>
      </c>
      <c r="AQ935" t="s">
        <v>74</v>
      </c>
      <c r="AR935" t="s">
        <v>654</v>
      </c>
      <c r="AS935" t="s">
        <v>655</v>
      </c>
      <c r="AT935" t="s">
        <v>17821</v>
      </c>
      <c r="AU935">
        <v>2017</v>
      </c>
      <c r="AV935">
        <v>7</v>
      </c>
      <c r="AW935" t="s">
        <v>74</v>
      </c>
      <c r="AX935" t="s">
        <v>74</v>
      </c>
      <c r="AY935" t="s">
        <v>74</v>
      </c>
      <c r="AZ935" t="s">
        <v>74</v>
      </c>
      <c r="BA935" t="s">
        <v>74</v>
      </c>
      <c r="BB935" t="s">
        <v>74</v>
      </c>
      <c r="BC935" t="s">
        <v>74</v>
      </c>
      <c r="BD935">
        <v>4366</v>
      </c>
      <c r="BE935" t="s">
        <v>17822</v>
      </c>
      <c r="BF935" t="str">
        <f>HYPERLINK("http://dx.doi.org/10.1038/s41598-017-04698-2","http://dx.doi.org/10.1038/s41598-017-04698-2")</f>
        <v>http://dx.doi.org/10.1038/s41598-017-04698-2</v>
      </c>
      <c r="BG935" t="s">
        <v>74</v>
      </c>
      <c r="BH935" t="s">
        <v>74</v>
      </c>
      <c r="BI935">
        <v>9</v>
      </c>
      <c r="BJ935" t="s">
        <v>190</v>
      </c>
      <c r="BK935" t="s">
        <v>101</v>
      </c>
      <c r="BL935" t="s">
        <v>191</v>
      </c>
      <c r="BM935" t="s">
        <v>17823</v>
      </c>
      <c r="BN935">
        <v>28663586</v>
      </c>
      <c r="BO935" t="s">
        <v>658</v>
      </c>
      <c r="BP935" t="s">
        <v>74</v>
      </c>
      <c r="BQ935" t="s">
        <v>74</v>
      </c>
      <c r="BR935" t="s">
        <v>105</v>
      </c>
      <c r="BS935" t="s">
        <v>17824</v>
      </c>
      <c r="BT935" t="str">
        <f>HYPERLINK("https%3A%2F%2Fwww.webofscience.com%2Fwos%2Fwoscc%2Ffull-record%2FWOS:000404332100004","View Full Record in Web of Science")</f>
        <v>View Full Record in Web of Science</v>
      </c>
    </row>
    <row r="936" spans="1:72" x14ac:dyDescent="0.15">
      <c r="A936" t="s">
        <v>72</v>
      </c>
      <c r="B936" t="s">
        <v>17825</v>
      </c>
      <c r="C936" t="s">
        <v>74</v>
      </c>
      <c r="D936" t="s">
        <v>74</v>
      </c>
      <c r="E936" t="s">
        <v>74</v>
      </c>
      <c r="F936" t="s">
        <v>17826</v>
      </c>
      <c r="G936" t="s">
        <v>74</v>
      </c>
      <c r="H936" t="s">
        <v>74</v>
      </c>
      <c r="I936" t="s">
        <v>17827</v>
      </c>
      <c r="J936" t="s">
        <v>77</v>
      </c>
      <c r="K936" t="s">
        <v>74</v>
      </c>
      <c r="L936" t="s">
        <v>74</v>
      </c>
      <c r="M936" t="s">
        <v>78</v>
      </c>
      <c r="N936" t="s">
        <v>79</v>
      </c>
      <c r="O936" t="s">
        <v>74</v>
      </c>
      <c r="P936" t="s">
        <v>74</v>
      </c>
      <c r="Q936" t="s">
        <v>74</v>
      </c>
      <c r="R936" t="s">
        <v>74</v>
      </c>
      <c r="S936" t="s">
        <v>74</v>
      </c>
      <c r="T936" t="s">
        <v>17828</v>
      </c>
      <c r="U936" t="s">
        <v>17829</v>
      </c>
      <c r="V936" t="s">
        <v>17830</v>
      </c>
      <c r="W936" t="s">
        <v>17831</v>
      </c>
      <c r="X936" t="s">
        <v>3617</v>
      </c>
      <c r="Y936" t="s">
        <v>17832</v>
      </c>
      <c r="Z936" t="s">
        <v>17833</v>
      </c>
      <c r="AA936" t="s">
        <v>17834</v>
      </c>
      <c r="AB936" t="s">
        <v>17835</v>
      </c>
      <c r="AC936" t="s">
        <v>17836</v>
      </c>
      <c r="AD936" t="s">
        <v>5016</v>
      </c>
      <c r="AE936" t="s">
        <v>17837</v>
      </c>
      <c r="AF936" t="s">
        <v>74</v>
      </c>
      <c r="AG936">
        <v>43</v>
      </c>
      <c r="AH936">
        <v>28</v>
      </c>
      <c r="AI936">
        <v>28</v>
      </c>
      <c r="AJ936">
        <v>3</v>
      </c>
      <c r="AK936">
        <v>26</v>
      </c>
      <c r="AL936" t="s">
        <v>91</v>
      </c>
      <c r="AM936" t="s">
        <v>92</v>
      </c>
      <c r="AN936" t="s">
        <v>93</v>
      </c>
      <c r="AO936" t="s">
        <v>94</v>
      </c>
      <c r="AP936" t="s">
        <v>95</v>
      </c>
      <c r="AQ936" t="s">
        <v>74</v>
      </c>
      <c r="AR936" t="s">
        <v>96</v>
      </c>
      <c r="AS936" t="s">
        <v>97</v>
      </c>
      <c r="AT936" t="s">
        <v>17838</v>
      </c>
      <c r="AU936">
        <v>2017</v>
      </c>
      <c r="AV936">
        <v>44</v>
      </c>
      <c r="AW936">
        <v>12</v>
      </c>
      <c r="AX936" t="s">
        <v>74</v>
      </c>
      <c r="AY936" t="s">
        <v>74</v>
      </c>
      <c r="AZ936" t="s">
        <v>74</v>
      </c>
      <c r="BA936" t="s">
        <v>74</v>
      </c>
      <c r="BB936">
        <v>6200</v>
      </c>
      <c r="BC936">
        <v>6208</v>
      </c>
      <c r="BD936" t="s">
        <v>74</v>
      </c>
      <c r="BE936" t="s">
        <v>17839</v>
      </c>
      <c r="BF936" t="str">
        <f>HYPERLINK("http://dx.doi.org/10.1002/2017GL073414","http://dx.doi.org/10.1002/2017GL073414")</f>
        <v>http://dx.doi.org/10.1002/2017GL073414</v>
      </c>
      <c r="BG936" t="s">
        <v>74</v>
      </c>
      <c r="BH936" t="s">
        <v>74</v>
      </c>
      <c r="BI936">
        <v>9</v>
      </c>
      <c r="BJ936" t="s">
        <v>100</v>
      </c>
      <c r="BK936" t="s">
        <v>101</v>
      </c>
      <c r="BL936" t="s">
        <v>102</v>
      </c>
      <c r="BM936" t="s">
        <v>17840</v>
      </c>
      <c r="BN936" t="s">
        <v>74</v>
      </c>
      <c r="BO936" t="s">
        <v>1240</v>
      </c>
      <c r="BP936" t="s">
        <v>74</v>
      </c>
      <c r="BQ936" t="s">
        <v>74</v>
      </c>
      <c r="BR936" t="s">
        <v>105</v>
      </c>
      <c r="BS936" t="s">
        <v>17841</v>
      </c>
      <c r="BT936" t="str">
        <f>HYPERLINK("https%3A%2F%2Fwww.webofscience.com%2Fwos%2Fwoscc%2Ffull-record%2FWOS:000405854200038","View Full Record in Web of Science")</f>
        <v>View Full Record in Web of Science</v>
      </c>
    </row>
    <row r="937" spans="1:72" x14ac:dyDescent="0.15">
      <c r="A937" t="s">
        <v>72</v>
      </c>
      <c r="B937" t="s">
        <v>17842</v>
      </c>
      <c r="C937" t="s">
        <v>74</v>
      </c>
      <c r="D937" t="s">
        <v>74</v>
      </c>
      <c r="E937" t="s">
        <v>74</v>
      </c>
      <c r="F937" t="s">
        <v>17843</v>
      </c>
      <c r="G937" t="s">
        <v>74</v>
      </c>
      <c r="H937" t="s">
        <v>74</v>
      </c>
      <c r="I937" t="s">
        <v>17844</v>
      </c>
      <c r="J937" t="s">
        <v>77</v>
      </c>
      <c r="K937" t="s">
        <v>74</v>
      </c>
      <c r="L937" t="s">
        <v>74</v>
      </c>
      <c r="M937" t="s">
        <v>78</v>
      </c>
      <c r="N937" t="s">
        <v>79</v>
      </c>
      <c r="O937" t="s">
        <v>74</v>
      </c>
      <c r="P937" t="s">
        <v>74</v>
      </c>
      <c r="Q937" t="s">
        <v>74</v>
      </c>
      <c r="R937" t="s">
        <v>74</v>
      </c>
      <c r="S937" t="s">
        <v>74</v>
      </c>
      <c r="T937" t="s">
        <v>74</v>
      </c>
      <c r="U937" t="s">
        <v>17845</v>
      </c>
      <c r="V937" t="s">
        <v>17846</v>
      </c>
      <c r="W937" t="s">
        <v>17847</v>
      </c>
      <c r="X937" t="s">
        <v>668</v>
      </c>
      <c r="Y937" t="s">
        <v>17848</v>
      </c>
      <c r="Z937" t="s">
        <v>17849</v>
      </c>
      <c r="AA937" t="s">
        <v>74</v>
      </c>
      <c r="AB937" t="s">
        <v>74</v>
      </c>
      <c r="AC937" t="s">
        <v>17850</v>
      </c>
      <c r="AD937" t="s">
        <v>17851</v>
      </c>
      <c r="AE937" t="s">
        <v>17852</v>
      </c>
      <c r="AF937" t="s">
        <v>74</v>
      </c>
      <c r="AG937">
        <v>60</v>
      </c>
      <c r="AH937">
        <v>8</v>
      </c>
      <c r="AI937">
        <v>9</v>
      </c>
      <c r="AJ937">
        <v>1</v>
      </c>
      <c r="AK937">
        <v>6</v>
      </c>
      <c r="AL937" t="s">
        <v>91</v>
      </c>
      <c r="AM937" t="s">
        <v>92</v>
      </c>
      <c r="AN937" t="s">
        <v>93</v>
      </c>
      <c r="AO937" t="s">
        <v>94</v>
      </c>
      <c r="AP937" t="s">
        <v>95</v>
      </c>
      <c r="AQ937" t="s">
        <v>74</v>
      </c>
      <c r="AR937" t="s">
        <v>96</v>
      </c>
      <c r="AS937" t="s">
        <v>97</v>
      </c>
      <c r="AT937" t="s">
        <v>17838</v>
      </c>
      <c r="AU937">
        <v>2017</v>
      </c>
      <c r="AV937">
        <v>44</v>
      </c>
      <c r="AW937">
        <v>12</v>
      </c>
      <c r="AX937" t="s">
        <v>74</v>
      </c>
      <c r="AY937" t="s">
        <v>74</v>
      </c>
      <c r="AZ937" t="s">
        <v>74</v>
      </c>
      <c r="BA937" t="s">
        <v>74</v>
      </c>
      <c r="BB937">
        <v>6307</v>
      </c>
      <c r="BC937">
        <v>6315</v>
      </c>
      <c r="BD937" t="s">
        <v>74</v>
      </c>
      <c r="BE937" t="s">
        <v>17853</v>
      </c>
      <c r="BF937" t="str">
        <f>HYPERLINK("http://dx.doi.org/10.1002/2017GL073236","http://dx.doi.org/10.1002/2017GL073236")</f>
        <v>http://dx.doi.org/10.1002/2017GL073236</v>
      </c>
      <c r="BG937" t="s">
        <v>74</v>
      </c>
      <c r="BH937" t="s">
        <v>74</v>
      </c>
      <c r="BI937">
        <v>9</v>
      </c>
      <c r="BJ937" t="s">
        <v>100</v>
      </c>
      <c r="BK937" t="s">
        <v>101</v>
      </c>
      <c r="BL937" t="s">
        <v>102</v>
      </c>
      <c r="BM937" t="s">
        <v>17840</v>
      </c>
      <c r="BN937" t="s">
        <v>74</v>
      </c>
      <c r="BO937" t="s">
        <v>10158</v>
      </c>
      <c r="BP937" t="s">
        <v>74</v>
      </c>
      <c r="BQ937" t="s">
        <v>74</v>
      </c>
      <c r="BR937" t="s">
        <v>105</v>
      </c>
      <c r="BS937" t="s">
        <v>17854</v>
      </c>
      <c r="BT937" t="str">
        <f>HYPERLINK("https%3A%2F%2Fwww.webofscience.com%2Fwos%2Fwoscc%2Ffull-record%2FWOS:000405854200050","View Full Record in Web of Science")</f>
        <v>View Full Record in Web of Science</v>
      </c>
    </row>
    <row r="938" spans="1:72" x14ac:dyDescent="0.15">
      <c r="A938" t="s">
        <v>72</v>
      </c>
      <c r="B938" t="s">
        <v>17855</v>
      </c>
      <c r="C938" t="s">
        <v>74</v>
      </c>
      <c r="D938" t="s">
        <v>74</v>
      </c>
      <c r="E938" t="s">
        <v>74</v>
      </c>
      <c r="F938" t="s">
        <v>17856</v>
      </c>
      <c r="G938" t="s">
        <v>74</v>
      </c>
      <c r="H938" t="s">
        <v>74</v>
      </c>
      <c r="I938" t="s">
        <v>17857</v>
      </c>
      <c r="J938" t="s">
        <v>77</v>
      </c>
      <c r="K938" t="s">
        <v>74</v>
      </c>
      <c r="L938" t="s">
        <v>74</v>
      </c>
      <c r="M938" t="s">
        <v>78</v>
      </c>
      <c r="N938" t="s">
        <v>79</v>
      </c>
      <c r="O938" t="s">
        <v>74</v>
      </c>
      <c r="P938" t="s">
        <v>74</v>
      </c>
      <c r="Q938" t="s">
        <v>74</v>
      </c>
      <c r="R938" t="s">
        <v>74</v>
      </c>
      <c r="S938" t="s">
        <v>74</v>
      </c>
      <c r="T938" t="s">
        <v>74</v>
      </c>
      <c r="U938" t="s">
        <v>17858</v>
      </c>
      <c r="V938" t="s">
        <v>17859</v>
      </c>
      <c r="W938" t="s">
        <v>17860</v>
      </c>
      <c r="X938" t="s">
        <v>17861</v>
      </c>
      <c r="Y938" t="s">
        <v>17862</v>
      </c>
      <c r="Z938" t="s">
        <v>17863</v>
      </c>
      <c r="AA938" t="s">
        <v>17864</v>
      </c>
      <c r="AB938" t="s">
        <v>17865</v>
      </c>
      <c r="AC938" t="s">
        <v>17866</v>
      </c>
      <c r="AD938" t="s">
        <v>17867</v>
      </c>
      <c r="AE938" t="s">
        <v>17868</v>
      </c>
      <c r="AF938" t="s">
        <v>74</v>
      </c>
      <c r="AG938">
        <v>55</v>
      </c>
      <c r="AH938">
        <v>11</v>
      </c>
      <c r="AI938">
        <v>11</v>
      </c>
      <c r="AJ938">
        <v>0</v>
      </c>
      <c r="AK938">
        <v>26</v>
      </c>
      <c r="AL938" t="s">
        <v>91</v>
      </c>
      <c r="AM938" t="s">
        <v>92</v>
      </c>
      <c r="AN938" t="s">
        <v>93</v>
      </c>
      <c r="AO938" t="s">
        <v>94</v>
      </c>
      <c r="AP938" t="s">
        <v>95</v>
      </c>
      <c r="AQ938" t="s">
        <v>74</v>
      </c>
      <c r="AR938" t="s">
        <v>96</v>
      </c>
      <c r="AS938" t="s">
        <v>97</v>
      </c>
      <c r="AT938" t="s">
        <v>17838</v>
      </c>
      <c r="AU938">
        <v>2017</v>
      </c>
      <c r="AV938">
        <v>44</v>
      </c>
      <c r="AW938">
        <v>12</v>
      </c>
      <c r="AX938" t="s">
        <v>74</v>
      </c>
      <c r="AY938" t="s">
        <v>74</v>
      </c>
      <c r="AZ938" t="s">
        <v>74</v>
      </c>
      <c r="BA938" t="s">
        <v>74</v>
      </c>
      <c r="BB938">
        <v>6440</v>
      </c>
      <c r="BC938">
        <v>6449</v>
      </c>
      <c r="BD938" t="s">
        <v>74</v>
      </c>
      <c r="BE938" t="s">
        <v>17869</v>
      </c>
      <c r="BF938" t="str">
        <f>HYPERLINK("http://dx.doi.org/10.1002/2017GL073270","http://dx.doi.org/10.1002/2017GL073270")</f>
        <v>http://dx.doi.org/10.1002/2017GL073270</v>
      </c>
      <c r="BG938" t="s">
        <v>74</v>
      </c>
      <c r="BH938" t="s">
        <v>74</v>
      </c>
      <c r="BI938">
        <v>10</v>
      </c>
      <c r="BJ938" t="s">
        <v>100</v>
      </c>
      <c r="BK938" t="s">
        <v>101</v>
      </c>
      <c r="BL938" t="s">
        <v>102</v>
      </c>
      <c r="BM938" t="s">
        <v>17840</v>
      </c>
      <c r="BN938" t="s">
        <v>74</v>
      </c>
      <c r="BO938" t="s">
        <v>633</v>
      </c>
      <c r="BP938" t="s">
        <v>74</v>
      </c>
      <c r="BQ938" t="s">
        <v>74</v>
      </c>
      <c r="BR938" t="s">
        <v>105</v>
      </c>
      <c r="BS938" t="s">
        <v>17870</v>
      </c>
      <c r="BT938" t="str">
        <f>HYPERLINK("https%3A%2F%2Fwww.webofscience.com%2Fwos%2Fwoscc%2Ffull-record%2FWOS:000405854200065","View Full Record in Web of Science")</f>
        <v>View Full Record in Web of Science</v>
      </c>
    </row>
    <row r="939" spans="1:72" x14ac:dyDescent="0.15">
      <c r="A939" t="s">
        <v>72</v>
      </c>
      <c r="B939" t="s">
        <v>17871</v>
      </c>
      <c r="C939" t="s">
        <v>74</v>
      </c>
      <c r="D939" t="s">
        <v>74</v>
      </c>
      <c r="E939" t="s">
        <v>74</v>
      </c>
      <c r="F939" t="s">
        <v>17872</v>
      </c>
      <c r="G939" t="s">
        <v>74</v>
      </c>
      <c r="H939" t="s">
        <v>74</v>
      </c>
      <c r="I939" t="s">
        <v>17873</v>
      </c>
      <c r="J939" t="s">
        <v>77</v>
      </c>
      <c r="K939" t="s">
        <v>74</v>
      </c>
      <c r="L939" t="s">
        <v>74</v>
      </c>
      <c r="M939" t="s">
        <v>78</v>
      </c>
      <c r="N939" t="s">
        <v>79</v>
      </c>
      <c r="O939" t="s">
        <v>74</v>
      </c>
      <c r="P939" t="s">
        <v>74</v>
      </c>
      <c r="Q939" t="s">
        <v>74</v>
      </c>
      <c r="R939" t="s">
        <v>74</v>
      </c>
      <c r="S939" t="s">
        <v>74</v>
      </c>
      <c r="T939" t="s">
        <v>74</v>
      </c>
      <c r="U939" t="s">
        <v>17874</v>
      </c>
      <c r="V939" t="s">
        <v>17875</v>
      </c>
      <c r="W939" t="s">
        <v>17876</v>
      </c>
      <c r="X939" t="s">
        <v>17877</v>
      </c>
      <c r="Y939" t="s">
        <v>17878</v>
      </c>
      <c r="Z939" t="s">
        <v>17879</v>
      </c>
      <c r="AA939" t="s">
        <v>17880</v>
      </c>
      <c r="AB939" t="s">
        <v>17881</v>
      </c>
      <c r="AC939" t="s">
        <v>17882</v>
      </c>
      <c r="AD939" t="s">
        <v>6733</v>
      </c>
      <c r="AE939" t="s">
        <v>17883</v>
      </c>
      <c r="AF939" t="s">
        <v>74</v>
      </c>
      <c r="AG939">
        <v>50</v>
      </c>
      <c r="AH939">
        <v>52</v>
      </c>
      <c r="AI939">
        <v>56</v>
      </c>
      <c r="AJ939">
        <v>1</v>
      </c>
      <c r="AK939">
        <v>25</v>
      </c>
      <c r="AL939" t="s">
        <v>91</v>
      </c>
      <c r="AM939" t="s">
        <v>92</v>
      </c>
      <c r="AN939" t="s">
        <v>93</v>
      </c>
      <c r="AO939" t="s">
        <v>94</v>
      </c>
      <c r="AP939" t="s">
        <v>95</v>
      </c>
      <c r="AQ939" t="s">
        <v>74</v>
      </c>
      <c r="AR939" t="s">
        <v>96</v>
      </c>
      <c r="AS939" t="s">
        <v>97</v>
      </c>
      <c r="AT939" t="s">
        <v>17838</v>
      </c>
      <c r="AU939">
        <v>2017</v>
      </c>
      <c r="AV939">
        <v>44</v>
      </c>
      <c r="AW939">
        <v>12</v>
      </c>
      <c r="AX939" t="s">
        <v>74</v>
      </c>
      <c r="AY939" t="s">
        <v>74</v>
      </c>
      <c r="AZ939" t="s">
        <v>74</v>
      </c>
      <c r="BA939" t="s">
        <v>74</v>
      </c>
      <c r="BB939">
        <v>6286</v>
      </c>
      <c r="BC939">
        <v>6295</v>
      </c>
      <c r="BD939" t="s">
        <v>74</v>
      </c>
      <c r="BE939" t="s">
        <v>17884</v>
      </c>
      <c r="BF939" t="str">
        <f>HYPERLINK("http://dx.doi.org/10.1002/2017GL073936","http://dx.doi.org/10.1002/2017GL073936")</f>
        <v>http://dx.doi.org/10.1002/2017GL073936</v>
      </c>
      <c r="BG939" t="s">
        <v>74</v>
      </c>
      <c r="BH939" t="s">
        <v>74</v>
      </c>
      <c r="BI939">
        <v>10</v>
      </c>
      <c r="BJ939" t="s">
        <v>100</v>
      </c>
      <c r="BK939" t="s">
        <v>101</v>
      </c>
      <c r="BL939" t="s">
        <v>102</v>
      </c>
      <c r="BM939" t="s">
        <v>17840</v>
      </c>
      <c r="BN939" t="s">
        <v>74</v>
      </c>
      <c r="BO939" t="s">
        <v>10158</v>
      </c>
      <c r="BP939" t="s">
        <v>74</v>
      </c>
      <c r="BQ939" t="s">
        <v>74</v>
      </c>
      <c r="BR939" t="s">
        <v>105</v>
      </c>
      <c r="BS939" t="s">
        <v>17885</v>
      </c>
      <c r="BT939" t="str">
        <f>HYPERLINK("https%3A%2F%2Fwww.webofscience.com%2Fwos%2Fwoscc%2Ffull-record%2FWOS:000405854200048","View Full Record in Web of Science")</f>
        <v>View Full Record in Web of Science</v>
      </c>
    </row>
    <row r="940" spans="1:72" x14ac:dyDescent="0.15">
      <c r="A940" t="s">
        <v>72</v>
      </c>
      <c r="B940" t="s">
        <v>17886</v>
      </c>
      <c r="C940" t="s">
        <v>74</v>
      </c>
      <c r="D940" t="s">
        <v>74</v>
      </c>
      <c r="E940" t="s">
        <v>74</v>
      </c>
      <c r="F940" t="s">
        <v>17887</v>
      </c>
      <c r="G940" t="s">
        <v>74</v>
      </c>
      <c r="H940" t="s">
        <v>74</v>
      </c>
      <c r="I940" t="s">
        <v>17888</v>
      </c>
      <c r="J940" t="s">
        <v>9875</v>
      </c>
      <c r="K940" t="s">
        <v>74</v>
      </c>
      <c r="L940" t="s">
        <v>74</v>
      </c>
      <c r="M940" t="s">
        <v>78</v>
      </c>
      <c r="N940" t="s">
        <v>79</v>
      </c>
      <c r="O940" t="s">
        <v>74</v>
      </c>
      <c r="P940" t="s">
        <v>74</v>
      </c>
      <c r="Q940" t="s">
        <v>74</v>
      </c>
      <c r="R940" t="s">
        <v>74</v>
      </c>
      <c r="S940" t="s">
        <v>74</v>
      </c>
      <c r="T940" t="s">
        <v>17889</v>
      </c>
      <c r="U940" t="s">
        <v>17890</v>
      </c>
      <c r="V940" t="s">
        <v>17891</v>
      </c>
      <c r="W940" t="s">
        <v>17892</v>
      </c>
      <c r="X940" t="s">
        <v>17893</v>
      </c>
      <c r="Y940" t="s">
        <v>17894</v>
      </c>
      <c r="Z940" t="s">
        <v>17895</v>
      </c>
      <c r="AA940" t="s">
        <v>74</v>
      </c>
      <c r="AB940" t="s">
        <v>17896</v>
      </c>
      <c r="AC940" t="s">
        <v>17897</v>
      </c>
      <c r="AD940" t="s">
        <v>17898</v>
      </c>
      <c r="AE940" t="s">
        <v>17899</v>
      </c>
      <c r="AF940" t="s">
        <v>74</v>
      </c>
      <c r="AG940">
        <v>29</v>
      </c>
      <c r="AH940">
        <v>13</v>
      </c>
      <c r="AI940">
        <v>14</v>
      </c>
      <c r="AJ940">
        <v>0</v>
      </c>
      <c r="AK940">
        <v>9</v>
      </c>
      <c r="AL940" t="s">
        <v>1809</v>
      </c>
      <c r="AM940" t="s">
        <v>182</v>
      </c>
      <c r="AN940" t="s">
        <v>1810</v>
      </c>
      <c r="AO940" t="s">
        <v>9888</v>
      </c>
      <c r="AP940" t="s">
        <v>9889</v>
      </c>
      <c r="AQ940" t="s">
        <v>74</v>
      </c>
      <c r="AR940" t="s">
        <v>9890</v>
      </c>
      <c r="AS940" t="s">
        <v>9891</v>
      </c>
      <c r="AT940" t="s">
        <v>17838</v>
      </c>
      <c r="AU940">
        <v>2017</v>
      </c>
      <c r="AV940">
        <v>284</v>
      </c>
      <c r="AW940">
        <v>1857</v>
      </c>
      <c r="AX940" t="s">
        <v>74</v>
      </c>
      <c r="AY940" t="s">
        <v>74</v>
      </c>
      <c r="AZ940" t="s">
        <v>74</v>
      </c>
      <c r="BA940" t="s">
        <v>74</v>
      </c>
      <c r="BB940" t="s">
        <v>74</v>
      </c>
      <c r="BC940" t="s">
        <v>74</v>
      </c>
      <c r="BD940">
        <v>20170833</v>
      </c>
      <c r="BE940" t="s">
        <v>17900</v>
      </c>
      <c r="BF940" t="str">
        <f>HYPERLINK("http://dx.doi.org/10.1098/rspb.2017.0833","http://dx.doi.org/10.1098/rspb.2017.0833")</f>
        <v>http://dx.doi.org/10.1098/rspb.2017.0833</v>
      </c>
      <c r="BG940" t="s">
        <v>74</v>
      </c>
      <c r="BH940" t="s">
        <v>74</v>
      </c>
      <c r="BI940">
        <v>6</v>
      </c>
      <c r="BJ940" t="s">
        <v>1817</v>
      </c>
      <c r="BK940" t="s">
        <v>101</v>
      </c>
      <c r="BL940" t="s">
        <v>1818</v>
      </c>
      <c r="BM940" t="s">
        <v>17901</v>
      </c>
      <c r="BN940">
        <v>28637848</v>
      </c>
      <c r="BO940" t="s">
        <v>13114</v>
      </c>
      <c r="BP940" t="s">
        <v>74</v>
      </c>
      <c r="BQ940" t="s">
        <v>74</v>
      </c>
      <c r="BR940" t="s">
        <v>105</v>
      </c>
      <c r="BS940" t="s">
        <v>17902</v>
      </c>
      <c r="BT940" t="str">
        <f>HYPERLINK("https%3A%2F%2Fwww.webofscience.com%2Fwos%2Fwoscc%2Ffull-record%2FWOS:000405955900015","View Full Record in Web of Science")</f>
        <v>View Full Record in Web of Science</v>
      </c>
    </row>
    <row r="941" spans="1:72" x14ac:dyDescent="0.15">
      <c r="A941" t="s">
        <v>72</v>
      </c>
      <c r="B941" t="s">
        <v>17903</v>
      </c>
      <c r="C941" t="s">
        <v>74</v>
      </c>
      <c r="D941" t="s">
        <v>74</v>
      </c>
      <c r="E941" t="s">
        <v>74</v>
      </c>
      <c r="F941" t="s">
        <v>17904</v>
      </c>
      <c r="G941" t="s">
        <v>74</v>
      </c>
      <c r="H941" t="s">
        <v>74</v>
      </c>
      <c r="I941" t="s">
        <v>17905</v>
      </c>
      <c r="J941" t="s">
        <v>5454</v>
      </c>
      <c r="K941" t="s">
        <v>74</v>
      </c>
      <c r="L941" t="s">
        <v>74</v>
      </c>
      <c r="M941" t="s">
        <v>78</v>
      </c>
      <c r="N941" t="s">
        <v>79</v>
      </c>
      <c r="O941" t="s">
        <v>74</v>
      </c>
      <c r="P941" t="s">
        <v>74</v>
      </c>
      <c r="Q941" t="s">
        <v>74</v>
      </c>
      <c r="R941" t="s">
        <v>74</v>
      </c>
      <c r="S941" t="s">
        <v>74</v>
      </c>
      <c r="T941" t="s">
        <v>17906</v>
      </c>
      <c r="U941" t="s">
        <v>17907</v>
      </c>
      <c r="V941" t="s">
        <v>17908</v>
      </c>
      <c r="W941" t="s">
        <v>17909</v>
      </c>
      <c r="X941" t="s">
        <v>17910</v>
      </c>
      <c r="Y941" t="s">
        <v>17911</v>
      </c>
      <c r="Z941" t="s">
        <v>17912</v>
      </c>
      <c r="AA941" t="s">
        <v>17913</v>
      </c>
      <c r="AB941" t="s">
        <v>17914</v>
      </c>
      <c r="AC941" t="s">
        <v>17915</v>
      </c>
      <c r="AD941" t="s">
        <v>17916</v>
      </c>
      <c r="AE941" t="s">
        <v>74</v>
      </c>
      <c r="AF941" t="s">
        <v>74</v>
      </c>
      <c r="AG941">
        <v>261</v>
      </c>
      <c r="AH941">
        <v>56</v>
      </c>
      <c r="AI941">
        <v>60</v>
      </c>
      <c r="AJ941">
        <v>0</v>
      </c>
      <c r="AK941">
        <v>7</v>
      </c>
      <c r="AL941" t="s">
        <v>804</v>
      </c>
      <c r="AM941" t="s">
        <v>805</v>
      </c>
      <c r="AN941" t="s">
        <v>806</v>
      </c>
      <c r="AO941" t="s">
        <v>5467</v>
      </c>
      <c r="AP941" t="s">
        <v>5468</v>
      </c>
      <c r="AQ941" t="s">
        <v>74</v>
      </c>
      <c r="AR941" t="s">
        <v>5454</v>
      </c>
      <c r="AS941" t="s">
        <v>5469</v>
      </c>
      <c r="AT941" t="s">
        <v>17838</v>
      </c>
      <c r="AU941">
        <v>2017</v>
      </c>
      <c r="AV941">
        <v>4284</v>
      </c>
      <c r="AW941">
        <v>1</v>
      </c>
      <c r="AX941" t="s">
        <v>74</v>
      </c>
      <c r="AY941" t="s">
        <v>74</v>
      </c>
      <c r="AZ941" t="s">
        <v>74</v>
      </c>
      <c r="BA941" t="s">
        <v>74</v>
      </c>
      <c r="BB941">
        <v>1</v>
      </c>
      <c r="BC941">
        <v>74</v>
      </c>
      <c r="BD941" t="s">
        <v>74</v>
      </c>
      <c r="BE941" t="s">
        <v>17917</v>
      </c>
      <c r="BF941" t="str">
        <f>HYPERLINK("http://dx.doi.org/10.11646/zootaxa.4284.1.1","http://dx.doi.org/10.11646/zootaxa.4284.1.1")</f>
        <v>http://dx.doi.org/10.11646/zootaxa.4284.1.1</v>
      </c>
      <c r="BG941" t="s">
        <v>74</v>
      </c>
      <c r="BH941" t="s">
        <v>74</v>
      </c>
      <c r="BI941">
        <v>74</v>
      </c>
      <c r="BJ941" t="s">
        <v>2802</v>
      </c>
      <c r="BK941" t="s">
        <v>101</v>
      </c>
      <c r="BL941" t="s">
        <v>2802</v>
      </c>
      <c r="BM941" t="s">
        <v>17918</v>
      </c>
      <c r="BN941" t="s">
        <v>74</v>
      </c>
      <c r="BO941" t="s">
        <v>598</v>
      </c>
      <c r="BP941" t="s">
        <v>74</v>
      </c>
      <c r="BQ941" t="s">
        <v>74</v>
      </c>
      <c r="BR941" t="s">
        <v>105</v>
      </c>
      <c r="BS941" t="s">
        <v>17919</v>
      </c>
      <c r="BT941" t="str">
        <f>HYPERLINK("https%3A%2F%2Fwww.webofscience.com%2Fwos%2Fwoscc%2Ffull-record%2FWOS:000404103600001","View Full Record in Web of Science")</f>
        <v>View Full Record in Web of Science</v>
      </c>
    </row>
    <row r="942" spans="1:72" x14ac:dyDescent="0.15">
      <c r="A942" t="s">
        <v>72</v>
      </c>
      <c r="B942" t="s">
        <v>17920</v>
      </c>
      <c r="C942" t="s">
        <v>74</v>
      </c>
      <c r="D942" t="s">
        <v>74</v>
      </c>
      <c r="E942" t="s">
        <v>74</v>
      </c>
      <c r="F942" t="s">
        <v>17921</v>
      </c>
      <c r="G942" t="s">
        <v>74</v>
      </c>
      <c r="H942" t="s">
        <v>74</v>
      </c>
      <c r="I942" t="s">
        <v>17922</v>
      </c>
      <c r="J942" t="s">
        <v>144</v>
      </c>
      <c r="K942" t="s">
        <v>74</v>
      </c>
      <c r="L942" t="s">
        <v>74</v>
      </c>
      <c r="M942" t="s">
        <v>78</v>
      </c>
      <c r="N942" t="s">
        <v>79</v>
      </c>
      <c r="O942" t="s">
        <v>74</v>
      </c>
      <c r="P942" t="s">
        <v>74</v>
      </c>
      <c r="Q942" t="s">
        <v>74</v>
      </c>
      <c r="R942" t="s">
        <v>74</v>
      </c>
      <c r="S942" t="s">
        <v>74</v>
      </c>
      <c r="T942" t="s">
        <v>74</v>
      </c>
      <c r="U942" t="s">
        <v>17923</v>
      </c>
      <c r="V942" t="s">
        <v>17924</v>
      </c>
      <c r="W942" t="s">
        <v>17925</v>
      </c>
      <c r="X942" t="s">
        <v>17926</v>
      </c>
      <c r="Y942" t="s">
        <v>17927</v>
      </c>
      <c r="Z942" t="s">
        <v>17928</v>
      </c>
      <c r="AA942" t="s">
        <v>17929</v>
      </c>
      <c r="AB942" t="s">
        <v>17930</v>
      </c>
      <c r="AC942" t="s">
        <v>17931</v>
      </c>
      <c r="AD942" t="s">
        <v>17932</v>
      </c>
      <c r="AE942" t="s">
        <v>17933</v>
      </c>
      <c r="AF942" t="s">
        <v>74</v>
      </c>
      <c r="AG942">
        <v>65</v>
      </c>
      <c r="AH942">
        <v>47</v>
      </c>
      <c r="AI942">
        <v>49</v>
      </c>
      <c r="AJ942">
        <v>4</v>
      </c>
      <c r="AK942">
        <v>31</v>
      </c>
      <c r="AL942" t="s">
        <v>91</v>
      </c>
      <c r="AM942" t="s">
        <v>92</v>
      </c>
      <c r="AN942" t="s">
        <v>93</v>
      </c>
      <c r="AO942" t="s">
        <v>156</v>
      </c>
      <c r="AP942" t="s">
        <v>157</v>
      </c>
      <c r="AQ942" t="s">
        <v>74</v>
      </c>
      <c r="AR942" t="s">
        <v>158</v>
      </c>
      <c r="AS942" t="s">
        <v>159</v>
      </c>
      <c r="AT942" t="s">
        <v>17934</v>
      </c>
      <c r="AU942">
        <v>2017</v>
      </c>
      <c r="AV942">
        <v>122</v>
      </c>
      <c r="AW942">
        <v>12</v>
      </c>
      <c r="AX942" t="s">
        <v>74</v>
      </c>
      <c r="AY942" t="s">
        <v>74</v>
      </c>
      <c r="AZ942" t="s">
        <v>74</v>
      </c>
      <c r="BA942" t="s">
        <v>74</v>
      </c>
      <c r="BB942">
        <v>6298</v>
      </c>
      <c r="BC942">
        <v>6318</v>
      </c>
      <c r="BD942" t="s">
        <v>74</v>
      </c>
      <c r="BE942" t="s">
        <v>17935</v>
      </c>
      <c r="BF942" t="str">
        <f>HYPERLINK("http://dx.doi.org/10.1002/2016JD025801","http://dx.doi.org/10.1002/2016JD025801")</f>
        <v>http://dx.doi.org/10.1002/2016JD025801</v>
      </c>
      <c r="BG942" t="s">
        <v>74</v>
      </c>
      <c r="BH942" t="s">
        <v>74</v>
      </c>
      <c r="BI942">
        <v>21</v>
      </c>
      <c r="BJ942" t="s">
        <v>162</v>
      </c>
      <c r="BK942" t="s">
        <v>101</v>
      </c>
      <c r="BL942" t="s">
        <v>162</v>
      </c>
      <c r="BM942" t="s">
        <v>17936</v>
      </c>
      <c r="BN942" t="s">
        <v>74</v>
      </c>
      <c r="BO942" t="s">
        <v>1639</v>
      </c>
      <c r="BP942" t="s">
        <v>74</v>
      </c>
      <c r="BQ942" t="s">
        <v>74</v>
      </c>
      <c r="BR942" t="s">
        <v>105</v>
      </c>
      <c r="BS942" t="s">
        <v>17937</v>
      </c>
      <c r="BT942" t="str">
        <f>HYPERLINK("https%3A%2F%2Fwww.webofscience.com%2Fwos%2Fwoscc%2Ffull-record%2FWOS:000405514000011","View Full Record in Web of Science")</f>
        <v>View Full Record in Web of Science</v>
      </c>
    </row>
    <row r="943" spans="1:72" x14ac:dyDescent="0.15">
      <c r="A943" t="s">
        <v>72</v>
      </c>
      <c r="B943" t="s">
        <v>17938</v>
      </c>
      <c r="C943" t="s">
        <v>74</v>
      </c>
      <c r="D943" t="s">
        <v>74</v>
      </c>
      <c r="E943" t="s">
        <v>74</v>
      </c>
      <c r="F943" t="s">
        <v>17939</v>
      </c>
      <c r="G943" t="s">
        <v>74</v>
      </c>
      <c r="H943" t="s">
        <v>74</v>
      </c>
      <c r="I943" t="s">
        <v>17940</v>
      </c>
      <c r="J943" t="s">
        <v>953</v>
      </c>
      <c r="K943" t="s">
        <v>74</v>
      </c>
      <c r="L943" t="s">
        <v>74</v>
      </c>
      <c r="M943" t="s">
        <v>78</v>
      </c>
      <c r="N943" t="s">
        <v>79</v>
      </c>
      <c r="O943" t="s">
        <v>74</v>
      </c>
      <c r="P943" t="s">
        <v>74</v>
      </c>
      <c r="Q943" t="s">
        <v>74</v>
      </c>
      <c r="R943" t="s">
        <v>74</v>
      </c>
      <c r="S943" t="s">
        <v>74</v>
      </c>
      <c r="T943" t="s">
        <v>74</v>
      </c>
      <c r="U943" t="s">
        <v>17941</v>
      </c>
      <c r="V943" t="s">
        <v>17942</v>
      </c>
      <c r="W943" t="s">
        <v>17943</v>
      </c>
      <c r="X943" t="s">
        <v>17944</v>
      </c>
      <c r="Y943" t="s">
        <v>17945</v>
      </c>
      <c r="Z943" t="s">
        <v>17946</v>
      </c>
      <c r="AA943" t="s">
        <v>17947</v>
      </c>
      <c r="AB943" t="s">
        <v>17948</v>
      </c>
      <c r="AC943" t="s">
        <v>17949</v>
      </c>
      <c r="AD943" t="s">
        <v>17950</v>
      </c>
      <c r="AE943" t="s">
        <v>17951</v>
      </c>
      <c r="AF943" t="s">
        <v>74</v>
      </c>
      <c r="AG943">
        <v>38</v>
      </c>
      <c r="AH943">
        <v>135</v>
      </c>
      <c r="AI943">
        <v>149</v>
      </c>
      <c r="AJ943">
        <v>17</v>
      </c>
      <c r="AK943">
        <v>120</v>
      </c>
      <c r="AL943" t="s">
        <v>181</v>
      </c>
      <c r="AM943" t="s">
        <v>182</v>
      </c>
      <c r="AN943" t="s">
        <v>183</v>
      </c>
      <c r="AO943" t="s">
        <v>965</v>
      </c>
      <c r="AP943" t="s">
        <v>74</v>
      </c>
      <c r="AQ943" t="s">
        <v>74</v>
      </c>
      <c r="AR943" t="s">
        <v>966</v>
      </c>
      <c r="AS943" t="s">
        <v>967</v>
      </c>
      <c r="AT943" t="s">
        <v>17934</v>
      </c>
      <c r="AU943">
        <v>2017</v>
      </c>
      <c r="AV943">
        <v>8</v>
      </c>
      <c r="AW943" t="s">
        <v>74</v>
      </c>
      <c r="AX943" t="s">
        <v>74</v>
      </c>
      <c r="AY943" t="s">
        <v>74</v>
      </c>
      <c r="AZ943" t="s">
        <v>74</v>
      </c>
      <c r="BA943" t="s">
        <v>74</v>
      </c>
      <c r="BB943" t="s">
        <v>74</v>
      </c>
      <c r="BC943" t="s">
        <v>74</v>
      </c>
      <c r="BD943">
        <v>15962</v>
      </c>
      <c r="BE943" t="s">
        <v>17952</v>
      </c>
      <c r="BF943" t="str">
        <f>HYPERLINK("http://dx.doi.org/10.1038/ncomms15962","http://dx.doi.org/10.1038/ncomms15962")</f>
        <v>http://dx.doi.org/10.1038/ncomms15962</v>
      </c>
      <c r="BG943" t="s">
        <v>74</v>
      </c>
      <c r="BH943" t="s">
        <v>74</v>
      </c>
      <c r="BI943">
        <v>9</v>
      </c>
      <c r="BJ943" t="s">
        <v>190</v>
      </c>
      <c r="BK943" t="s">
        <v>101</v>
      </c>
      <c r="BL943" t="s">
        <v>191</v>
      </c>
      <c r="BM943" t="s">
        <v>17953</v>
      </c>
      <c r="BN943">
        <v>28654085</v>
      </c>
      <c r="BO943" t="s">
        <v>6500</v>
      </c>
      <c r="BP943" t="s">
        <v>74</v>
      </c>
      <c r="BQ943" t="s">
        <v>74</v>
      </c>
      <c r="BR943" t="s">
        <v>105</v>
      </c>
      <c r="BS943" t="s">
        <v>17954</v>
      </c>
      <c r="BT943" t="str">
        <f>HYPERLINK("https%3A%2F%2Fwww.webofscience.com%2Fwos%2Fwoscc%2Ffull-record%2FWOS:000404130000001","View Full Record in Web of Science")</f>
        <v>View Full Record in Web of Science</v>
      </c>
    </row>
    <row r="944" spans="1:72" x14ac:dyDescent="0.15">
      <c r="A944" t="s">
        <v>72</v>
      </c>
      <c r="B944" t="s">
        <v>17955</v>
      </c>
      <c r="C944" t="s">
        <v>74</v>
      </c>
      <c r="D944" t="s">
        <v>74</v>
      </c>
      <c r="E944" t="s">
        <v>74</v>
      </c>
      <c r="F944" t="s">
        <v>17956</v>
      </c>
      <c r="G944" t="s">
        <v>74</v>
      </c>
      <c r="H944" t="s">
        <v>17957</v>
      </c>
      <c r="I944" t="s">
        <v>17958</v>
      </c>
      <c r="J944" t="s">
        <v>246</v>
      </c>
      <c r="K944" t="s">
        <v>74</v>
      </c>
      <c r="L944" t="s">
        <v>74</v>
      </c>
      <c r="M944" t="s">
        <v>78</v>
      </c>
      <c r="N944" t="s">
        <v>2737</v>
      </c>
      <c r="O944" t="s">
        <v>74</v>
      </c>
      <c r="P944" t="s">
        <v>74</v>
      </c>
      <c r="Q944" t="s">
        <v>74</v>
      </c>
      <c r="R944" t="s">
        <v>74</v>
      </c>
      <c r="S944" t="s">
        <v>74</v>
      </c>
      <c r="T944" t="s">
        <v>17959</v>
      </c>
      <c r="U944" t="s">
        <v>17960</v>
      </c>
      <c r="V944" t="s">
        <v>17961</v>
      </c>
      <c r="W944" t="s">
        <v>17962</v>
      </c>
      <c r="X944" t="s">
        <v>17963</v>
      </c>
      <c r="Y944" t="s">
        <v>17964</v>
      </c>
      <c r="Z944" t="s">
        <v>17965</v>
      </c>
      <c r="AA944" t="s">
        <v>17966</v>
      </c>
      <c r="AB944" t="s">
        <v>17967</v>
      </c>
      <c r="AC944" t="s">
        <v>17968</v>
      </c>
      <c r="AD944" t="s">
        <v>17969</v>
      </c>
      <c r="AE944" t="s">
        <v>17970</v>
      </c>
      <c r="AF944" t="s">
        <v>74</v>
      </c>
      <c r="AG944">
        <v>67</v>
      </c>
      <c r="AH944">
        <v>63</v>
      </c>
      <c r="AI944">
        <v>65</v>
      </c>
      <c r="AJ944">
        <v>1</v>
      </c>
      <c r="AK944">
        <v>26</v>
      </c>
      <c r="AL944" t="s">
        <v>259</v>
      </c>
      <c r="AM944" t="s">
        <v>182</v>
      </c>
      <c r="AN944" t="s">
        <v>260</v>
      </c>
      <c r="AO944" t="s">
        <v>261</v>
      </c>
      <c r="AP944" t="s">
        <v>74</v>
      </c>
      <c r="AQ944" t="s">
        <v>74</v>
      </c>
      <c r="AR944" t="s">
        <v>246</v>
      </c>
      <c r="AS944" t="s">
        <v>262</v>
      </c>
      <c r="AT944" t="s">
        <v>17934</v>
      </c>
      <c r="AU944">
        <v>2017</v>
      </c>
      <c r="AV944">
        <v>18</v>
      </c>
      <c r="AW944" t="s">
        <v>74</v>
      </c>
      <c r="AX944" t="s">
        <v>74</v>
      </c>
      <c r="AY944" t="s">
        <v>74</v>
      </c>
      <c r="AZ944" t="s">
        <v>74</v>
      </c>
      <c r="BA944" t="s">
        <v>74</v>
      </c>
      <c r="BB944" t="s">
        <v>74</v>
      </c>
      <c r="BC944" t="s">
        <v>74</v>
      </c>
      <c r="BD944">
        <v>484</v>
      </c>
      <c r="BE944" t="s">
        <v>17971</v>
      </c>
      <c r="BF944" t="str">
        <f>HYPERLINK("http://dx.doi.org/10.1186/s12864-017-3862-8","http://dx.doi.org/10.1186/s12864-017-3862-8")</f>
        <v>http://dx.doi.org/10.1186/s12864-017-3862-8</v>
      </c>
      <c r="BG944" t="s">
        <v>74</v>
      </c>
      <c r="BH944" t="s">
        <v>74</v>
      </c>
      <c r="BI944">
        <v>9</v>
      </c>
      <c r="BJ944" t="s">
        <v>265</v>
      </c>
      <c r="BK944" t="s">
        <v>101</v>
      </c>
      <c r="BL944" t="s">
        <v>265</v>
      </c>
      <c r="BM944" t="s">
        <v>17972</v>
      </c>
      <c r="BN944">
        <v>28655320</v>
      </c>
      <c r="BO944" t="s">
        <v>17973</v>
      </c>
      <c r="BP944" t="s">
        <v>74</v>
      </c>
      <c r="BQ944" t="s">
        <v>74</v>
      </c>
      <c r="BR944" t="s">
        <v>105</v>
      </c>
      <c r="BS944" t="s">
        <v>17974</v>
      </c>
      <c r="BT944" t="str">
        <f>HYPERLINK("https%3A%2F%2Fwww.webofscience.com%2Fwos%2Fwoscc%2Ffull-record%2FWOS:000405443700001","View Full Record in Web of Science")</f>
        <v>View Full Record in Web of Science</v>
      </c>
    </row>
    <row r="945" spans="1:72" x14ac:dyDescent="0.15">
      <c r="A945" t="s">
        <v>72</v>
      </c>
      <c r="B945" t="s">
        <v>17975</v>
      </c>
      <c r="C945" t="s">
        <v>74</v>
      </c>
      <c r="D945" t="s">
        <v>74</v>
      </c>
      <c r="E945" t="s">
        <v>74</v>
      </c>
      <c r="F945" t="s">
        <v>17976</v>
      </c>
      <c r="G945" t="s">
        <v>74</v>
      </c>
      <c r="H945" t="s">
        <v>74</v>
      </c>
      <c r="I945" t="s">
        <v>17977</v>
      </c>
      <c r="J945" t="s">
        <v>860</v>
      </c>
      <c r="K945" t="s">
        <v>74</v>
      </c>
      <c r="L945" t="s">
        <v>74</v>
      </c>
      <c r="M945" t="s">
        <v>78</v>
      </c>
      <c r="N945" t="s">
        <v>79</v>
      </c>
      <c r="O945" t="s">
        <v>74</v>
      </c>
      <c r="P945" t="s">
        <v>74</v>
      </c>
      <c r="Q945" t="s">
        <v>74</v>
      </c>
      <c r="R945" t="s">
        <v>74</v>
      </c>
      <c r="S945" t="s">
        <v>74</v>
      </c>
      <c r="T945" t="s">
        <v>74</v>
      </c>
      <c r="U945" t="s">
        <v>17978</v>
      </c>
      <c r="V945" t="s">
        <v>17979</v>
      </c>
      <c r="W945" t="s">
        <v>17980</v>
      </c>
      <c r="X945" t="s">
        <v>3617</v>
      </c>
      <c r="Y945" t="s">
        <v>17981</v>
      </c>
      <c r="Z945" t="s">
        <v>16946</v>
      </c>
      <c r="AA945" t="s">
        <v>74</v>
      </c>
      <c r="AB945" t="s">
        <v>17982</v>
      </c>
      <c r="AC945" t="s">
        <v>17983</v>
      </c>
      <c r="AD945" t="s">
        <v>17984</v>
      </c>
      <c r="AE945" t="s">
        <v>17985</v>
      </c>
      <c r="AF945" t="s">
        <v>74</v>
      </c>
      <c r="AG945">
        <v>36</v>
      </c>
      <c r="AH945">
        <v>30</v>
      </c>
      <c r="AI945">
        <v>31</v>
      </c>
      <c r="AJ945">
        <v>1</v>
      </c>
      <c r="AK945">
        <v>15</v>
      </c>
      <c r="AL945" t="s">
        <v>872</v>
      </c>
      <c r="AM945" t="s">
        <v>873</v>
      </c>
      <c r="AN945" t="s">
        <v>874</v>
      </c>
      <c r="AO945" t="s">
        <v>875</v>
      </c>
      <c r="AP945" t="s">
        <v>74</v>
      </c>
      <c r="AQ945" t="s">
        <v>74</v>
      </c>
      <c r="AR945" t="s">
        <v>860</v>
      </c>
      <c r="AS945" t="s">
        <v>876</v>
      </c>
      <c r="AT945" t="s">
        <v>17934</v>
      </c>
      <c r="AU945">
        <v>2017</v>
      </c>
      <c r="AV945">
        <v>12</v>
      </c>
      <c r="AW945">
        <v>6</v>
      </c>
      <c r="AX945" t="s">
        <v>74</v>
      </c>
      <c r="AY945" t="s">
        <v>74</v>
      </c>
      <c r="AZ945" t="s">
        <v>74</v>
      </c>
      <c r="BA945" t="s">
        <v>74</v>
      </c>
      <c r="BB945" t="s">
        <v>74</v>
      </c>
      <c r="BC945" t="s">
        <v>74</v>
      </c>
      <c r="BD945" t="s">
        <v>17986</v>
      </c>
      <c r="BE945" t="s">
        <v>17987</v>
      </c>
      <c r="BF945" t="str">
        <f>HYPERLINK("http://dx.doi.org/10.1371/journal.pone.0179735","http://dx.doi.org/10.1371/journal.pone.0179735")</f>
        <v>http://dx.doi.org/10.1371/journal.pone.0179735</v>
      </c>
      <c r="BG945" t="s">
        <v>74</v>
      </c>
      <c r="BH945" t="s">
        <v>74</v>
      </c>
      <c r="BI945">
        <v>14</v>
      </c>
      <c r="BJ945" t="s">
        <v>190</v>
      </c>
      <c r="BK945" t="s">
        <v>101</v>
      </c>
      <c r="BL945" t="s">
        <v>191</v>
      </c>
      <c r="BM945" t="s">
        <v>17988</v>
      </c>
      <c r="BN945">
        <v>28654664</v>
      </c>
      <c r="BO945" t="s">
        <v>14751</v>
      </c>
      <c r="BP945" t="s">
        <v>74</v>
      </c>
      <c r="BQ945" t="s">
        <v>74</v>
      </c>
      <c r="BR945" t="s">
        <v>105</v>
      </c>
      <c r="BS945" t="s">
        <v>17989</v>
      </c>
      <c r="BT945" t="str">
        <f>HYPERLINK("https%3A%2F%2Fwww.webofscience.com%2Fwos%2Fwoscc%2Ffull-record%2FWOS:000404541500028","View Full Record in Web of Science")</f>
        <v>View Full Record in Web of Science</v>
      </c>
    </row>
    <row r="946" spans="1:72" x14ac:dyDescent="0.15">
      <c r="A946" t="s">
        <v>72</v>
      </c>
      <c r="B946" t="s">
        <v>17990</v>
      </c>
      <c r="C946" t="s">
        <v>74</v>
      </c>
      <c r="D946" t="s">
        <v>74</v>
      </c>
      <c r="E946" t="s">
        <v>74</v>
      </c>
      <c r="F946" t="s">
        <v>17991</v>
      </c>
      <c r="G946" t="s">
        <v>74</v>
      </c>
      <c r="H946" t="s">
        <v>74</v>
      </c>
      <c r="I946" t="s">
        <v>17992</v>
      </c>
      <c r="J946" t="s">
        <v>17993</v>
      </c>
      <c r="K946" t="s">
        <v>74</v>
      </c>
      <c r="L946" t="s">
        <v>74</v>
      </c>
      <c r="M946" t="s">
        <v>78</v>
      </c>
      <c r="N946" t="s">
        <v>52</v>
      </c>
      <c r="O946" t="s">
        <v>17994</v>
      </c>
      <c r="P946" t="s">
        <v>17995</v>
      </c>
      <c r="Q946" t="s">
        <v>17996</v>
      </c>
      <c r="R946" t="s">
        <v>74</v>
      </c>
      <c r="S946" t="s">
        <v>74</v>
      </c>
      <c r="T946" t="s">
        <v>74</v>
      </c>
      <c r="U946" t="s">
        <v>74</v>
      </c>
      <c r="V946" t="s">
        <v>74</v>
      </c>
      <c r="W946" t="s">
        <v>17997</v>
      </c>
      <c r="X946" t="s">
        <v>17998</v>
      </c>
      <c r="Y946" t="s">
        <v>74</v>
      </c>
      <c r="Z946" t="s">
        <v>74</v>
      </c>
      <c r="AA946" t="s">
        <v>17999</v>
      </c>
      <c r="AB946" t="s">
        <v>18000</v>
      </c>
      <c r="AC946" t="s">
        <v>74</v>
      </c>
      <c r="AD946" t="s">
        <v>74</v>
      </c>
      <c r="AE946" t="s">
        <v>74</v>
      </c>
      <c r="AF946" t="s">
        <v>74</v>
      </c>
      <c r="AG946">
        <v>0</v>
      </c>
      <c r="AH946">
        <v>0</v>
      </c>
      <c r="AI946">
        <v>0</v>
      </c>
      <c r="AJ946">
        <v>0</v>
      </c>
      <c r="AK946">
        <v>1</v>
      </c>
      <c r="AL946" t="s">
        <v>18001</v>
      </c>
      <c r="AM946" t="s">
        <v>18002</v>
      </c>
      <c r="AN946" t="s">
        <v>18003</v>
      </c>
      <c r="AO946" t="s">
        <v>18004</v>
      </c>
      <c r="AP946" t="s">
        <v>74</v>
      </c>
      <c r="AQ946" t="s">
        <v>74</v>
      </c>
      <c r="AR946" t="s">
        <v>17993</v>
      </c>
      <c r="AS946" t="s">
        <v>18005</v>
      </c>
      <c r="AT946" t="s">
        <v>18006</v>
      </c>
      <c r="AU946">
        <v>2017</v>
      </c>
      <c r="AV946">
        <v>102</v>
      </c>
      <c r="AW946" t="s">
        <v>74</v>
      </c>
      <c r="AX946" t="s">
        <v>74</v>
      </c>
      <c r="AY946">
        <v>2</v>
      </c>
      <c r="AZ946" t="s">
        <v>74</v>
      </c>
      <c r="BA946" t="s">
        <v>18007</v>
      </c>
      <c r="BB946">
        <v>872</v>
      </c>
      <c r="BC946">
        <v>872</v>
      </c>
      <c r="BD946" t="s">
        <v>74</v>
      </c>
      <c r="BE946" t="s">
        <v>74</v>
      </c>
      <c r="BF946" t="s">
        <v>74</v>
      </c>
      <c r="BG946" t="s">
        <v>74</v>
      </c>
      <c r="BH946" t="s">
        <v>74</v>
      </c>
      <c r="BI946">
        <v>1</v>
      </c>
      <c r="BJ946" t="s">
        <v>18008</v>
      </c>
      <c r="BK946" t="s">
        <v>1347</v>
      </c>
      <c r="BL946" t="s">
        <v>18008</v>
      </c>
      <c r="BM946" t="s">
        <v>18009</v>
      </c>
      <c r="BN946" t="s">
        <v>74</v>
      </c>
      <c r="BO946" t="s">
        <v>74</v>
      </c>
      <c r="BP946" t="s">
        <v>74</v>
      </c>
      <c r="BQ946" t="s">
        <v>74</v>
      </c>
      <c r="BR946" t="s">
        <v>105</v>
      </c>
      <c r="BS946" t="s">
        <v>18010</v>
      </c>
      <c r="BT946" t="str">
        <f>HYPERLINK("https%3A%2F%2Fwww.webofscience.com%2Fwos%2Fwoscc%2Ffull-record%2FWOS:000404127006304","View Full Record in Web of Science")</f>
        <v>View Full Record in Web of Science</v>
      </c>
    </row>
    <row r="947" spans="1:72" x14ac:dyDescent="0.15">
      <c r="A947" t="s">
        <v>72</v>
      </c>
      <c r="B947" t="s">
        <v>18011</v>
      </c>
      <c r="C947" t="s">
        <v>74</v>
      </c>
      <c r="D947" t="s">
        <v>74</v>
      </c>
      <c r="E947" t="s">
        <v>74</v>
      </c>
      <c r="F947" t="s">
        <v>18012</v>
      </c>
      <c r="G947" t="s">
        <v>74</v>
      </c>
      <c r="H947" t="s">
        <v>74</v>
      </c>
      <c r="I947" t="s">
        <v>18013</v>
      </c>
      <c r="J947" t="s">
        <v>4895</v>
      </c>
      <c r="K947" t="s">
        <v>74</v>
      </c>
      <c r="L947" t="s">
        <v>74</v>
      </c>
      <c r="M947" t="s">
        <v>78</v>
      </c>
      <c r="N947" t="s">
        <v>4722</v>
      </c>
      <c r="O947" t="s">
        <v>18014</v>
      </c>
      <c r="P947" t="s">
        <v>18015</v>
      </c>
      <c r="Q947" t="s">
        <v>18016</v>
      </c>
      <c r="R947" t="s">
        <v>74</v>
      </c>
      <c r="S947" t="s">
        <v>74</v>
      </c>
      <c r="T947" t="s">
        <v>18017</v>
      </c>
      <c r="U947" t="s">
        <v>18018</v>
      </c>
      <c r="V947" t="s">
        <v>18019</v>
      </c>
      <c r="W947" t="s">
        <v>18020</v>
      </c>
      <c r="X947" t="s">
        <v>18021</v>
      </c>
      <c r="Y947" t="s">
        <v>18022</v>
      </c>
      <c r="Z947" t="s">
        <v>18023</v>
      </c>
      <c r="AA947" t="s">
        <v>74</v>
      </c>
      <c r="AB947" t="s">
        <v>74</v>
      </c>
      <c r="AC947" t="s">
        <v>18024</v>
      </c>
      <c r="AD947" t="s">
        <v>18025</v>
      </c>
      <c r="AE947" t="s">
        <v>18026</v>
      </c>
      <c r="AF947" t="s">
        <v>74</v>
      </c>
      <c r="AG947">
        <v>48</v>
      </c>
      <c r="AH947">
        <v>17</v>
      </c>
      <c r="AI947">
        <v>20</v>
      </c>
      <c r="AJ947">
        <v>1</v>
      </c>
      <c r="AK947">
        <v>14</v>
      </c>
      <c r="AL947" t="s">
        <v>1981</v>
      </c>
      <c r="AM947" t="s">
        <v>729</v>
      </c>
      <c r="AN947" t="s">
        <v>1982</v>
      </c>
      <c r="AO947" t="s">
        <v>4908</v>
      </c>
      <c r="AP947" t="s">
        <v>4909</v>
      </c>
      <c r="AQ947" t="s">
        <v>74</v>
      </c>
      <c r="AR947" t="s">
        <v>4910</v>
      </c>
      <c r="AS947" t="s">
        <v>4911</v>
      </c>
      <c r="AT947" t="s">
        <v>18027</v>
      </c>
      <c r="AU947">
        <v>2017</v>
      </c>
      <c r="AV947">
        <v>442</v>
      </c>
      <c r="AW947" t="s">
        <v>74</v>
      </c>
      <c r="AX947" t="s">
        <v>12037</v>
      </c>
      <c r="AY947" t="s">
        <v>74</v>
      </c>
      <c r="AZ947" t="s">
        <v>74</v>
      </c>
      <c r="BA947" t="s">
        <v>74</v>
      </c>
      <c r="BB947">
        <v>26</v>
      </c>
      <c r="BC947">
        <v>34</v>
      </c>
      <c r="BD947" t="s">
        <v>74</v>
      </c>
      <c r="BE947" t="s">
        <v>18028</v>
      </c>
      <c r="BF947" t="str">
        <f>HYPERLINK("http://dx.doi.org/10.1016/j.quaint.2016.04.016","http://dx.doi.org/10.1016/j.quaint.2016.04.016")</f>
        <v>http://dx.doi.org/10.1016/j.quaint.2016.04.016</v>
      </c>
      <c r="BG947" t="s">
        <v>74</v>
      </c>
      <c r="BH947" t="s">
        <v>74</v>
      </c>
      <c r="BI947">
        <v>9</v>
      </c>
      <c r="BJ947" t="s">
        <v>319</v>
      </c>
      <c r="BK947" t="s">
        <v>1347</v>
      </c>
      <c r="BL947" t="s">
        <v>320</v>
      </c>
      <c r="BM947" t="s">
        <v>18029</v>
      </c>
      <c r="BN947" t="s">
        <v>74</v>
      </c>
      <c r="BO947" t="s">
        <v>74</v>
      </c>
      <c r="BP947" t="s">
        <v>74</v>
      </c>
      <c r="BQ947" t="s">
        <v>74</v>
      </c>
      <c r="BR947" t="s">
        <v>105</v>
      </c>
      <c r="BS947" t="s">
        <v>18030</v>
      </c>
      <c r="BT947" t="str">
        <f>HYPERLINK("https%3A%2F%2Fwww.webofscience.com%2Fwos%2Fwoscc%2Ffull-record%2FWOS:000405056500004","View Full Record in Web of Science")</f>
        <v>View Full Record in Web of Science</v>
      </c>
    </row>
    <row r="948" spans="1:72" x14ac:dyDescent="0.15">
      <c r="A948" t="s">
        <v>72</v>
      </c>
      <c r="B948" t="s">
        <v>18031</v>
      </c>
      <c r="C948" t="s">
        <v>74</v>
      </c>
      <c r="D948" t="s">
        <v>74</v>
      </c>
      <c r="E948" t="s">
        <v>74</v>
      </c>
      <c r="F948" t="s">
        <v>18032</v>
      </c>
      <c r="G948" t="s">
        <v>74</v>
      </c>
      <c r="H948" t="s">
        <v>74</v>
      </c>
      <c r="I948" t="s">
        <v>18033</v>
      </c>
      <c r="J948" t="s">
        <v>817</v>
      </c>
      <c r="K948" t="s">
        <v>74</v>
      </c>
      <c r="L948" t="s">
        <v>74</v>
      </c>
      <c r="M948" t="s">
        <v>78</v>
      </c>
      <c r="N948" t="s">
        <v>79</v>
      </c>
      <c r="O948" t="s">
        <v>74</v>
      </c>
      <c r="P948" t="s">
        <v>74</v>
      </c>
      <c r="Q948" t="s">
        <v>74</v>
      </c>
      <c r="R948" t="s">
        <v>74</v>
      </c>
      <c r="S948" t="s">
        <v>74</v>
      </c>
      <c r="T948" t="s">
        <v>74</v>
      </c>
      <c r="U948" t="s">
        <v>18034</v>
      </c>
      <c r="V948" t="s">
        <v>18035</v>
      </c>
      <c r="W948" t="s">
        <v>18036</v>
      </c>
      <c r="X948" t="s">
        <v>18037</v>
      </c>
      <c r="Y948" t="s">
        <v>18038</v>
      </c>
      <c r="Z948" t="s">
        <v>18039</v>
      </c>
      <c r="AA948" t="s">
        <v>18040</v>
      </c>
      <c r="AB948" t="s">
        <v>18041</v>
      </c>
      <c r="AC948" t="s">
        <v>74</v>
      </c>
      <c r="AD948" t="s">
        <v>74</v>
      </c>
      <c r="AE948" t="s">
        <v>74</v>
      </c>
      <c r="AF948" t="s">
        <v>74</v>
      </c>
      <c r="AG948">
        <v>42</v>
      </c>
      <c r="AH948">
        <v>1</v>
      </c>
      <c r="AI948">
        <v>1</v>
      </c>
      <c r="AJ948">
        <v>1</v>
      </c>
      <c r="AK948">
        <v>11</v>
      </c>
      <c r="AL948" t="s">
        <v>311</v>
      </c>
      <c r="AM948" t="s">
        <v>312</v>
      </c>
      <c r="AN948" t="s">
        <v>313</v>
      </c>
      <c r="AO948" t="s">
        <v>829</v>
      </c>
      <c r="AP948" t="s">
        <v>830</v>
      </c>
      <c r="AQ948" t="s">
        <v>74</v>
      </c>
      <c r="AR948" t="s">
        <v>831</v>
      </c>
      <c r="AS948" t="s">
        <v>832</v>
      </c>
      <c r="AT948" t="s">
        <v>18042</v>
      </c>
      <c r="AU948">
        <v>2017</v>
      </c>
      <c r="AV948">
        <v>17</v>
      </c>
      <c r="AW948">
        <v>12</v>
      </c>
      <c r="AX948" t="s">
        <v>74</v>
      </c>
      <c r="AY948" t="s">
        <v>74</v>
      </c>
      <c r="AZ948" t="s">
        <v>74</v>
      </c>
      <c r="BA948" t="s">
        <v>74</v>
      </c>
      <c r="BB948">
        <v>7581</v>
      </c>
      <c r="BC948">
        <v>7591</v>
      </c>
      <c r="BD948" t="s">
        <v>74</v>
      </c>
      <c r="BE948" t="s">
        <v>18043</v>
      </c>
      <c r="BF948" t="str">
        <f>HYPERLINK("http://dx.doi.org/10.5194/acp-17-7581-2017","http://dx.doi.org/10.5194/acp-17-7581-2017")</f>
        <v>http://dx.doi.org/10.5194/acp-17-7581-2017</v>
      </c>
      <c r="BG948" t="s">
        <v>74</v>
      </c>
      <c r="BH948" t="s">
        <v>74</v>
      </c>
      <c r="BI948">
        <v>11</v>
      </c>
      <c r="BJ948" t="s">
        <v>834</v>
      </c>
      <c r="BK948" t="s">
        <v>101</v>
      </c>
      <c r="BL948" t="s">
        <v>835</v>
      </c>
      <c r="BM948" t="s">
        <v>18044</v>
      </c>
      <c r="BN948" t="s">
        <v>74</v>
      </c>
      <c r="BO948" t="s">
        <v>3495</v>
      </c>
      <c r="BP948" t="s">
        <v>74</v>
      </c>
      <c r="BQ948" t="s">
        <v>74</v>
      </c>
      <c r="BR948" t="s">
        <v>105</v>
      </c>
      <c r="BS948" t="s">
        <v>18045</v>
      </c>
      <c r="BT948" t="str">
        <f>HYPERLINK("https%3A%2F%2Fwww.webofscience.com%2Fwos%2Fwoscc%2Ffull-record%2FWOS:000404049500005","View Full Record in Web of Science")</f>
        <v>View Full Record in Web of Science</v>
      </c>
    </row>
    <row r="949" spans="1:72" x14ac:dyDescent="0.15">
      <c r="A949" t="s">
        <v>72</v>
      </c>
      <c r="B949" t="s">
        <v>18046</v>
      </c>
      <c r="C949" t="s">
        <v>74</v>
      </c>
      <c r="D949" t="s">
        <v>74</v>
      </c>
      <c r="E949" t="s">
        <v>74</v>
      </c>
      <c r="F949" t="s">
        <v>18047</v>
      </c>
      <c r="G949" t="s">
        <v>74</v>
      </c>
      <c r="H949" t="s">
        <v>74</v>
      </c>
      <c r="I949" t="s">
        <v>18048</v>
      </c>
      <c r="J949" t="s">
        <v>13846</v>
      </c>
      <c r="K949" t="s">
        <v>74</v>
      </c>
      <c r="L949" t="s">
        <v>74</v>
      </c>
      <c r="M949" t="s">
        <v>78</v>
      </c>
      <c r="N949" t="s">
        <v>79</v>
      </c>
      <c r="O949" t="s">
        <v>74</v>
      </c>
      <c r="P949" t="s">
        <v>74</v>
      </c>
      <c r="Q949" t="s">
        <v>74</v>
      </c>
      <c r="R949" t="s">
        <v>74</v>
      </c>
      <c r="S949" t="s">
        <v>74</v>
      </c>
      <c r="T949" t="s">
        <v>74</v>
      </c>
      <c r="U949" t="s">
        <v>18049</v>
      </c>
      <c r="V949" t="s">
        <v>18050</v>
      </c>
      <c r="W949" t="s">
        <v>18051</v>
      </c>
      <c r="X949" t="s">
        <v>18052</v>
      </c>
      <c r="Y949" t="s">
        <v>18053</v>
      </c>
      <c r="Z949" t="s">
        <v>18054</v>
      </c>
      <c r="AA949" t="s">
        <v>18055</v>
      </c>
      <c r="AB949" t="s">
        <v>18056</v>
      </c>
      <c r="AC949" t="s">
        <v>18057</v>
      </c>
      <c r="AD949" t="s">
        <v>18058</v>
      </c>
      <c r="AE949" t="s">
        <v>18059</v>
      </c>
      <c r="AF949" t="s">
        <v>74</v>
      </c>
      <c r="AG949">
        <v>262</v>
      </c>
      <c r="AH949">
        <v>279</v>
      </c>
      <c r="AI949">
        <v>295</v>
      </c>
      <c r="AJ949">
        <v>11</v>
      </c>
      <c r="AK949">
        <v>112</v>
      </c>
      <c r="AL949" t="s">
        <v>311</v>
      </c>
      <c r="AM949" t="s">
        <v>312</v>
      </c>
      <c r="AN949" t="s">
        <v>313</v>
      </c>
      <c r="AO949" t="s">
        <v>13858</v>
      </c>
      <c r="AP949" t="s">
        <v>13859</v>
      </c>
      <c r="AQ949" t="s">
        <v>74</v>
      </c>
      <c r="AR949" t="s">
        <v>13860</v>
      </c>
      <c r="AS949" t="s">
        <v>13861</v>
      </c>
      <c r="AT949" t="s">
        <v>18042</v>
      </c>
      <c r="AU949">
        <v>2017</v>
      </c>
      <c r="AV949">
        <v>10</v>
      </c>
      <c r="AW949">
        <v>6</v>
      </c>
      <c r="AX949" t="s">
        <v>74</v>
      </c>
      <c r="AY949" t="s">
        <v>74</v>
      </c>
      <c r="AZ949" t="s">
        <v>74</v>
      </c>
      <c r="BA949" t="s">
        <v>74</v>
      </c>
      <c r="BB949">
        <v>2247</v>
      </c>
      <c r="BC949">
        <v>2302</v>
      </c>
      <c r="BD949" t="s">
        <v>74</v>
      </c>
      <c r="BE949" t="s">
        <v>18060</v>
      </c>
      <c r="BF949" t="str">
        <f>HYPERLINK("http://dx.doi.org/10.5194/gmd-10-2247-2017","http://dx.doi.org/10.5194/gmd-10-2247-2017")</f>
        <v>http://dx.doi.org/10.5194/gmd-10-2247-2017</v>
      </c>
      <c r="BG949" t="s">
        <v>74</v>
      </c>
      <c r="BH949" t="s">
        <v>74</v>
      </c>
      <c r="BI949">
        <v>56</v>
      </c>
      <c r="BJ949" t="s">
        <v>100</v>
      </c>
      <c r="BK949" t="s">
        <v>101</v>
      </c>
      <c r="BL949" t="s">
        <v>102</v>
      </c>
      <c r="BM949" t="s">
        <v>18061</v>
      </c>
      <c r="BN949" t="s">
        <v>74</v>
      </c>
      <c r="BO949" t="s">
        <v>837</v>
      </c>
      <c r="BP949" t="s">
        <v>352</v>
      </c>
      <c r="BQ949" t="s">
        <v>353</v>
      </c>
      <c r="BR949" t="s">
        <v>105</v>
      </c>
      <c r="BS949" t="s">
        <v>18062</v>
      </c>
      <c r="BT949" t="str">
        <f>HYPERLINK("https%3A%2F%2Fwww.webofscience.com%2Fwos%2Fwoscc%2Ffull-record%2FWOS:000404052800001","View Full Record in Web of Science")</f>
        <v>View Full Record in Web of Science</v>
      </c>
    </row>
    <row r="950" spans="1:72" x14ac:dyDescent="0.15">
      <c r="A950" t="s">
        <v>72</v>
      </c>
      <c r="B950" t="s">
        <v>18063</v>
      </c>
      <c r="C950" t="s">
        <v>74</v>
      </c>
      <c r="D950" t="s">
        <v>74</v>
      </c>
      <c r="E950" t="s">
        <v>74</v>
      </c>
      <c r="F950" t="s">
        <v>18064</v>
      </c>
      <c r="G950" t="s">
        <v>74</v>
      </c>
      <c r="H950" t="s">
        <v>74</v>
      </c>
      <c r="I950" t="s">
        <v>18065</v>
      </c>
      <c r="J950" t="s">
        <v>4399</v>
      </c>
      <c r="K950" t="s">
        <v>74</v>
      </c>
      <c r="L950" t="s">
        <v>74</v>
      </c>
      <c r="M950" t="s">
        <v>78</v>
      </c>
      <c r="N950" t="s">
        <v>79</v>
      </c>
      <c r="O950" t="s">
        <v>74</v>
      </c>
      <c r="P950" t="s">
        <v>74</v>
      </c>
      <c r="Q950" t="s">
        <v>74</v>
      </c>
      <c r="R950" t="s">
        <v>74</v>
      </c>
      <c r="S950" t="s">
        <v>74</v>
      </c>
      <c r="T950" t="s">
        <v>74</v>
      </c>
      <c r="U950" t="s">
        <v>18066</v>
      </c>
      <c r="V950" t="s">
        <v>18067</v>
      </c>
      <c r="W950" t="s">
        <v>18068</v>
      </c>
      <c r="X950" t="s">
        <v>18069</v>
      </c>
      <c r="Y950" t="s">
        <v>18070</v>
      </c>
      <c r="Z950" t="s">
        <v>18071</v>
      </c>
      <c r="AA950" t="s">
        <v>18072</v>
      </c>
      <c r="AB950" t="s">
        <v>18073</v>
      </c>
      <c r="AC950" t="s">
        <v>74</v>
      </c>
      <c r="AD950" t="s">
        <v>74</v>
      </c>
      <c r="AE950" t="s">
        <v>74</v>
      </c>
      <c r="AF950" t="s">
        <v>74</v>
      </c>
      <c r="AG950">
        <v>36</v>
      </c>
      <c r="AH950">
        <v>51</v>
      </c>
      <c r="AI950">
        <v>60</v>
      </c>
      <c r="AJ950">
        <v>0</v>
      </c>
      <c r="AK950">
        <v>14</v>
      </c>
      <c r="AL950" t="s">
        <v>4411</v>
      </c>
      <c r="AM950" t="s">
        <v>4412</v>
      </c>
      <c r="AN950" t="s">
        <v>4413</v>
      </c>
      <c r="AO950" t="s">
        <v>4414</v>
      </c>
      <c r="AP950" t="s">
        <v>74</v>
      </c>
      <c r="AQ950" t="s">
        <v>74</v>
      </c>
      <c r="AR950" t="s">
        <v>4415</v>
      </c>
      <c r="AS950" t="s">
        <v>4416</v>
      </c>
      <c r="AT950" t="s">
        <v>18074</v>
      </c>
      <c r="AU950">
        <v>2017</v>
      </c>
      <c r="AV950">
        <v>5</v>
      </c>
      <c r="AW950" t="s">
        <v>74</v>
      </c>
      <c r="AX950" t="s">
        <v>74</v>
      </c>
      <c r="AY950" t="s">
        <v>74</v>
      </c>
      <c r="AZ950" t="s">
        <v>74</v>
      </c>
      <c r="BA950" t="s">
        <v>74</v>
      </c>
      <c r="BB950" t="s">
        <v>74</v>
      </c>
      <c r="BC950" t="s">
        <v>74</v>
      </c>
      <c r="BD950">
        <v>32</v>
      </c>
      <c r="BE950" t="s">
        <v>18075</v>
      </c>
      <c r="BF950" t="str">
        <f>HYPERLINK("http://dx.doi.org/10.1525/elementa.226","http://dx.doi.org/10.1525/elementa.226")</f>
        <v>http://dx.doi.org/10.1525/elementa.226</v>
      </c>
      <c r="BG950" t="s">
        <v>74</v>
      </c>
      <c r="BH950" t="s">
        <v>74</v>
      </c>
      <c r="BI950">
        <v>16</v>
      </c>
      <c r="BJ950" t="s">
        <v>834</v>
      </c>
      <c r="BK950" t="s">
        <v>101</v>
      </c>
      <c r="BL950" t="s">
        <v>835</v>
      </c>
      <c r="BM950" t="s">
        <v>18076</v>
      </c>
      <c r="BN950" t="s">
        <v>74</v>
      </c>
      <c r="BO950" t="s">
        <v>322</v>
      </c>
      <c r="BP950" t="s">
        <v>74</v>
      </c>
      <c r="BQ950" t="s">
        <v>74</v>
      </c>
      <c r="BR950" t="s">
        <v>105</v>
      </c>
      <c r="BS950" t="s">
        <v>18077</v>
      </c>
      <c r="BT950" t="str">
        <f>HYPERLINK("https%3A%2F%2Fwww.webofscience.com%2Fwos%2Fwoscc%2Ffull-record%2FWOS:000404185200001","View Full Record in Web of Science")</f>
        <v>View Full Record in Web of Science</v>
      </c>
    </row>
    <row r="951" spans="1:72" x14ac:dyDescent="0.15">
      <c r="A951" t="s">
        <v>72</v>
      </c>
      <c r="B951" t="s">
        <v>18078</v>
      </c>
      <c r="C951" t="s">
        <v>74</v>
      </c>
      <c r="D951" t="s">
        <v>74</v>
      </c>
      <c r="E951" t="s">
        <v>74</v>
      </c>
      <c r="F951" t="s">
        <v>18079</v>
      </c>
      <c r="G951" t="s">
        <v>74</v>
      </c>
      <c r="H951" t="s">
        <v>74</v>
      </c>
      <c r="I951" t="s">
        <v>18080</v>
      </c>
      <c r="J951" t="s">
        <v>18081</v>
      </c>
      <c r="K951" t="s">
        <v>74</v>
      </c>
      <c r="L951" t="s">
        <v>74</v>
      </c>
      <c r="M951" t="s">
        <v>78</v>
      </c>
      <c r="N951" t="s">
        <v>2737</v>
      </c>
      <c r="O951" t="s">
        <v>74</v>
      </c>
      <c r="P951" t="s">
        <v>74</v>
      </c>
      <c r="Q951" t="s">
        <v>74</v>
      </c>
      <c r="R951" t="s">
        <v>74</v>
      </c>
      <c r="S951" t="s">
        <v>74</v>
      </c>
      <c r="T951" t="s">
        <v>74</v>
      </c>
      <c r="U951" t="s">
        <v>74</v>
      </c>
      <c r="V951" t="s">
        <v>74</v>
      </c>
      <c r="W951" t="s">
        <v>18082</v>
      </c>
      <c r="X951" t="s">
        <v>18083</v>
      </c>
      <c r="Y951" t="s">
        <v>18084</v>
      </c>
      <c r="Z951" t="s">
        <v>18085</v>
      </c>
      <c r="AA951" t="s">
        <v>74</v>
      </c>
      <c r="AB951" t="s">
        <v>18086</v>
      </c>
      <c r="AC951" t="s">
        <v>18087</v>
      </c>
      <c r="AD951" t="s">
        <v>18088</v>
      </c>
      <c r="AE951" t="s">
        <v>18089</v>
      </c>
      <c r="AF951" t="s">
        <v>74</v>
      </c>
      <c r="AG951">
        <v>10</v>
      </c>
      <c r="AH951">
        <v>17</v>
      </c>
      <c r="AI951">
        <v>22</v>
      </c>
      <c r="AJ951">
        <v>7</v>
      </c>
      <c r="AK951">
        <v>39</v>
      </c>
      <c r="AL951" t="s">
        <v>3763</v>
      </c>
      <c r="AM951" t="s">
        <v>92</v>
      </c>
      <c r="AN951" t="s">
        <v>3764</v>
      </c>
      <c r="AO951" t="s">
        <v>18090</v>
      </c>
      <c r="AP951" t="s">
        <v>74</v>
      </c>
      <c r="AQ951" t="s">
        <v>74</v>
      </c>
      <c r="AR951" t="s">
        <v>18091</v>
      </c>
      <c r="AS951" t="s">
        <v>18092</v>
      </c>
      <c r="AT951" t="s">
        <v>18074</v>
      </c>
      <c r="AU951">
        <v>2017</v>
      </c>
      <c r="AV951">
        <v>2</v>
      </c>
      <c r="AW951">
        <v>7</v>
      </c>
      <c r="AX951" t="s">
        <v>74</v>
      </c>
      <c r="AY951" t="s">
        <v>74</v>
      </c>
      <c r="AZ951" t="s">
        <v>74</v>
      </c>
      <c r="BA951" t="s">
        <v>74</v>
      </c>
      <c r="BB951" t="s">
        <v>74</v>
      </c>
      <c r="BC951" t="s">
        <v>74</v>
      </c>
      <c r="BD951" t="s">
        <v>18093</v>
      </c>
      <c r="BE951" t="s">
        <v>18094</v>
      </c>
      <c r="BF951" t="str">
        <f>HYPERLINK("http://dx.doi.org/10.1126/scirobotics.aan4809","http://dx.doi.org/10.1126/scirobotics.aan4809")</f>
        <v>http://dx.doi.org/10.1126/scirobotics.aan4809</v>
      </c>
      <c r="BG951" t="s">
        <v>74</v>
      </c>
      <c r="BH951" t="s">
        <v>74</v>
      </c>
      <c r="BI951">
        <v>2</v>
      </c>
      <c r="BJ951" t="s">
        <v>18095</v>
      </c>
      <c r="BK951" t="s">
        <v>101</v>
      </c>
      <c r="BL951" t="s">
        <v>18095</v>
      </c>
      <c r="BM951" t="s">
        <v>18096</v>
      </c>
      <c r="BN951">
        <v>33157900</v>
      </c>
      <c r="BO951" t="s">
        <v>74</v>
      </c>
      <c r="BP951" t="s">
        <v>74</v>
      </c>
      <c r="BQ951" t="s">
        <v>74</v>
      </c>
      <c r="BR951" t="s">
        <v>105</v>
      </c>
      <c r="BS951" t="s">
        <v>18097</v>
      </c>
      <c r="BT951" t="str">
        <f>HYPERLINK("https%3A%2F%2Fwww.webofscience.com%2Fwos%2Fwoscc%2Ffull-record%2FWOS:000441518900004","View Full Record in Web of Science")</f>
        <v>View Full Record in Web of Science</v>
      </c>
    </row>
    <row r="952" spans="1:72" x14ac:dyDescent="0.15">
      <c r="A952" t="s">
        <v>72</v>
      </c>
      <c r="B952" t="s">
        <v>18098</v>
      </c>
      <c r="C952" t="s">
        <v>74</v>
      </c>
      <c r="D952" t="s">
        <v>74</v>
      </c>
      <c r="E952" t="s">
        <v>74</v>
      </c>
      <c r="F952" t="s">
        <v>18099</v>
      </c>
      <c r="G952" t="s">
        <v>74</v>
      </c>
      <c r="H952" t="s">
        <v>74</v>
      </c>
      <c r="I952" t="s">
        <v>18100</v>
      </c>
      <c r="J952" t="s">
        <v>9899</v>
      </c>
      <c r="K952" t="s">
        <v>74</v>
      </c>
      <c r="L952" t="s">
        <v>74</v>
      </c>
      <c r="M952" t="s">
        <v>78</v>
      </c>
      <c r="N952" t="s">
        <v>79</v>
      </c>
      <c r="O952" t="s">
        <v>74</v>
      </c>
      <c r="P952" t="s">
        <v>74</v>
      </c>
      <c r="Q952" t="s">
        <v>74</v>
      </c>
      <c r="R952" t="s">
        <v>74</v>
      </c>
      <c r="S952" t="s">
        <v>74</v>
      </c>
      <c r="T952" t="s">
        <v>74</v>
      </c>
      <c r="U952" t="s">
        <v>18101</v>
      </c>
      <c r="V952" t="s">
        <v>18102</v>
      </c>
      <c r="W952" t="s">
        <v>18103</v>
      </c>
      <c r="X952" t="s">
        <v>18104</v>
      </c>
      <c r="Y952" t="s">
        <v>18105</v>
      </c>
      <c r="Z952" t="s">
        <v>18106</v>
      </c>
      <c r="AA952" t="s">
        <v>18107</v>
      </c>
      <c r="AB952" t="s">
        <v>18108</v>
      </c>
      <c r="AC952" t="s">
        <v>18109</v>
      </c>
      <c r="AD952" t="s">
        <v>18110</v>
      </c>
      <c r="AE952" t="s">
        <v>18111</v>
      </c>
      <c r="AF952" t="s">
        <v>74</v>
      </c>
      <c r="AG952">
        <v>36</v>
      </c>
      <c r="AH952">
        <v>4</v>
      </c>
      <c r="AI952">
        <v>4</v>
      </c>
      <c r="AJ952">
        <v>1</v>
      </c>
      <c r="AK952">
        <v>18</v>
      </c>
      <c r="AL952" t="s">
        <v>9467</v>
      </c>
      <c r="AM952" t="s">
        <v>92</v>
      </c>
      <c r="AN952" t="s">
        <v>9468</v>
      </c>
      <c r="AO952" t="s">
        <v>9911</v>
      </c>
      <c r="AP952" t="s">
        <v>9912</v>
      </c>
      <c r="AQ952" t="s">
        <v>74</v>
      </c>
      <c r="AR952" t="s">
        <v>9913</v>
      </c>
      <c r="AS952" t="s">
        <v>9914</v>
      </c>
      <c r="AT952" t="s">
        <v>18112</v>
      </c>
      <c r="AU952">
        <v>2017</v>
      </c>
      <c r="AV952">
        <v>51</v>
      </c>
      <c r="AW952">
        <v>12</v>
      </c>
      <c r="AX952" t="s">
        <v>74</v>
      </c>
      <c r="AY952" t="s">
        <v>74</v>
      </c>
      <c r="AZ952" t="s">
        <v>74</v>
      </c>
      <c r="BA952" t="s">
        <v>74</v>
      </c>
      <c r="BB952">
        <v>7271</v>
      </c>
      <c r="BC952">
        <v>7277</v>
      </c>
      <c r="BD952" t="s">
        <v>74</v>
      </c>
      <c r="BE952" t="s">
        <v>18113</v>
      </c>
      <c r="BF952" t="str">
        <f>HYPERLINK("http://dx.doi.org/10.1021/acs.est.7b02255","http://dx.doi.org/10.1021/acs.est.7b02255")</f>
        <v>http://dx.doi.org/10.1021/acs.est.7b02255</v>
      </c>
      <c r="BG952" t="s">
        <v>74</v>
      </c>
      <c r="BH952" t="s">
        <v>74</v>
      </c>
      <c r="BI952">
        <v>7</v>
      </c>
      <c r="BJ952" t="s">
        <v>3855</v>
      </c>
      <c r="BK952" t="s">
        <v>101</v>
      </c>
      <c r="BL952" t="s">
        <v>3856</v>
      </c>
      <c r="BM952" t="s">
        <v>18114</v>
      </c>
      <c r="BN952">
        <v>28517928</v>
      </c>
      <c r="BO952" t="s">
        <v>74</v>
      </c>
      <c r="BP952" t="s">
        <v>74</v>
      </c>
      <c r="BQ952" t="s">
        <v>74</v>
      </c>
      <c r="BR952" t="s">
        <v>105</v>
      </c>
      <c r="BS952" t="s">
        <v>18115</v>
      </c>
      <c r="BT952" t="str">
        <f>HYPERLINK("https%3A%2F%2Fwww.webofscience.com%2Fwos%2Fwoscc%2Ffull-record%2FWOS:000404087400070","View Full Record in Web of Science")</f>
        <v>View Full Record in Web of Science</v>
      </c>
    </row>
    <row r="953" spans="1:72" x14ac:dyDescent="0.15">
      <c r="A953" t="s">
        <v>72</v>
      </c>
      <c r="B953" t="s">
        <v>18116</v>
      </c>
      <c r="C953" t="s">
        <v>74</v>
      </c>
      <c r="D953" t="s">
        <v>74</v>
      </c>
      <c r="E953" t="s">
        <v>74</v>
      </c>
      <c r="F953" t="s">
        <v>18117</v>
      </c>
      <c r="G953" t="s">
        <v>74</v>
      </c>
      <c r="H953" t="s">
        <v>74</v>
      </c>
      <c r="I953" t="s">
        <v>18118</v>
      </c>
      <c r="J953" t="s">
        <v>638</v>
      </c>
      <c r="K953" t="s">
        <v>74</v>
      </c>
      <c r="L953" t="s">
        <v>74</v>
      </c>
      <c r="M953" t="s">
        <v>78</v>
      </c>
      <c r="N953" t="s">
        <v>79</v>
      </c>
      <c r="O953" t="s">
        <v>74</v>
      </c>
      <c r="P953" t="s">
        <v>74</v>
      </c>
      <c r="Q953" t="s">
        <v>74</v>
      </c>
      <c r="R953" t="s">
        <v>74</v>
      </c>
      <c r="S953" t="s">
        <v>74</v>
      </c>
      <c r="T953" t="s">
        <v>74</v>
      </c>
      <c r="U953" t="s">
        <v>18119</v>
      </c>
      <c r="V953" t="s">
        <v>18120</v>
      </c>
      <c r="W953" t="s">
        <v>18121</v>
      </c>
      <c r="X953" t="s">
        <v>2975</v>
      </c>
      <c r="Y953" t="s">
        <v>18122</v>
      </c>
      <c r="Z953" t="s">
        <v>18123</v>
      </c>
      <c r="AA953" t="s">
        <v>2978</v>
      </c>
      <c r="AB953" t="s">
        <v>18124</v>
      </c>
      <c r="AC953" t="s">
        <v>18125</v>
      </c>
      <c r="AD953" t="s">
        <v>18126</v>
      </c>
      <c r="AE953" t="s">
        <v>18127</v>
      </c>
      <c r="AF953" t="s">
        <v>74</v>
      </c>
      <c r="AG953">
        <v>39</v>
      </c>
      <c r="AH953">
        <v>47</v>
      </c>
      <c r="AI953">
        <v>52</v>
      </c>
      <c r="AJ953">
        <v>0</v>
      </c>
      <c r="AK953">
        <v>14</v>
      </c>
      <c r="AL953" t="s">
        <v>650</v>
      </c>
      <c r="AM953" t="s">
        <v>651</v>
      </c>
      <c r="AN953" t="s">
        <v>652</v>
      </c>
      <c r="AO953" t="s">
        <v>653</v>
      </c>
      <c r="AP953" t="s">
        <v>74</v>
      </c>
      <c r="AQ953" t="s">
        <v>74</v>
      </c>
      <c r="AR953" t="s">
        <v>654</v>
      </c>
      <c r="AS953" t="s">
        <v>655</v>
      </c>
      <c r="AT953" t="s">
        <v>18112</v>
      </c>
      <c r="AU953">
        <v>2017</v>
      </c>
      <c r="AV953">
        <v>7</v>
      </c>
      <c r="AW953" t="s">
        <v>74</v>
      </c>
      <c r="AX953" t="s">
        <v>74</v>
      </c>
      <c r="AY953" t="s">
        <v>74</v>
      </c>
      <c r="AZ953" t="s">
        <v>74</v>
      </c>
      <c r="BA953" t="s">
        <v>74</v>
      </c>
      <c r="BB953" t="s">
        <v>74</v>
      </c>
      <c r="BC953" t="s">
        <v>74</v>
      </c>
      <c r="BD953">
        <v>3880</v>
      </c>
      <c r="BE953" t="s">
        <v>18128</v>
      </c>
      <c r="BF953" t="str">
        <f>HYPERLINK("http://dx.doi.org/10.1038/s41598-017-04134-5","http://dx.doi.org/10.1038/s41598-017-04134-5")</f>
        <v>http://dx.doi.org/10.1038/s41598-017-04134-5</v>
      </c>
      <c r="BG953" t="s">
        <v>74</v>
      </c>
      <c r="BH953" t="s">
        <v>74</v>
      </c>
      <c r="BI953">
        <v>7</v>
      </c>
      <c r="BJ953" t="s">
        <v>190</v>
      </c>
      <c r="BK953" t="s">
        <v>765</v>
      </c>
      <c r="BL953" t="s">
        <v>191</v>
      </c>
      <c r="BM953" t="s">
        <v>18129</v>
      </c>
      <c r="BN953">
        <v>28634375</v>
      </c>
      <c r="BO953" t="s">
        <v>3495</v>
      </c>
      <c r="BP953" t="s">
        <v>74</v>
      </c>
      <c r="BQ953" t="s">
        <v>74</v>
      </c>
      <c r="BR953" t="s">
        <v>105</v>
      </c>
      <c r="BS953" t="s">
        <v>18130</v>
      </c>
      <c r="BT953" t="str">
        <f>HYPERLINK("https%3A%2F%2Fwww.webofscience.com%2Fwos%2Fwoscc%2Ffull-record%2FWOS:000403643900033","View Full Record in Web of Science")</f>
        <v>View Full Record in Web of Science</v>
      </c>
    </row>
    <row r="954" spans="1:72" x14ac:dyDescent="0.15">
      <c r="A954" t="s">
        <v>72</v>
      </c>
      <c r="B954" t="s">
        <v>18131</v>
      </c>
      <c r="C954" t="s">
        <v>74</v>
      </c>
      <c r="D954" t="s">
        <v>74</v>
      </c>
      <c r="E954" t="s">
        <v>74</v>
      </c>
      <c r="F954" t="s">
        <v>18132</v>
      </c>
      <c r="G954" t="s">
        <v>74</v>
      </c>
      <c r="H954" t="s">
        <v>74</v>
      </c>
      <c r="I954" t="s">
        <v>18133</v>
      </c>
      <c r="J954" t="s">
        <v>18134</v>
      </c>
      <c r="K954" t="s">
        <v>74</v>
      </c>
      <c r="L954" t="s">
        <v>74</v>
      </c>
      <c r="M954" t="s">
        <v>78</v>
      </c>
      <c r="N954" t="s">
        <v>5324</v>
      </c>
      <c r="O954" t="s">
        <v>74</v>
      </c>
      <c r="P954" t="s">
        <v>74</v>
      </c>
      <c r="Q954" t="s">
        <v>74</v>
      </c>
      <c r="R954" t="s">
        <v>74</v>
      </c>
      <c r="S954" t="s">
        <v>74</v>
      </c>
      <c r="T954" t="s">
        <v>74</v>
      </c>
      <c r="U954" t="s">
        <v>18135</v>
      </c>
      <c r="V954" t="s">
        <v>74</v>
      </c>
      <c r="W954" t="s">
        <v>18136</v>
      </c>
      <c r="X954" t="s">
        <v>18137</v>
      </c>
      <c r="Y954" t="s">
        <v>18138</v>
      </c>
      <c r="Z954" t="s">
        <v>18139</v>
      </c>
      <c r="AA954" t="s">
        <v>74</v>
      </c>
      <c r="AB954" t="s">
        <v>74</v>
      </c>
      <c r="AC954" t="s">
        <v>18140</v>
      </c>
      <c r="AD954" t="s">
        <v>18141</v>
      </c>
      <c r="AE954" t="s">
        <v>18142</v>
      </c>
      <c r="AF954" t="s">
        <v>74</v>
      </c>
      <c r="AG954">
        <v>10</v>
      </c>
      <c r="AH954">
        <v>3</v>
      </c>
      <c r="AI954">
        <v>3</v>
      </c>
      <c r="AJ954">
        <v>0</v>
      </c>
      <c r="AK954">
        <v>1</v>
      </c>
      <c r="AL954" t="s">
        <v>5204</v>
      </c>
      <c r="AM954" t="s">
        <v>286</v>
      </c>
      <c r="AN954" t="s">
        <v>5205</v>
      </c>
      <c r="AO954" t="s">
        <v>18143</v>
      </c>
      <c r="AP954" t="s">
        <v>18144</v>
      </c>
      <c r="AQ954" t="s">
        <v>74</v>
      </c>
      <c r="AR954" t="s">
        <v>18145</v>
      </c>
      <c r="AS954" t="s">
        <v>18146</v>
      </c>
      <c r="AT954" t="s">
        <v>18112</v>
      </c>
      <c r="AU954">
        <v>2017</v>
      </c>
      <c r="AV954">
        <v>112</v>
      </c>
      <c r="AW954">
        <v>12</v>
      </c>
      <c r="AX954" t="s">
        <v>74</v>
      </c>
      <c r="AY954" t="s">
        <v>74</v>
      </c>
      <c r="AZ954" t="s">
        <v>74</v>
      </c>
      <c r="BA954" t="s">
        <v>74</v>
      </c>
      <c r="BB954">
        <v>2451</v>
      </c>
      <c r="BC954">
        <v>2453</v>
      </c>
      <c r="BD954" t="s">
        <v>74</v>
      </c>
      <c r="BE954" t="s">
        <v>18147</v>
      </c>
      <c r="BF954" t="str">
        <f>HYPERLINK("http://dx.doi.org/10.1016/j.bpj.2017.05.021","http://dx.doi.org/10.1016/j.bpj.2017.05.021")</f>
        <v>http://dx.doi.org/10.1016/j.bpj.2017.05.021</v>
      </c>
      <c r="BG954" t="s">
        <v>74</v>
      </c>
      <c r="BH954" t="s">
        <v>74</v>
      </c>
      <c r="BI954">
        <v>3</v>
      </c>
      <c r="BJ954" t="s">
        <v>18148</v>
      </c>
      <c r="BK954" t="s">
        <v>101</v>
      </c>
      <c r="BL954" t="s">
        <v>18148</v>
      </c>
      <c r="BM954" t="s">
        <v>18149</v>
      </c>
      <c r="BN954">
        <v>28636902</v>
      </c>
      <c r="BO954" t="s">
        <v>529</v>
      </c>
      <c r="BP954" t="s">
        <v>74</v>
      </c>
      <c r="BQ954" t="s">
        <v>74</v>
      </c>
      <c r="BR954" t="s">
        <v>105</v>
      </c>
      <c r="BS954" t="s">
        <v>18150</v>
      </c>
      <c r="BT954" t="str">
        <f>HYPERLINK("https%3A%2F%2Fwww.webofscience.com%2Fwos%2Fwoscc%2Ffull-record%2FWOS:000404078700002","View Full Record in Web of Science")</f>
        <v>View Full Record in Web of Science</v>
      </c>
    </row>
    <row r="955" spans="1:72" x14ac:dyDescent="0.15">
      <c r="A955" t="s">
        <v>72</v>
      </c>
      <c r="B955" t="s">
        <v>18151</v>
      </c>
      <c r="C955" t="s">
        <v>74</v>
      </c>
      <c r="D955" t="s">
        <v>74</v>
      </c>
      <c r="E955" t="s">
        <v>74</v>
      </c>
      <c r="F955" t="s">
        <v>18152</v>
      </c>
      <c r="G955" t="s">
        <v>74</v>
      </c>
      <c r="H955" t="s">
        <v>74</v>
      </c>
      <c r="I955" t="s">
        <v>18153</v>
      </c>
      <c r="J955" t="s">
        <v>464</v>
      </c>
      <c r="K955" t="s">
        <v>74</v>
      </c>
      <c r="L955" t="s">
        <v>74</v>
      </c>
      <c r="M955" t="s">
        <v>78</v>
      </c>
      <c r="N955" t="s">
        <v>79</v>
      </c>
      <c r="O955" t="s">
        <v>74</v>
      </c>
      <c r="P955" t="s">
        <v>74</v>
      </c>
      <c r="Q955" t="s">
        <v>74</v>
      </c>
      <c r="R955" t="s">
        <v>74</v>
      </c>
      <c r="S955" t="s">
        <v>74</v>
      </c>
      <c r="T955" t="s">
        <v>18154</v>
      </c>
      <c r="U955" t="s">
        <v>18155</v>
      </c>
      <c r="V955" t="s">
        <v>18156</v>
      </c>
      <c r="W955" t="s">
        <v>18157</v>
      </c>
      <c r="X955" t="s">
        <v>18158</v>
      </c>
      <c r="Y955" t="s">
        <v>18159</v>
      </c>
      <c r="Z955" t="s">
        <v>18160</v>
      </c>
      <c r="AA955" t="s">
        <v>18161</v>
      </c>
      <c r="AB955" t="s">
        <v>18162</v>
      </c>
      <c r="AC955" t="s">
        <v>18163</v>
      </c>
      <c r="AD955" t="s">
        <v>18164</v>
      </c>
      <c r="AE955" t="s">
        <v>74</v>
      </c>
      <c r="AF955" t="s">
        <v>74</v>
      </c>
      <c r="AG955">
        <v>78</v>
      </c>
      <c r="AH955">
        <v>36</v>
      </c>
      <c r="AI955">
        <v>40</v>
      </c>
      <c r="AJ955">
        <v>3</v>
      </c>
      <c r="AK955">
        <v>47</v>
      </c>
      <c r="AL955" t="s">
        <v>477</v>
      </c>
      <c r="AM955" t="s">
        <v>92</v>
      </c>
      <c r="AN955" t="s">
        <v>478</v>
      </c>
      <c r="AO955" t="s">
        <v>479</v>
      </c>
      <c r="AP955" t="s">
        <v>74</v>
      </c>
      <c r="AQ955" t="s">
        <v>74</v>
      </c>
      <c r="AR955" t="s">
        <v>480</v>
      </c>
      <c r="AS955" t="s">
        <v>481</v>
      </c>
      <c r="AT955" t="s">
        <v>18112</v>
      </c>
      <c r="AU955">
        <v>2017</v>
      </c>
      <c r="AV955">
        <v>114</v>
      </c>
      <c r="AW955">
        <v>25</v>
      </c>
      <c r="AX955" t="s">
        <v>74</v>
      </c>
      <c r="AY955" t="s">
        <v>74</v>
      </c>
      <c r="AZ955" t="s">
        <v>74</v>
      </c>
      <c r="BA955" t="s">
        <v>74</v>
      </c>
      <c r="BB955" t="s">
        <v>18165</v>
      </c>
      <c r="BC955" t="s">
        <v>18166</v>
      </c>
      <c r="BD955" t="s">
        <v>74</v>
      </c>
      <c r="BE955" t="s">
        <v>18167</v>
      </c>
      <c r="BF955" t="str">
        <f>HYPERLINK("http://dx.doi.org/10.1073/pnas.1619318114","http://dx.doi.org/10.1073/pnas.1619318114")</f>
        <v>http://dx.doi.org/10.1073/pnas.1619318114</v>
      </c>
      <c r="BG955" t="s">
        <v>74</v>
      </c>
      <c r="BH955" t="s">
        <v>74</v>
      </c>
      <c r="BI955">
        <v>9</v>
      </c>
      <c r="BJ955" t="s">
        <v>190</v>
      </c>
      <c r="BK955" t="s">
        <v>101</v>
      </c>
      <c r="BL955" t="s">
        <v>191</v>
      </c>
      <c r="BM955" t="s">
        <v>18168</v>
      </c>
      <c r="BN955">
        <v>28584119</v>
      </c>
      <c r="BO955" t="s">
        <v>1170</v>
      </c>
      <c r="BP955" t="s">
        <v>74</v>
      </c>
      <c r="BQ955" t="s">
        <v>74</v>
      </c>
      <c r="BR955" t="s">
        <v>105</v>
      </c>
      <c r="BS955" t="s">
        <v>18169</v>
      </c>
      <c r="BT955" t="str">
        <f>HYPERLINK("https%3A%2F%2Fwww.webofscience.com%2Fwos%2Fwoscc%2Ffull-record%2FWOS:000403687300005","View Full Record in Web of Science")</f>
        <v>View Full Record in Web of Science</v>
      </c>
    </row>
    <row r="956" spans="1:72" x14ac:dyDescent="0.15">
      <c r="A956" t="s">
        <v>72</v>
      </c>
      <c r="B956" t="s">
        <v>18170</v>
      </c>
      <c r="C956" t="s">
        <v>74</v>
      </c>
      <c r="D956" t="s">
        <v>74</v>
      </c>
      <c r="E956" t="s">
        <v>74</v>
      </c>
      <c r="F956" t="s">
        <v>18171</v>
      </c>
      <c r="G956" t="s">
        <v>74</v>
      </c>
      <c r="H956" t="s">
        <v>74</v>
      </c>
      <c r="I956" t="s">
        <v>18172</v>
      </c>
      <c r="J956" t="s">
        <v>13991</v>
      </c>
      <c r="K956" t="s">
        <v>74</v>
      </c>
      <c r="L956" t="s">
        <v>74</v>
      </c>
      <c r="M956" t="s">
        <v>78</v>
      </c>
      <c r="N956" t="s">
        <v>79</v>
      </c>
      <c r="O956" t="s">
        <v>74</v>
      </c>
      <c r="P956" t="s">
        <v>74</v>
      </c>
      <c r="Q956" t="s">
        <v>74</v>
      </c>
      <c r="R956" t="s">
        <v>74</v>
      </c>
      <c r="S956" t="s">
        <v>74</v>
      </c>
      <c r="T956" t="s">
        <v>74</v>
      </c>
      <c r="U956" t="s">
        <v>18173</v>
      </c>
      <c r="V956" t="s">
        <v>18174</v>
      </c>
      <c r="W956" t="s">
        <v>18175</v>
      </c>
      <c r="X956" t="s">
        <v>18176</v>
      </c>
      <c r="Y956" t="s">
        <v>18177</v>
      </c>
      <c r="Z956" t="s">
        <v>18178</v>
      </c>
      <c r="AA956" t="s">
        <v>18179</v>
      </c>
      <c r="AB956" t="s">
        <v>18180</v>
      </c>
      <c r="AC956" t="s">
        <v>18181</v>
      </c>
      <c r="AD956" t="s">
        <v>18181</v>
      </c>
      <c r="AE956" t="s">
        <v>18182</v>
      </c>
      <c r="AF956" t="s">
        <v>74</v>
      </c>
      <c r="AG956">
        <v>63</v>
      </c>
      <c r="AH956">
        <v>148</v>
      </c>
      <c r="AI956">
        <v>153</v>
      </c>
      <c r="AJ956">
        <v>3</v>
      </c>
      <c r="AK956">
        <v>48</v>
      </c>
      <c r="AL956" t="s">
        <v>311</v>
      </c>
      <c r="AM956" t="s">
        <v>312</v>
      </c>
      <c r="AN956" t="s">
        <v>313</v>
      </c>
      <c r="AO956" t="s">
        <v>14002</v>
      </c>
      <c r="AP956" t="s">
        <v>14003</v>
      </c>
      <c r="AQ956" t="s">
        <v>74</v>
      </c>
      <c r="AR956" t="s">
        <v>14004</v>
      </c>
      <c r="AS956" t="s">
        <v>14005</v>
      </c>
      <c r="AT956" t="s">
        <v>18112</v>
      </c>
      <c r="AU956">
        <v>2017</v>
      </c>
      <c r="AV956">
        <v>9</v>
      </c>
      <c r="AW956">
        <v>1</v>
      </c>
      <c r="AX956" t="s">
        <v>74</v>
      </c>
      <c r="AY956" t="s">
        <v>74</v>
      </c>
      <c r="AZ956" t="s">
        <v>74</v>
      </c>
      <c r="BA956" t="s">
        <v>74</v>
      </c>
      <c r="BB956" t="s">
        <v>74</v>
      </c>
      <c r="BC956" t="s">
        <v>74</v>
      </c>
      <c r="BD956" t="s">
        <v>74</v>
      </c>
      <c r="BE956" t="s">
        <v>18183</v>
      </c>
      <c r="BF956" t="str">
        <f>HYPERLINK("http://dx.doi.org/10.5194/essd-9-363-2017","http://dx.doi.org/10.5194/essd-9-363-2017")</f>
        <v>http://dx.doi.org/10.5194/essd-9-363-2017</v>
      </c>
      <c r="BG956" t="s">
        <v>74</v>
      </c>
      <c r="BH956" t="s">
        <v>74</v>
      </c>
      <c r="BI956">
        <v>25</v>
      </c>
      <c r="BJ956" t="s">
        <v>920</v>
      </c>
      <c r="BK956" t="s">
        <v>101</v>
      </c>
      <c r="BL956" t="s">
        <v>921</v>
      </c>
      <c r="BM956" t="s">
        <v>18184</v>
      </c>
      <c r="BN956" t="s">
        <v>74</v>
      </c>
      <c r="BO956" t="s">
        <v>18185</v>
      </c>
      <c r="BP956" t="s">
        <v>74</v>
      </c>
      <c r="BQ956" t="s">
        <v>74</v>
      </c>
      <c r="BR956" t="s">
        <v>105</v>
      </c>
      <c r="BS956" t="s">
        <v>18186</v>
      </c>
      <c r="BT956" t="str">
        <f>HYPERLINK("https%3A%2F%2Fwww.webofscience.com%2Fwos%2Fwoscc%2Ffull-record%2FWOS:000403596200001","View Full Record in Web of Science")</f>
        <v>View Full Record in Web of Science</v>
      </c>
    </row>
    <row r="957" spans="1:72" x14ac:dyDescent="0.15">
      <c r="A957" t="s">
        <v>72</v>
      </c>
      <c r="B957" t="s">
        <v>18187</v>
      </c>
      <c r="C957" t="s">
        <v>74</v>
      </c>
      <c r="D957" t="s">
        <v>74</v>
      </c>
      <c r="E957" t="s">
        <v>74</v>
      </c>
      <c r="F957" t="s">
        <v>18188</v>
      </c>
      <c r="G957" t="s">
        <v>74</v>
      </c>
      <c r="H957" t="s">
        <v>74</v>
      </c>
      <c r="I957" t="s">
        <v>18189</v>
      </c>
      <c r="J957" t="s">
        <v>928</v>
      </c>
      <c r="K957" t="s">
        <v>74</v>
      </c>
      <c r="L957" t="s">
        <v>74</v>
      </c>
      <c r="M957" t="s">
        <v>78</v>
      </c>
      <c r="N957" t="s">
        <v>79</v>
      </c>
      <c r="O957" t="s">
        <v>74</v>
      </c>
      <c r="P957" t="s">
        <v>74</v>
      </c>
      <c r="Q957" t="s">
        <v>74</v>
      </c>
      <c r="R957" t="s">
        <v>74</v>
      </c>
      <c r="S957" t="s">
        <v>74</v>
      </c>
      <c r="T957" t="s">
        <v>18190</v>
      </c>
      <c r="U957" t="s">
        <v>18191</v>
      </c>
      <c r="V957" t="s">
        <v>18192</v>
      </c>
      <c r="W957" t="s">
        <v>18193</v>
      </c>
      <c r="X957" t="s">
        <v>18194</v>
      </c>
      <c r="Y957" t="s">
        <v>18195</v>
      </c>
      <c r="Z957" t="s">
        <v>5400</v>
      </c>
      <c r="AA957" t="s">
        <v>18196</v>
      </c>
      <c r="AB957" t="s">
        <v>18197</v>
      </c>
      <c r="AC957" t="s">
        <v>18198</v>
      </c>
      <c r="AD957" t="s">
        <v>18199</v>
      </c>
      <c r="AE957" t="s">
        <v>18200</v>
      </c>
      <c r="AF957" t="s">
        <v>74</v>
      </c>
      <c r="AG957">
        <v>26</v>
      </c>
      <c r="AH957">
        <v>12</v>
      </c>
      <c r="AI957">
        <v>14</v>
      </c>
      <c r="AJ957">
        <v>0</v>
      </c>
      <c r="AK957">
        <v>18</v>
      </c>
      <c r="AL957" t="s">
        <v>502</v>
      </c>
      <c r="AM957" t="s">
        <v>372</v>
      </c>
      <c r="AN957" t="s">
        <v>503</v>
      </c>
      <c r="AO957" t="s">
        <v>941</v>
      </c>
      <c r="AP957" t="s">
        <v>942</v>
      </c>
      <c r="AQ957" t="s">
        <v>74</v>
      </c>
      <c r="AR957" t="s">
        <v>943</v>
      </c>
      <c r="AS957" t="s">
        <v>944</v>
      </c>
      <c r="AT957" t="s">
        <v>18112</v>
      </c>
      <c r="AU957">
        <v>2017</v>
      </c>
      <c r="AV957">
        <v>252</v>
      </c>
      <c r="AW957" t="s">
        <v>74</v>
      </c>
      <c r="AX957" t="s">
        <v>74</v>
      </c>
      <c r="AY957" t="s">
        <v>74</v>
      </c>
      <c r="AZ957" t="s">
        <v>74</v>
      </c>
      <c r="BA957" t="s">
        <v>74</v>
      </c>
      <c r="BB957">
        <v>11</v>
      </c>
      <c r="BC957">
        <v>14</v>
      </c>
      <c r="BD957" t="s">
        <v>74</v>
      </c>
      <c r="BE957" t="s">
        <v>18201</v>
      </c>
      <c r="BF957" t="str">
        <f>HYPERLINK("http://dx.doi.org/10.1016/j.jbiotec.2017.05.005","http://dx.doi.org/10.1016/j.jbiotec.2017.05.005")</f>
        <v>http://dx.doi.org/10.1016/j.jbiotec.2017.05.005</v>
      </c>
      <c r="BG957" t="s">
        <v>74</v>
      </c>
      <c r="BH957" t="s">
        <v>74</v>
      </c>
      <c r="BI957">
        <v>4</v>
      </c>
      <c r="BJ957" t="s">
        <v>947</v>
      </c>
      <c r="BK957" t="s">
        <v>101</v>
      </c>
      <c r="BL957" t="s">
        <v>947</v>
      </c>
      <c r="BM957" t="s">
        <v>18202</v>
      </c>
      <c r="BN957">
        <v>28483443</v>
      </c>
      <c r="BO957" t="s">
        <v>1240</v>
      </c>
      <c r="BP957" t="s">
        <v>74</v>
      </c>
      <c r="BQ957" t="s">
        <v>74</v>
      </c>
      <c r="BR957" t="s">
        <v>105</v>
      </c>
      <c r="BS957" t="s">
        <v>18203</v>
      </c>
      <c r="BT957" t="str">
        <f>HYPERLINK("https%3A%2F%2Fwww.webofscience.com%2Fwos%2Fwoscc%2Ffull-record%2FWOS:000403730900002","View Full Record in Web of Science")</f>
        <v>View Full Record in Web of Science</v>
      </c>
    </row>
    <row r="958" spans="1:72" x14ac:dyDescent="0.15">
      <c r="A958" t="s">
        <v>72</v>
      </c>
      <c r="B958" t="s">
        <v>18204</v>
      </c>
      <c r="C958" t="s">
        <v>74</v>
      </c>
      <c r="D958" t="s">
        <v>74</v>
      </c>
      <c r="E958" t="s">
        <v>74</v>
      </c>
      <c r="F958" t="s">
        <v>18205</v>
      </c>
      <c r="G958" t="s">
        <v>74</v>
      </c>
      <c r="H958" t="s">
        <v>74</v>
      </c>
      <c r="I958" t="s">
        <v>18206</v>
      </c>
      <c r="J958" t="s">
        <v>860</v>
      </c>
      <c r="K958" t="s">
        <v>74</v>
      </c>
      <c r="L958" t="s">
        <v>74</v>
      </c>
      <c r="M958" t="s">
        <v>78</v>
      </c>
      <c r="N958" t="s">
        <v>79</v>
      </c>
      <c r="O958" t="s">
        <v>74</v>
      </c>
      <c r="P958" t="s">
        <v>74</v>
      </c>
      <c r="Q958" t="s">
        <v>74</v>
      </c>
      <c r="R958" t="s">
        <v>74</v>
      </c>
      <c r="S958" t="s">
        <v>74</v>
      </c>
      <c r="T958" t="s">
        <v>74</v>
      </c>
      <c r="U958" t="s">
        <v>18207</v>
      </c>
      <c r="V958" t="s">
        <v>18208</v>
      </c>
      <c r="W958" t="s">
        <v>18209</v>
      </c>
      <c r="X958" t="s">
        <v>18210</v>
      </c>
      <c r="Y958" t="s">
        <v>18211</v>
      </c>
      <c r="Z958" t="s">
        <v>18212</v>
      </c>
      <c r="AA958" t="s">
        <v>18213</v>
      </c>
      <c r="AB958" t="s">
        <v>18214</v>
      </c>
      <c r="AC958" t="s">
        <v>18215</v>
      </c>
      <c r="AD958" t="s">
        <v>18216</v>
      </c>
      <c r="AE958" t="s">
        <v>18217</v>
      </c>
      <c r="AF958" t="s">
        <v>74</v>
      </c>
      <c r="AG958">
        <v>78</v>
      </c>
      <c r="AH958">
        <v>26</v>
      </c>
      <c r="AI958">
        <v>27</v>
      </c>
      <c r="AJ958">
        <v>0</v>
      </c>
      <c r="AK958">
        <v>15</v>
      </c>
      <c r="AL958" t="s">
        <v>872</v>
      </c>
      <c r="AM958" t="s">
        <v>873</v>
      </c>
      <c r="AN958" t="s">
        <v>874</v>
      </c>
      <c r="AO958" t="s">
        <v>875</v>
      </c>
      <c r="AP958" t="s">
        <v>74</v>
      </c>
      <c r="AQ958" t="s">
        <v>74</v>
      </c>
      <c r="AR958" t="s">
        <v>860</v>
      </c>
      <c r="AS958" t="s">
        <v>876</v>
      </c>
      <c r="AT958" t="s">
        <v>18112</v>
      </c>
      <c r="AU958">
        <v>2017</v>
      </c>
      <c r="AV958">
        <v>12</v>
      </c>
      <c r="AW958">
        <v>6</v>
      </c>
      <c r="AX958" t="s">
        <v>74</v>
      </c>
      <c r="AY958" t="s">
        <v>74</v>
      </c>
      <c r="AZ958" t="s">
        <v>74</v>
      </c>
      <c r="BA958" t="s">
        <v>74</v>
      </c>
      <c r="BB958" t="s">
        <v>74</v>
      </c>
      <c r="BC958" t="s">
        <v>74</v>
      </c>
      <c r="BD958" t="s">
        <v>18218</v>
      </c>
      <c r="BE958" t="s">
        <v>18219</v>
      </c>
      <c r="BF958" t="str">
        <f>HYPERLINK("http://dx.doi.org/10.1371/journal.pone.0179390","http://dx.doi.org/10.1371/journal.pone.0179390")</f>
        <v>http://dx.doi.org/10.1371/journal.pone.0179390</v>
      </c>
      <c r="BG958" t="s">
        <v>74</v>
      </c>
      <c r="BH958" t="s">
        <v>74</v>
      </c>
      <c r="BI958">
        <v>18</v>
      </c>
      <c r="BJ958" t="s">
        <v>190</v>
      </c>
      <c r="BK958" t="s">
        <v>101</v>
      </c>
      <c r="BL958" t="s">
        <v>191</v>
      </c>
      <c r="BM958" t="s">
        <v>18220</v>
      </c>
      <c r="BN958">
        <v>28632790</v>
      </c>
      <c r="BO958" t="s">
        <v>432</v>
      </c>
      <c r="BP958" t="s">
        <v>74</v>
      </c>
      <c r="BQ958" t="s">
        <v>74</v>
      </c>
      <c r="BR958" t="s">
        <v>105</v>
      </c>
      <c r="BS958" t="s">
        <v>18221</v>
      </c>
      <c r="BT958" t="str">
        <f>HYPERLINK("https%3A%2F%2Fwww.webofscience.com%2Fwos%2Fwoscc%2Ffull-record%2FWOS:000404046100026","View Full Record in Web of Science")</f>
        <v>View Full Record in Web of Science</v>
      </c>
    </row>
    <row r="959" spans="1:72" x14ac:dyDescent="0.15">
      <c r="A959" t="s">
        <v>72</v>
      </c>
      <c r="B959" t="s">
        <v>18222</v>
      </c>
      <c r="C959" t="s">
        <v>74</v>
      </c>
      <c r="D959" t="s">
        <v>74</v>
      </c>
      <c r="E959" t="s">
        <v>74</v>
      </c>
      <c r="F959" t="s">
        <v>18223</v>
      </c>
      <c r="G959" t="s">
        <v>74</v>
      </c>
      <c r="H959" t="s">
        <v>74</v>
      </c>
      <c r="I959" t="s">
        <v>18224</v>
      </c>
      <c r="J959" t="s">
        <v>5154</v>
      </c>
      <c r="K959" t="s">
        <v>74</v>
      </c>
      <c r="L959" t="s">
        <v>74</v>
      </c>
      <c r="M959" t="s">
        <v>78</v>
      </c>
      <c r="N959" t="s">
        <v>5155</v>
      </c>
      <c r="O959" t="s">
        <v>74</v>
      </c>
      <c r="P959" t="s">
        <v>74</v>
      </c>
      <c r="Q959" t="s">
        <v>74</v>
      </c>
      <c r="R959" t="s">
        <v>74</v>
      </c>
      <c r="S959" t="s">
        <v>74</v>
      </c>
      <c r="T959" t="s">
        <v>74</v>
      </c>
      <c r="U959" t="s">
        <v>18225</v>
      </c>
      <c r="V959" t="s">
        <v>18226</v>
      </c>
      <c r="W959" t="s">
        <v>18227</v>
      </c>
      <c r="X959" t="s">
        <v>18228</v>
      </c>
      <c r="Y959" t="s">
        <v>18229</v>
      </c>
      <c r="Z959" t="s">
        <v>18230</v>
      </c>
      <c r="AA959" t="s">
        <v>18231</v>
      </c>
      <c r="AB959" t="s">
        <v>18232</v>
      </c>
      <c r="AC959" t="s">
        <v>18233</v>
      </c>
      <c r="AD959" t="s">
        <v>18234</v>
      </c>
      <c r="AE959" t="s">
        <v>18235</v>
      </c>
      <c r="AF959" t="s">
        <v>74</v>
      </c>
      <c r="AG959">
        <v>48</v>
      </c>
      <c r="AH959">
        <v>95</v>
      </c>
      <c r="AI959">
        <v>103</v>
      </c>
      <c r="AJ959">
        <v>2</v>
      </c>
      <c r="AK959">
        <v>20</v>
      </c>
      <c r="AL959" t="s">
        <v>650</v>
      </c>
      <c r="AM959" t="s">
        <v>651</v>
      </c>
      <c r="AN959" t="s">
        <v>652</v>
      </c>
      <c r="AO959" t="s">
        <v>74</v>
      </c>
      <c r="AP959" t="s">
        <v>5167</v>
      </c>
      <c r="AQ959" t="s">
        <v>74</v>
      </c>
      <c r="AR959" t="s">
        <v>5168</v>
      </c>
      <c r="AS959" t="s">
        <v>5169</v>
      </c>
      <c r="AT959" t="s">
        <v>18112</v>
      </c>
      <c r="AU959">
        <v>2017</v>
      </c>
      <c r="AV959">
        <v>4</v>
      </c>
      <c r="AW959" t="s">
        <v>74</v>
      </c>
      <c r="AX959" t="s">
        <v>74</v>
      </c>
      <c r="AY959" t="s">
        <v>74</v>
      </c>
      <c r="AZ959" t="s">
        <v>74</v>
      </c>
      <c r="BA959" t="s">
        <v>74</v>
      </c>
      <c r="BB959" t="s">
        <v>74</v>
      </c>
      <c r="BC959" t="s">
        <v>74</v>
      </c>
      <c r="BD959">
        <v>170078</v>
      </c>
      <c r="BE959" t="s">
        <v>18236</v>
      </c>
      <c r="BF959" t="str">
        <f>HYPERLINK("http://dx.doi.org/10.1038/sdata.2017.78","http://dx.doi.org/10.1038/sdata.2017.78")</f>
        <v>http://dx.doi.org/10.1038/sdata.2017.78</v>
      </c>
      <c r="BG959" t="s">
        <v>74</v>
      </c>
      <c r="BH959" t="s">
        <v>74</v>
      </c>
      <c r="BI959">
        <v>11</v>
      </c>
      <c r="BJ959" t="s">
        <v>190</v>
      </c>
      <c r="BK959" t="s">
        <v>101</v>
      </c>
      <c r="BL959" t="s">
        <v>191</v>
      </c>
      <c r="BM959" t="s">
        <v>18237</v>
      </c>
      <c r="BN959">
        <v>28632236</v>
      </c>
      <c r="BO959" t="s">
        <v>267</v>
      </c>
      <c r="BP959" t="s">
        <v>74</v>
      </c>
      <c r="BQ959" t="s">
        <v>74</v>
      </c>
      <c r="BR959" t="s">
        <v>105</v>
      </c>
      <c r="BS959" t="s">
        <v>18238</v>
      </c>
      <c r="BT959" t="str">
        <f>HYPERLINK("https%3A%2F%2Fwww.webofscience.com%2Fwos%2Fwoscc%2Ffull-record%2FWOS:000403699400001","View Full Record in Web of Science")</f>
        <v>View Full Record in Web of Science</v>
      </c>
    </row>
    <row r="960" spans="1:72" x14ac:dyDescent="0.15">
      <c r="A960" t="s">
        <v>72</v>
      </c>
      <c r="B960" t="s">
        <v>18239</v>
      </c>
      <c r="C960" t="s">
        <v>74</v>
      </c>
      <c r="D960" t="s">
        <v>74</v>
      </c>
      <c r="E960" t="s">
        <v>74</v>
      </c>
      <c r="F960" t="s">
        <v>18240</v>
      </c>
      <c r="G960" t="s">
        <v>74</v>
      </c>
      <c r="H960" t="s">
        <v>74</v>
      </c>
      <c r="I960" t="s">
        <v>18241</v>
      </c>
      <c r="J960" t="s">
        <v>14239</v>
      </c>
      <c r="K960" t="s">
        <v>74</v>
      </c>
      <c r="L960" t="s">
        <v>74</v>
      </c>
      <c r="M960" t="s">
        <v>78</v>
      </c>
      <c r="N960" t="s">
        <v>79</v>
      </c>
      <c r="O960" t="s">
        <v>74</v>
      </c>
      <c r="P960" t="s">
        <v>74</v>
      </c>
      <c r="Q960" t="s">
        <v>74</v>
      </c>
      <c r="R960" t="s">
        <v>74</v>
      </c>
      <c r="S960" t="s">
        <v>74</v>
      </c>
      <c r="T960" t="s">
        <v>18242</v>
      </c>
      <c r="U960" t="s">
        <v>18243</v>
      </c>
      <c r="V960" t="s">
        <v>18244</v>
      </c>
      <c r="W960" t="s">
        <v>18245</v>
      </c>
      <c r="X960" t="s">
        <v>18246</v>
      </c>
      <c r="Y960" t="s">
        <v>18247</v>
      </c>
      <c r="Z960" t="s">
        <v>18248</v>
      </c>
      <c r="AA960" t="s">
        <v>18249</v>
      </c>
      <c r="AB960" t="s">
        <v>18250</v>
      </c>
      <c r="AC960" t="s">
        <v>18251</v>
      </c>
      <c r="AD960" t="s">
        <v>18252</v>
      </c>
      <c r="AE960" t="s">
        <v>18253</v>
      </c>
      <c r="AF960" t="s">
        <v>74</v>
      </c>
      <c r="AG960">
        <v>46</v>
      </c>
      <c r="AH960">
        <v>4</v>
      </c>
      <c r="AI960">
        <v>4</v>
      </c>
      <c r="AJ960">
        <v>0</v>
      </c>
      <c r="AK960">
        <v>4</v>
      </c>
      <c r="AL960" t="s">
        <v>1017</v>
      </c>
      <c r="AM960" t="s">
        <v>1018</v>
      </c>
      <c r="AN960" t="s">
        <v>1019</v>
      </c>
      <c r="AO960" t="s">
        <v>14255</v>
      </c>
      <c r="AP960" t="s">
        <v>14256</v>
      </c>
      <c r="AQ960" t="s">
        <v>74</v>
      </c>
      <c r="AR960" t="s">
        <v>14257</v>
      </c>
      <c r="AS960" t="s">
        <v>14258</v>
      </c>
      <c r="AT960" t="s">
        <v>18254</v>
      </c>
      <c r="AU960">
        <v>2017</v>
      </c>
      <c r="AV960">
        <v>36</v>
      </c>
      <c r="AW960" t="s">
        <v>74</v>
      </c>
      <c r="AX960" t="s">
        <v>74</v>
      </c>
      <c r="AY960" t="s">
        <v>74</v>
      </c>
      <c r="AZ960" t="s">
        <v>74</v>
      </c>
      <c r="BA960" t="s">
        <v>74</v>
      </c>
      <c r="BB960" t="s">
        <v>74</v>
      </c>
      <c r="BC960" t="s">
        <v>74</v>
      </c>
      <c r="BD960">
        <v>1331558</v>
      </c>
      <c r="BE960" t="s">
        <v>18255</v>
      </c>
      <c r="BF960" t="str">
        <f>HYPERLINK("http://dx.doi.org/10.1080/17518369.2017.1331558","http://dx.doi.org/10.1080/17518369.2017.1331558")</f>
        <v>http://dx.doi.org/10.1080/17518369.2017.1331558</v>
      </c>
      <c r="BG960" t="s">
        <v>74</v>
      </c>
      <c r="BH960" t="s">
        <v>74</v>
      </c>
      <c r="BI960">
        <v>8</v>
      </c>
      <c r="BJ960" t="s">
        <v>14261</v>
      </c>
      <c r="BK960" t="s">
        <v>101</v>
      </c>
      <c r="BL960" t="s">
        <v>14262</v>
      </c>
      <c r="BM960" t="s">
        <v>18256</v>
      </c>
      <c r="BN960" t="s">
        <v>74</v>
      </c>
      <c r="BO960" t="s">
        <v>267</v>
      </c>
      <c r="BP960" t="s">
        <v>74</v>
      </c>
      <c r="BQ960" t="s">
        <v>74</v>
      </c>
      <c r="BR960" t="s">
        <v>105</v>
      </c>
      <c r="BS960" t="s">
        <v>18257</v>
      </c>
      <c r="BT960" t="str">
        <f>HYPERLINK("https%3A%2F%2Fwww.webofscience.com%2Fwos%2Fwoscc%2Ffull-record%2FWOS:000404772200001","View Full Record in Web of Science")</f>
        <v>View Full Record in Web of Science</v>
      </c>
    </row>
    <row r="961" spans="1:72" x14ac:dyDescent="0.15">
      <c r="A961" t="s">
        <v>72</v>
      </c>
      <c r="B961" t="s">
        <v>18258</v>
      </c>
      <c r="C961" t="s">
        <v>74</v>
      </c>
      <c r="D961" t="s">
        <v>74</v>
      </c>
      <c r="E961" t="s">
        <v>74</v>
      </c>
      <c r="F961" t="s">
        <v>18259</v>
      </c>
      <c r="G961" t="s">
        <v>74</v>
      </c>
      <c r="H961" t="s">
        <v>74</v>
      </c>
      <c r="I961" t="s">
        <v>18260</v>
      </c>
      <c r="J961" t="s">
        <v>18261</v>
      </c>
      <c r="K961" t="s">
        <v>74</v>
      </c>
      <c r="L961" t="s">
        <v>74</v>
      </c>
      <c r="M961" t="s">
        <v>78</v>
      </c>
      <c r="N961" t="s">
        <v>79</v>
      </c>
      <c r="O961" t="s">
        <v>74</v>
      </c>
      <c r="P961" t="s">
        <v>74</v>
      </c>
      <c r="Q961" t="s">
        <v>74</v>
      </c>
      <c r="R961" t="s">
        <v>74</v>
      </c>
      <c r="S961" t="s">
        <v>74</v>
      </c>
      <c r="T961" t="s">
        <v>18262</v>
      </c>
      <c r="U961" t="s">
        <v>18263</v>
      </c>
      <c r="V961" t="s">
        <v>18264</v>
      </c>
      <c r="W961" t="s">
        <v>18265</v>
      </c>
      <c r="X961" t="s">
        <v>18266</v>
      </c>
      <c r="Y961" t="s">
        <v>18267</v>
      </c>
      <c r="Z961" t="s">
        <v>18268</v>
      </c>
      <c r="AA961" t="s">
        <v>18269</v>
      </c>
      <c r="AB961" t="s">
        <v>18270</v>
      </c>
      <c r="AC961" t="s">
        <v>18271</v>
      </c>
      <c r="AD961" t="s">
        <v>18272</v>
      </c>
      <c r="AE961" t="s">
        <v>18273</v>
      </c>
      <c r="AF961" t="s">
        <v>74</v>
      </c>
      <c r="AG961">
        <v>53</v>
      </c>
      <c r="AH961">
        <v>28</v>
      </c>
      <c r="AI961">
        <v>30</v>
      </c>
      <c r="AJ961">
        <v>3</v>
      </c>
      <c r="AK961">
        <v>50</v>
      </c>
      <c r="AL961" t="s">
        <v>1809</v>
      </c>
      <c r="AM961" t="s">
        <v>182</v>
      </c>
      <c r="AN961" t="s">
        <v>1810</v>
      </c>
      <c r="AO961" t="s">
        <v>18274</v>
      </c>
      <c r="AP961" t="s">
        <v>18275</v>
      </c>
      <c r="AQ961" t="s">
        <v>74</v>
      </c>
      <c r="AR961" t="s">
        <v>18276</v>
      </c>
      <c r="AS961" t="s">
        <v>18277</v>
      </c>
      <c r="AT961" t="s">
        <v>18254</v>
      </c>
      <c r="AU961">
        <v>2017</v>
      </c>
      <c r="AV961">
        <v>372</v>
      </c>
      <c r="AW961">
        <v>1723</v>
      </c>
      <c r="AX961" t="s">
        <v>74</v>
      </c>
      <c r="AY961" t="s">
        <v>74</v>
      </c>
      <c r="AZ961" t="s">
        <v>74</v>
      </c>
      <c r="BA961" t="s">
        <v>74</v>
      </c>
      <c r="BB961" t="s">
        <v>74</v>
      </c>
      <c r="BC961" t="s">
        <v>74</v>
      </c>
      <c r="BD961">
        <v>20160143</v>
      </c>
      <c r="BE961" t="s">
        <v>18278</v>
      </c>
      <c r="BF961" t="str">
        <f>HYPERLINK("http://dx.doi.org/10.1098/rstb.2016.0143","http://dx.doi.org/10.1098/rstb.2016.0143")</f>
        <v>http://dx.doi.org/10.1098/rstb.2016.0143</v>
      </c>
      <c r="BG961" t="s">
        <v>74</v>
      </c>
      <c r="BH961" t="s">
        <v>74</v>
      </c>
      <c r="BI961">
        <v>10</v>
      </c>
      <c r="BJ961" t="s">
        <v>239</v>
      </c>
      <c r="BK961" t="s">
        <v>101</v>
      </c>
      <c r="BL961" t="s">
        <v>240</v>
      </c>
      <c r="BM961" t="s">
        <v>18279</v>
      </c>
      <c r="BN961">
        <v>28483873</v>
      </c>
      <c r="BO961" t="s">
        <v>3649</v>
      </c>
      <c r="BP961" t="s">
        <v>74</v>
      </c>
      <c r="BQ961" t="s">
        <v>74</v>
      </c>
      <c r="BR961" t="s">
        <v>105</v>
      </c>
      <c r="BS961" t="s">
        <v>18280</v>
      </c>
      <c r="BT961" t="str">
        <f>HYPERLINK("https%3A%2F%2Fwww.webofscience.com%2Fwos%2Fwoscc%2Ffull-record%2FWOS:000400921300009","View Full Record in Web of Science")</f>
        <v>View Full Record in Web of Science</v>
      </c>
    </row>
    <row r="962" spans="1:72" x14ac:dyDescent="0.15">
      <c r="A962" t="s">
        <v>72</v>
      </c>
      <c r="B962" t="s">
        <v>18281</v>
      </c>
      <c r="C962" t="s">
        <v>74</v>
      </c>
      <c r="D962" t="s">
        <v>74</v>
      </c>
      <c r="E962" t="s">
        <v>74</v>
      </c>
      <c r="F962" t="s">
        <v>18282</v>
      </c>
      <c r="G962" t="s">
        <v>74</v>
      </c>
      <c r="H962" t="s">
        <v>74</v>
      </c>
      <c r="I962" t="s">
        <v>18283</v>
      </c>
      <c r="J962" t="s">
        <v>6913</v>
      </c>
      <c r="K962" t="s">
        <v>74</v>
      </c>
      <c r="L962" t="s">
        <v>74</v>
      </c>
      <c r="M962" t="s">
        <v>78</v>
      </c>
      <c r="N962" t="s">
        <v>79</v>
      </c>
      <c r="O962" t="s">
        <v>74</v>
      </c>
      <c r="P962" t="s">
        <v>74</v>
      </c>
      <c r="Q962" t="s">
        <v>74</v>
      </c>
      <c r="R962" t="s">
        <v>74</v>
      </c>
      <c r="S962" t="s">
        <v>74</v>
      </c>
      <c r="T962" t="s">
        <v>18284</v>
      </c>
      <c r="U962" t="s">
        <v>18285</v>
      </c>
      <c r="V962" t="s">
        <v>18286</v>
      </c>
      <c r="W962" t="s">
        <v>18287</v>
      </c>
      <c r="X962" t="s">
        <v>18288</v>
      </c>
      <c r="Y962" t="s">
        <v>18289</v>
      </c>
      <c r="Z962" t="s">
        <v>18290</v>
      </c>
      <c r="AA962" t="s">
        <v>18291</v>
      </c>
      <c r="AB962" t="s">
        <v>18292</v>
      </c>
      <c r="AC962" t="s">
        <v>18293</v>
      </c>
      <c r="AD962" t="s">
        <v>18294</v>
      </c>
      <c r="AE962" t="s">
        <v>18295</v>
      </c>
      <c r="AF962" t="s">
        <v>74</v>
      </c>
      <c r="AG962">
        <v>59</v>
      </c>
      <c r="AH962">
        <v>3</v>
      </c>
      <c r="AI962">
        <v>3</v>
      </c>
      <c r="AJ962">
        <v>0</v>
      </c>
      <c r="AK962">
        <v>2</v>
      </c>
      <c r="AL962" t="s">
        <v>6923</v>
      </c>
      <c r="AM962" t="s">
        <v>6924</v>
      </c>
      <c r="AN962" t="s">
        <v>6925</v>
      </c>
      <c r="AO962" t="s">
        <v>6926</v>
      </c>
      <c r="AP962" t="s">
        <v>6927</v>
      </c>
      <c r="AQ962" t="s">
        <v>74</v>
      </c>
      <c r="AR962" t="s">
        <v>6928</v>
      </c>
      <c r="AS962" t="s">
        <v>6929</v>
      </c>
      <c r="AT962" t="s">
        <v>18296</v>
      </c>
      <c r="AU962">
        <v>2017</v>
      </c>
      <c r="AV962">
        <v>38</v>
      </c>
      <c r="AW962">
        <v>2</v>
      </c>
      <c r="AX962" t="s">
        <v>74</v>
      </c>
      <c r="AY962" t="s">
        <v>74</v>
      </c>
      <c r="AZ962" t="s">
        <v>74</v>
      </c>
      <c r="BA962" t="s">
        <v>74</v>
      </c>
      <c r="BB962">
        <v>105</v>
      </c>
      <c r="BC962">
        <v>124</v>
      </c>
      <c r="BD962" t="s">
        <v>74</v>
      </c>
      <c r="BE962" t="s">
        <v>18297</v>
      </c>
      <c r="BF962" t="str">
        <f>HYPERLINK("http://dx.doi.org/10.1515/popore-2017-0006","http://dx.doi.org/10.1515/popore-2017-0006")</f>
        <v>http://dx.doi.org/10.1515/popore-2017-0006</v>
      </c>
      <c r="BG962" t="s">
        <v>74</v>
      </c>
      <c r="BH962" t="s">
        <v>74</v>
      </c>
      <c r="BI962">
        <v>20</v>
      </c>
      <c r="BJ962" t="s">
        <v>5317</v>
      </c>
      <c r="BK962" t="s">
        <v>101</v>
      </c>
      <c r="BL962" t="s">
        <v>5318</v>
      </c>
      <c r="BM962" t="s">
        <v>18298</v>
      </c>
      <c r="BN962" t="s">
        <v>74</v>
      </c>
      <c r="BO962" t="s">
        <v>1278</v>
      </c>
      <c r="BP962" t="s">
        <v>74</v>
      </c>
      <c r="BQ962" t="s">
        <v>74</v>
      </c>
      <c r="BR962" t="s">
        <v>105</v>
      </c>
      <c r="BS962" t="s">
        <v>18299</v>
      </c>
      <c r="BT962" t="str">
        <f>HYPERLINK("https%3A%2F%2Fwww.webofscience.com%2Fwos%2Fwoscc%2Ffull-record%2FWOS:000404560600001","View Full Record in Web of Science")</f>
        <v>View Full Record in Web of Science</v>
      </c>
    </row>
    <row r="963" spans="1:72" x14ac:dyDescent="0.15">
      <c r="A963" t="s">
        <v>72</v>
      </c>
      <c r="B963" t="s">
        <v>18300</v>
      </c>
      <c r="C963" t="s">
        <v>74</v>
      </c>
      <c r="D963" t="s">
        <v>74</v>
      </c>
      <c r="E963" t="s">
        <v>74</v>
      </c>
      <c r="F963" t="s">
        <v>18301</v>
      </c>
      <c r="G963" t="s">
        <v>74</v>
      </c>
      <c r="H963" t="s">
        <v>74</v>
      </c>
      <c r="I963" t="s">
        <v>18302</v>
      </c>
      <c r="J963" t="s">
        <v>6913</v>
      </c>
      <c r="K963" t="s">
        <v>74</v>
      </c>
      <c r="L963" t="s">
        <v>74</v>
      </c>
      <c r="M963" t="s">
        <v>78</v>
      </c>
      <c r="N963" t="s">
        <v>79</v>
      </c>
      <c r="O963" t="s">
        <v>74</v>
      </c>
      <c r="P963" t="s">
        <v>74</v>
      </c>
      <c r="Q963" t="s">
        <v>74</v>
      </c>
      <c r="R963" t="s">
        <v>74</v>
      </c>
      <c r="S963" t="s">
        <v>74</v>
      </c>
      <c r="T963" t="s">
        <v>18303</v>
      </c>
      <c r="U963" t="s">
        <v>18304</v>
      </c>
      <c r="V963" t="s">
        <v>18305</v>
      </c>
      <c r="W963" t="s">
        <v>18306</v>
      </c>
      <c r="X963" t="s">
        <v>18307</v>
      </c>
      <c r="Y963" t="s">
        <v>18308</v>
      </c>
      <c r="Z963" t="s">
        <v>18309</v>
      </c>
      <c r="AA963" t="s">
        <v>18310</v>
      </c>
      <c r="AB963" t="s">
        <v>18311</v>
      </c>
      <c r="AC963" t="s">
        <v>74</v>
      </c>
      <c r="AD963" t="s">
        <v>74</v>
      </c>
      <c r="AE963" t="s">
        <v>74</v>
      </c>
      <c r="AF963" t="s">
        <v>74</v>
      </c>
      <c r="AG963">
        <v>62</v>
      </c>
      <c r="AH963">
        <v>0</v>
      </c>
      <c r="AI963">
        <v>0</v>
      </c>
      <c r="AJ963">
        <v>0</v>
      </c>
      <c r="AK963">
        <v>30</v>
      </c>
      <c r="AL963" t="s">
        <v>6923</v>
      </c>
      <c r="AM963" t="s">
        <v>6924</v>
      </c>
      <c r="AN963" t="s">
        <v>6925</v>
      </c>
      <c r="AO963" t="s">
        <v>6926</v>
      </c>
      <c r="AP963" t="s">
        <v>6927</v>
      </c>
      <c r="AQ963" t="s">
        <v>74</v>
      </c>
      <c r="AR963" t="s">
        <v>6928</v>
      </c>
      <c r="AS963" t="s">
        <v>6929</v>
      </c>
      <c r="AT963" t="s">
        <v>18296</v>
      </c>
      <c r="AU963">
        <v>2017</v>
      </c>
      <c r="AV963">
        <v>38</v>
      </c>
      <c r="AW963">
        <v>2</v>
      </c>
      <c r="AX963" t="s">
        <v>74</v>
      </c>
      <c r="AY963" t="s">
        <v>74</v>
      </c>
      <c r="AZ963" t="s">
        <v>74</v>
      </c>
      <c r="BA963" t="s">
        <v>74</v>
      </c>
      <c r="BB963">
        <v>187</v>
      </c>
      <c r="BC963">
        <v>204</v>
      </c>
      <c r="BD963" t="s">
        <v>74</v>
      </c>
      <c r="BE963" t="s">
        <v>18312</v>
      </c>
      <c r="BF963" t="str">
        <f>HYPERLINK("http://dx.doi.org/10.1515/popore-2017-0012","http://dx.doi.org/10.1515/popore-2017-0012")</f>
        <v>http://dx.doi.org/10.1515/popore-2017-0012</v>
      </c>
      <c r="BG963" t="s">
        <v>74</v>
      </c>
      <c r="BH963" t="s">
        <v>74</v>
      </c>
      <c r="BI963">
        <v>18</v>
      </c>
      <c r="BJ963" t="s">
        <v>5317</v>
      </c>
      <c r="BK963" t="s">
        <v>101</v>
      </c>
      <c r="BL963" t="s">
        <v>5318</v>
      </c>
      <c r="BM963" t="s">
        <v>18298</v>
      </c>
      <c r="BN963" t="s">
        <v>74</v>
      </c>
      <c r="BO963" t="s">
        <v>1278</v>
      </c>
      <c r="BP963" t="s">
        <v>74</v>
      </c>
      <c r="BQ963" t="s">
        <v>74</v>
      </c>
      <c r="BR963" t="s">
        <v>105</v>
      </c>
      <c r="BS963" t="s">
        <v>18313</v>
      </c>
      <c r="BT963" t="str">
        <f>HYPERLINK("https%3A%2F%2Fwww.webofscience.com%2Fwos%2Fwoscc%2Ffull-record%2FWOS:000404560600005","View Full Record in Web of Science")</f>
        <v>View Full Record in Web of Science</v>
      </c>
    </row>
    <row r="964" spans="1:72" x14ac:dyDescent="0.15">
      <c r="A964" t="s">
        <v>72</v>
      </c>
      <c r="B964" t="s">
        <v>18314</v>
      </c>
      <c r="C964" t="s">
        <v>74</v>
      </c>
      <c r="D964" t="s">
        <v>74</v>
      </c>
      <c r="E964" t="s">
        <v>74</v>
      </c>
      <c r="F964" t="s">
        <v>18315</v>
      </c>
      <c r="G964" t="s">
        <v>74</v>
      </c>
      <c r="H964" t="s">
        <v>74</v>
      </c>
      <c r="I964" t="s">
        <v>18316</v>
      </c>
      <c r="J964" t="s">
        <v>6913</v>
      </c>
      <c r="K964" t="s">
        <v>74</v>
      </c>
      <c r="L964" t="s">
        <v>74</v>
      </c>
      <c r="M964" t="s">
        <v>78</v>
      </c>
      <c r="N964" t="s">
        <v>79</v>
      </c>
      <c r="O964" t="s">
        <v>74</v>
      </c>
      <c r="P964" t="s">
        <v>74</v>
      </c>
      <c r="Q964" t="s">
        <v>74</v>
      </c>
      <c r="R964" t="s">
        <v>74</v>
      </c>
      <c r="S964" t="s">
        <v>74</v>
      </c>
      <c r="T964" t="s">
        <v>18317</v>
      </c>
      <c r="U964" t="s">
        <v>18318</v>
      </c>
      <c r="V964" t="s">
        <v>18319</v>
      </c>
      <c r="W964" t="s">
        <v>18320</v>
      </c>
      <c r="X964" t="s">
        <v>18321</v>
      </c>
      <c r="Y964" t="s">
        <v>18322</v>
      </c>
      <c r="Z964" t="s">
        <v>18323</v>
      </c>
      <c r="AA964" t="s">
        <v>18324</v>
      </c>
      <c r="AB964" t="s">
        <v>18325</v>
      </c>
      <c r="AC964" t="s">
        <v>13454</v>
      </c>
      <c r="AD964" t="s">
        <v>13455</v>
      </c>
      <c r="AE964" t="s">
        <v>18326</v>
      </c>
      <c r="AF964" t="s">
        <v>74</v>
      </c>
      <c r="AG964">
        <v>75</v>
      </c>
      <c r="AH964">
        <v>24</v>
      </c>
      <c r="AI964">
        <v>24</v>
      </c>
      <c r="AJ964">
        <v>4</v>
      </c>
      <c r="AK964">
        <v>28</v>
      </c>
      <c r="AL964" t="s">
        <v>6923</v>
      </c>
      <c r="AM964" t="s">
        <v>6924</v>
      </c>
      <c r="AN964" t="s">
        <v>6925</v>
      </c>
      <c r="AO964" t="s">
        <v>6926</v>
      </c>
      <c r="AP964" t="s">
        <v>6927</v>
      </c>
      <c r="AQ964" t="s">
        <v>74</v>
      </c>
      <c r="AR964" t="s">
        <v>6928</v>
      </c>
      <c r="AS964" t="s">
        <v>6929</v>
      </c>
      <c r="AT964" t="s">
        <v>18296</v>
      </c>
      <c r="AU964">
        <v>2017</v>
      </c>
      <c r="AV964">
        <v>38</v>
      </c>
      <c r="AW964">
        <v>2</v>
      </c>
      <c r="AX964" t="s">
        <v>74</v>
      </c>
      <c r="AY964" t="s">
        <v>74</v>
      </c>
      <c r="AZ964" t="s">
        <v>74</v>
      </c>
      <c r="BA964" t="s">
        <v>74</v>
      </c>
      <c r="BB964">
        <v>231</v>
      </c>
      <c r="BC964">
        <v>262</v>
      </c>
      <c r="BD964" t="s">
        <v>74</v>
      </c>
      <c r="BE964" t="s">
        <v>18327</v>
      </c>
      <c r="BF964" t="str">
        <f>HYPERLINK("http://dx.doi.org/10.1515/popore-2017-0010","http://dx.doi.org/10.1515/popore-2017-0010")</f>
        <v>http://dx.doi.org/10.1515/popore-2017-0010</v>
      </c>
      <c r="BG964" t="s">
        <v>74</v>
      </c>
      <c r="BH964" t="s">
        <v>74</v>
      </c>
      <c r="BI964">
        <v>32</v>
      </c>
      <c r="BJ964" t="s">
        <v>5317</v>
      </c>
      <c r="BK964" t="s">
        <v>101</v>
      </c>
      <c r="BL964" t="s">
        <v>5318</v>
      </c>
      <c r="BM964" t="s">
        <v>18298</v>
      </c>
      <c r="BN964" t="s">
        <v>74</v>
      </c>
      <c r="BO964" t="s">
        <v>322</v>
      </c>
      <c r="BP964" t="s">
        <v>74</v>
      </c>
      <c r="BQ964" t="s">
        <v>74</v>
      </c>
      <c r="BR964" t="s">
        <v>105</v>
      </c>
      <c r="BS964" t="s">
        <v>18328</v>
      </c>
      <c r="BT964" t="str">
        <f>HYPERLINK("https%3A%2F%2Fwww.webofscience.com%2Fwos%2Fwoscc%2Ffull-record%2FWOS:000404560600007","View Full Record in Web of Science")</f>
        <v>View Full Record in Web of Science</v>
      </c>
    </row>
    <row r="965" spans="1:72" x14ac:dyDescent="0.15">
      <c r="A965" t="s">
        <v>72</v>
      </c>
      <c r="B965" t="s">
        <v>18329</v>
      </c>
      <c r="C965" t="s">
        <v>74</v>
      </c>
      <c r="D965" t="s">
        <v>74</v>
      </c>
      <c r="E965" t="s">
        <v>74</v>
      </c>
      <c r="F965" t="s">
        <v>18330</v>
      </c>
      <c r="G965" t="s">
        <v>74</v>
      </c>
      <c r="H965" t="s">
        <v>74</v>
      </c>
      <c r="I965" t="s">
        <v>18331</v>
      </c>
      <c r="J965" t="s">
        <v>77</v>
      </c>
      <c r="K965" t="s">
        <v>74</v>
      </c>
      <c r="L965" t="s">
        <v>74</v>
      </c>
      <c r="M965" t="s">
        <v>78</v>
      </c>
      <c r="N965" t="s">
        <v>79</v>
      </c>
      <c r="O965" t="s">
        <v>74</v>
      </c>
      <c r="P965" t="s">
        <v>74</v>
      </c>
      <c r="Q965" t="s">
        <v>74</v>
      </c>
      <c r="R965" t="s">
        <v>74</v>
      </c>
      <c r="S965" t="s">
        <v>74</v>
      </c>
      <c r="T965" t="s">
        <v>18332</v>
      </c>
      <c r="U965" t="s">
        <v>18333</v>
      </c>
      <c r="V965" t="s">
        <v>18334</v>
      </c>
      <c r="W965" t="s">
        <v>18335</v>
      </c>
      <c r="X965" t="s">
        <v>18336</v>
      </c>
      <c r="Y965" t="s">
        <v>18337</v>
      </c>
      <c r="Z965" t="s">
        <v>18338</v>
      </c>
      <c r="AA965" t="s">
        <v>18339</v>
      </c>
      <c r="AB965" t="s">
        <v>18340</v>
      </c>
      <c r="AC965" t="s">
        <v>18341</v>
      </c>
      <c r="AD965" t="s">
        <v>18342</v>
      </c>
      <c r="AE965" t="s">
        <v>18343</v>
      </c>
      <c r="AF965" t="s">
        <v>74</v>
      </c>
      <c r="AG965">
        <v>71</v>
      </c>
      <c r="AH965">
        <v>30</v>
      </c>
      <c r="AI965">
        <v>35</v>
      </c>
      <c r="AJ965">
        <v>1</v>
      </c>
      <c r="AK965">
        <v>22</v>
      </c>
      <c r="AL965" t="s">
        <v>91</v>
      </c>
      <c r="AM965" t="s">
        <v>92</v>
      </c>
      <c r="AN965" t="s">
        <v>93</v>
      </c>
      <c r="AO965" t="s">
        <v>94</v>
      </c>
      <c r="AP965" t="s">
        <v>95</v>
      </c>
      <c r="AQ965" t="s">
        <v>74</v>
      </c>
      <c r="AR965" t="s">
        <v>96</v>
      </c>
      <c r="AS965" t="s">
        <v>97</v>
      </c>
      <c r="AT965" t="s">
        <v>18344</v>
      </c>
      <c r="AU965">
        <v>2017</v>
      </c>
      <c r="AV965">
        <v>44</v>
      </c>
      <c r="AW965">
        <v>11</v>
      </c>
      <c r="AX965" t="s">
        <v>74</v>
      </c>
      <c r="AY965" t="s">
        <v>74</v>
      </c>
      <c r="AZ965" t="s">
        <v>74</v>
      </c>
      <c r="BA965" t="s">
        <v>74</v>
      </c>
      <c r="BB965">
        <v>5436</v>
      </c>
      <c r="BC965">
        <v>5446</v>
      </c>
      <c r="BD965" t="s">
        <v>74</v>
      </c>
      <c r="BE965" t="s">
        <v>18345</v>
      </c>
      <c r="BF965" t="str">
        <f>HYPERLINK("http://dx.doi.org/10.1002/2017GL073596","http://dx.doi.org/10.1002/2017GL073596")</f>
        <v>http://dx.doi.org/10.1002/2017GL073596</v>
      </c>
      <c r="BG965" t="s">
        <v>74</v>
      </c>
      <c r="BH965" t="s">
        <v>74</v>
      </c>
      <c r="BI965">
        <v>11</v>
      </c>
      <c r="BJ965" t="s">
        <v>100</v>
      </c>
      <c r="BK965" t="s">
        <v>101</v>
      </c>
      <c r="BL965" t="s">
        <v>102</v>
      </c>
      <c r="BM965" t="s">
        <v>18346</v>
      </c>
      <c r="BN965" t="s">
        <v>74</v>
      </c>
      <c r="BO965" t="s">
        <v>598</v>
      </c>
      <c r="BP965" t="s">
        <v>74</v>
      </c>
      <c r="BQ965" t="s">
        <v>74</v>
      </c>
      <c r="BR965" t="s">
        <v>105</v>
      </c>
      <c r="BS965" t="s">
        <v>18347</v>
      </c>
      <c r="BT965" t="str">
        <f>HYPERLINK("https%3A%2F%2Fwww.webofscience.com%2Fwos%2Fwoscc%2Ffull-record%2FWOS:000404382600023","View Full Record in Web of Science")</f>
        <v>View Full Record in Web of Science</v>
      </c>
    </row>
    <row r="966" spans="1:72" x14ac:dyDescent="0.15">
      <c r="A966" t="s">
        <v>72</v>
      </c>
      <c r="B966" t="s">
        <v>18348</v>
      </c>
      <c r="C966" t="s">
        <v>74</v>
      </c>
      <c r="D966" t="s">
        <v>74</v>
      </c>
      <c r="E966" t="s">
        <v>74</v>
      </c>
      <c r="F966" t="s">
        <v>18349</v>
      </c>
      <c r="G966" t="s">
        <v>74</v>
      </c>
      <c r="H966" t="s">
        <v>74</v>
      </c>
      <c r="I966" t="s">
        <v>18350</v>
      </c>
      <c r="J966" t="s">
        <v>77</v>
      </c>
      <c r="K966" t="s">
        <v>74</v>
      </c>
      <c r="L966" t="s">
        <v>74</v>
      </c>
      <c r="M966" t="s">
        <v>78</v>
      </c>
      <c r="N966" t="s">
        <v>79</v>
      </c>
      <c r="O966" t="s">
        <v>74</v>
      </c>
      <c r="P966" t="s">
        <v>74</v>
      </c>
      <c r="Q966" t="s">
        <v>74</v>
      </c>
      <c r="R966" t="s">
        <v>74</v>
      </c>
      <c r="S966" t="s">
        <v>74</v>
      </c>
      <c r="T966" t="s">
        <v>18351</v>
      </c>
      <c r="U966" t="s">
        <v>18352</v>
      </c>
      <c r="V966" t="s">
        <v>18353</v>
      </c>
      <c r="W966" t="s">
        <v>18354</v>
      </c>
      <c r="X966" t="s">
        <v>18355</v>
      </c>
      <c r="Y966" t="s">
        <v>18356</v>
      </c>
      <c r="Z966" t="s">
        <v>18357</v>
      </c>
      <c r="AA966" t="s">
        <v>559</v>
      </c>
      <c r="AB966" t="s">
        <v>18358</v>
      </c>
      <c r="AC966" t="s">
        <v>18359</v>
      </c>
      <c r="AD966" t="s">
        <v>18360</v>
      </c>
      <c r="AE966" t="s">
        <v>18361</v>
      </c>
      <c r="AF966" t="s">
        <v>74</v>
      </c>
      <c r="AG966">
        <v>39</v>
      </c>
      <c r="AH966">
        <v>21</v>
      </c>
      <c r="AI966">
        <v>23</v>
      </c>
      <c r="AJ966">
        <v>0</v>
      </c>
      <c r="AK966">
        <v>9</v>
      </c>
      <c r="AL966" t="s">
        <v>91</v>
      </c>
      <c r="AM966" t="s">
        <v>92</v>
      </c>
      <c r="AN966" t="s">
        <v>93</v>
      </c>
      <c r="AO966" t="s">
        <v>94</v>
      </c>
      <c r="AP966" t="s">
        <v>95</v>
      </c>
      <c r="AQ966" t="s">
        <v>74</v>
      </c>
      <c r="AR966" t="s">
        <v>96</v>
      </c>
      <c r="AS966" t="s">
        <v>97</v>
      </c>
      <c r="AT966" t="s">
        <v>18344</v>
      </c>
      <c r="AU966">
        <v>2017</v>
      </c>
      <c r="AV966">
        <v>44</v>
      </c>
      <c r="AW966">
        <v>11</v>
      </c>
      <c r="AX966" t="s">
        <v>74</v>
      </c>
      <c r="AY966" t="s">
        <v>74</v>
      </c>
      <c r="AZ966" t="s">
        <v>74</v>
      </c>
      <c r="BA966" t="s">
        <v>74</v>
      </c>
      <c r="BB966">
        <v>5561</v>
      </c>
      <c r="BC966">
        <v>5570</v>
      </c>
      <c r="BD966" t="s">
        <v>74</v>
      </c>
      <c r="BE966" t="s">
        <v>18362</v>
      </c>
      <c r="BF966" t="str">
        <f>HYPERLINK("http://dx.doi.org/10.1002/2017GL073417","http://dx.doi.org/10.1002/2017GL073417")</f>
        <v>http://dx.doi.org/10.1002/2017GL073417</v>
      </c>
      <c r="BG966" t="s">
        <v>74</v>
      </c>
      <c r="BH966" t="s">
        <v>74</v>
      </c>
      <c r="BI966">
        <v>10</v>
      </c>
      <c r="BJ966" t="s">
        <v>100</v>
      </c>
      <c r="BK966" t="s">
        <v>101</v>
      </c>
      <c r="BL966" t="s">
        <v>102</v>
      </c>
      <c r="BM966" t="s">
        <v>18346</v>
      </c>
      <c r="BN966" t="s">
        <v>74</v>
      </c>
      <c r="BO966" t="s">
        <v>104</v>
      </c>
      <c r="BP966" t="s">
        <v>74</v>
      </c>
      <c r="BQ966" t="s">
        <v>74</v>
      </c>
      <c r="BR966" t="s">
        <v>105</v>
      </c>
      <c r="BS966" t="s">
        <v>18363</v>
      </c>
      <c r="BT966" t="str">
        <f>HYPERLINK("https%3A%2F%2Fwww.webofscience.com%2Fwos%2Fwoscc%2Ffull-record%2FWOS:000404382600036","View Full Record in Web of Science")</f>
        <v>View Full Record in Web of Science</v>
      </c>
    </row>
    <row r="967" spans="1:72" x14ac:dyDescent="0.15">
      <c r="A967" t="s">
        <v>72</v>
      </c>
      <c r="B967" t="s">
        <v>18364</v>
      </c>
      <c r="C967" t="s">
        <v>74</v>
      </c>
      <c r="D967" t="s">
        <v>74</v>
      </c>
      <c r="E967" t="s">
        <v>74</v>
      </c>
      <c r="F967" t="s">
        <v>18365</v>
      </c>
      <c r="G967" t="s">
        <v>74</v>
      </c>
      <c r="H967" t="s">
        <v>74</v>
      </c>
      <c r="I967" t="s">
        <v>18366</v>
      </c>
      <c r="J967" t="s">
        <v>77</v>
      </c>
      <c r="K967" t="s">
        <v>74</v>
      </c>
      <c r="L967" t="s">
        <v>74</v>
      </c>
      <c r="M967" t="s">
        <v>78</v>
      </c>
      <c r="N967" t="s">
        <v>79</v>
      </c>
      <c r="O967" t="s">
        <v>74</v>
      </c>
      <c r="P967" t="s">
        <v>74</v>
      </c>
      <c r="Q967" t="s">
        <v>74</v>
      </c>
      <c r="R967" t="s">
        <v>74</v>
      </c>
      <c r="S967" t="s">
        <v>74</v>
      </c>
      <c r="T967" t="s">
        <v>18367</v>
      </c>
      <c r="U967" t="s">
        <v>18368</v>
      </c>
      <c r="V967" t="s">
        <v>18369</v>
      </c>
      <c r="W967" t="s">
        <v>18370</v>
      </c>
      <c r="X967" t="s">
        <v>18371</v>
      </c>
      <c r="Y967" t="s">
        <v>18372</v>
      </c>
      <c r="Z967" t="s">
        <v>18373</v>
      </c>
      <c r="AA967" t="s">
        <v>74</v>
      </c>
      <c r="AB967" t="s">
        <v>18374</v>
      </c>
      <c r="AC967" t="s">
        <v>18375</v>
      </c>
      <c r="AD967" t="s">
        <v>18376</v>
      </c>
      <c r="AE967" t="s">
        <v>18377</v>
      </c>
      <c r="AF967" t="s">
        <v>74</v>
      </c>
      <c r="AG967">
        <v>41</v>
      </c>
      <c r="AH967">
        <v>202</v>
      </c>
      <c r="AI967">
        <v>219</v>
      </c>
      <c r="AJ967">
        <v>7</v>
      </c>
      <c r="AK967">
        <v>57</v>
      </c>
      <c r="AL967" t="s">
        <v>91</v>
      </c>
      <c r="AM967" t="s">
        <v>92</v>
      </c>
      <c r="AN967" t="s">
        <v>93</v>
      </c>
      <c r="AO967" t="s">
        <v>94</v>
      </c>
      <c r="AP967" t="s">
        <v>95</v>
      </c>
      <c r="AQ967" t="s">
        <v>74</v>
      </c>
      <c r="AR967" t="s">
        <v>96</v>
      </c>
      <c r="AS967" t="s">
        <v>97</v>
      </c>
      <c r="AT967" t="s">
        <v>18344</v>
      </c>
      <c r="AU967">
        <v>2017</v>
      </c>
      <c r="AV967">
        <v>44</v>
      </c>
      <c r="AW967">
        <v>11</v>
      </c>
      <c r="AX967" t="s">
        <v>74</v>
      </c>
      <c r="AY967" t="s">
        <v>74</v>
      </c>
      <c r="AZ967" t="s">
        <v>74</v>
      </c>
      <c r="BA967" t="s">
        <v>74</v>
      </c>
      <c r="BB967">
        <v>5618</v>
      </c>
      <c r="BC967">
        <v>5626</v>
      </c>
      <c r="BD967" t="s">
        <v>74</v>
      </c>
      <c r="BE967" t="s">
        <v>18378</v>
      </c>
      <c r="BF967" t="str">
        <f>HYPERLINK("http://dx.doi.org/10.1002/2017GL073426","http://dx.doi.org/10.1002/2017GL073426")</f>
        <v>http://dx.doi.org/10.1002/2017GL073426</v>
      </c>
      <c r="BG967" t="s">
        <v>74</v>
      </c>
      <c r="BH967" t="s">
        <v>74</v>
      </c>
      <c r="BI967">
        <v>9</v>
      </c>
      <c r="BJ967" t="s">
        <v>100</v>
      </c>
      <c r="BK967" t="s">
        <v>101</v>
      </c>
      <c r="BL967" t="s">
        <v>102</v>
      </c>
      <c r="BM967" t="s">
        <v>18346</v>
      </c>
      <c r="BN967" t="s">
        <v>74</v>
      </c>
      <c r="BO967" t="s">
        <v>1170</v>
      </c>
      <c r="BP967" t="s">
        <v>352</v>
      </c>
      <c r="BQ967" t="s">
        <v>353</v>
      </c>
      <c r="BR967" t="s">
        <v>105</v>
      </c>
      <c r="BS967" t="s">
        <v>18379</v>
      </c>
      <c r="BT967" t="str">
        <f>HYPERLINK("https%3A%2F%2Fwww.webofscience.com%2Fwos%2Fwoscc%2Ffull-record%2FWOS:000404382600042","View Full Record in Web of Science")</f>
        <v>View Full Record in Web of Science</v>
      </c>
    </row>
    <row r="968" spans="1:72" x14ac:dyDescent="0.15">
      <c r="A968" t="s">
        <v>72</v>
      </c>
      <c r="B968" t="s">
        <v>18380</v>
      </c>
      <c r="C968" t="s">
        <v>74</v>
      </c>
      <c r="D968" t="s">
        <v>74</v>
      </c>
      <c r="E968" t="s">
        <v>74</v>
      </c>
      <c r="F968" t="s">
        <v>18381</v>
      </c>
      <c r="G968" t="s">
        <v>74</v>
      </c>
      <c r="H968" t="s">
        <v>74</v>
      </c>
      <c r="I968" t="s">
        <v>18382</v>
      </c>
      <c r="J968" t="s">
        <v>638</v>
      </c>
      <c r="K968" t="s">
        <v>74</v>
      </c>
      <c r="L968" t="s">
        <v>74</v>
      </c>
      <c r="M968" t="s">
        <v>78</v>
      </c>
      <c r="N968" t="s">
        <v>79</v>
      </c>
      <c r="O968" t="s">
        <v>74</v>
      </c>
      <c r="P968" t="s">
        <v>74</v>
      </c>
      <c r="Q968" t="s">
        <v>74</v>
      </c>
      <c r="R968" t="s">
        <v>74</v>
      </c>
      <c r="S968" t="s">
        <v>74</v>
      </c>
      <c r="T968" t="s">
        <v>74</v>
      </c>
      <c r="U968" t="s">
        <v>18383</v>
      </c>
      <c r="V968" t="s">
        <v>18384</v>
      </c>
      <c r="W968" t="s">
        <v>18385</v>
      </c>
      <c r="X968" t="s">
        <v>18386</v>
      </c>
      <c r="Y968" t="s">
        <v>18387</v>
      </c>
      <c r="Z968" t="s">
        <v>18388</v>
      </c>
      <c r="AA968" t="s">
        <v>18389</v>
      </c>
      <c r="AB968" t="s">
        <v>18390</v>
      </c>
      <c r="AC968" t="s">
        <v>18391</v>
      </c>
      <c r="AD968" t="s">
        <v>18391</v>
      </c>
      <c r="AE968" t="s">
        <v>18392</v>
      </c>
      <c r="AF968" t="s">
        <v>74</v>
      </c>
      <c r="AG968">
        <v>99</v>
      </c>
      <c r="AH968">
        <v>18</v>
      </c>
      <c r="AI968">
        <v>18</v>
      </c>
      <c r="AJ968">
        <v>0</v>
      </c>
      <c r="AK968">
        <v>10</v>
      </c>
      <c r="AL968" t="s">
        <v>650</v>
      </c>
      <c r="AM968" t="s">
        <v>651</v>
      </c>
      <c r="AN968" t="s">
        <v>652</v>
      </c>
      <c r="AO968" t="s">
        <v>653</v>
      </c>
      <c r="AP968" t="s">
        <v>74</v>
      </c>
      <c r="AQ968" t="s">
        <v>74</v>
      </c>
      <c r="AR968" t="s">
        <v>654</v>
      </c>
      <c r="AS968" t="s">
        <v>655</v>
      </c>
      <c r="AT968" t="s">
        <v>18344</v>
      </c>
      <c r="AU968">
        <v>2017</v>
      </c>
      <c r="AV968">
        <v>7</v>
      </c>
      <c r="AW968" t="s">
        <v>74</v>
      </c>
      <c r="AX968" t="s">
        <v>74</v>
      </c>
      <c r="AY968" t="s">
        <v>74</v>
      </c>
      <c r="AZ968" t="s">
        <v>74</v>
      </c>
      <c r="BA968" t="s">
        <v>74</v>
      </c>
      <c r="BB968" t="s">
        <v>74</v>
      </c>
      <c r="BC968" t="s">
        <v>74</v>
      </c>
      <c r="BD968">
        <v>3659</v>
      </c>
      <c r="BE968" t="s">
        <v>18393</v>
      </c>
      <c r="BF968" t="str">
        <f>HYPERLINK("http://dx.doi.org/10.1038/s41598-017-03572-5","http://dx.doi.org/10.1038/s41598-017-03572-5")</f>
        <v>http://dx.doi.org/10.1038/s41598-017-03572-5</v>
      </c>
      <c r="BG968" t="s">
        <v>74</v>
      </c>
      <c r="BH968" t="s">
        <v>74</v>
      </c>
      <c r="BI968">
        <v>12</v>
      </c>
      <c r="BJ968" t="s">
        <v>190</v>
      </c>
      <c r="BK968" t="s">
        <v>101</v>
      </c>
      <c r="BL968" t="s">
        <v>191</v>
      </c>
      <c r="BM968" t="s">
        <v>18394</v>
      </c>
      <c r="BN968">
        <v>28623254</v>
      </c>
      <c r="BO968" t="s">
        <v>267</v>
      </c>
      <c r="BP968" t="s">
        <v>74</v>
      </c>
      <c r="BQ968" t="s">
        <v>74</v>
      </c>
      <c r="BR968" t="s">
        <v>105</v>
      </c>
      <c r="BS968" t="s">
        <v>18395</v>
      </c>
      <c r="BT968" t="str">
        <f>HYPERLINK("https%3A%2F%2Fwww.webofscience.com%2Fwos%2Fwoscc%2Ffull-record%2FWOS:000403413700021","View Full Record in Web of Science")</f>
        <v>View Full Record in Web of Science</v>
      </c>
    </row>
    <row r="969" spans="1:72" x14ac:dyDescent="0.15">
      <c r="A969" t="s">
        <v>72</v>
      </c>
      <c r="B969" t="s">
        <v>18396</v>
      </c>
      <c r="C969" t="s">
        <v>74</v>
      </c>
      <c r="D969" t="s">
        <v>74</v>
      </c>
      <c r="E969" t="s">
        <v>74</v>
      </c>
      <c r="F969" t="s">
        <v>18397</v>
      </c>
      <c r="G969" t="s">
        <v>74</v>
      </c>
      <c r="H969" t="s">
        <v>74</v>
      </c>
      <c r="I969" t="s">
        <v>18398</v>
      </c>
      <c r="J969" t="s">
        <v>10479</v>
      </c>
      <c r="K969" t="s">
        <v>74</v>
      </c>
      <c r="L969" t="s">
        <v>74</v>
      </c>
      <c r="M969" t="s">
        <v>78</v>
      </c>
      <c r="N969" t="s">
        <v>79</v>
      </c>
      <c r="O969" t="s">
        <v>74</v>
      </c>
      <c r="P969" t="s">
        <v>74</v>
      </c>
      <c r="Q969" t="s">
        <v>74</v>
      </c>
      <c r="R969" t="s">
        <v>74</v>
      </c>
      <c r="S969" t="s">
        <v>74</v>
      </c>
      <c r="T969" t="s">
        <v>18399</v>
      </c>
      <c r="U969" t="s">
        <v>18400</v>
      </c>
      <c r="V969" t="s">
        <v>18401</v>
      </c>
      <c r="W969" t="s">
        <v>18402</v>
      </c>
      <c r="X969" t="s">
        <v>18403</v>
      </c>
      <c r="Y969" t="s">
        <v>18404</v>
      </c>
      <c r="Z969" t="s">
        <v>18405</v>
      </c>
      <c r="AA969" t="s">
        <v>18406</v>
      </c>
      <c r="AB969" t="s">
        <v>74</v>
      </c>
      <c r="AC969" t="s">
        <v>18407</v>
      </c>
      <c r="AD969" t="s">
        <v>18408</v>
      </c>
      <c r="AE969" t="s">
        <v>18409</v>
      </c>
      <c r="AF969" t="s">
        <v>74</v>
      </c>
      <c r="AG969">
        <v>44</v>
      </c>
      <c r="AH969">
        <v>8</v>
      </c>
      <c r="AI969">
        <v>8</v>
      </c>
      <c r="AJ969">
        <v>1</v>
      </c>
      <c r="AK969">
        <v>13</v>
      </c>
      <c r="AL969" t="s">
        <v>1338</v>
      </c>
      <c r="AM969" t="s">
        <v>1339</v>
      </c>
      <c r="AN969" t="s">
        <v>1340</v>
      </c>
      <c r="AO969" t="s">
        <v>10489</v>
      </c>
      <c r="AP969" t="s">
        <v>10490</v>
      </c>
      <c r="AQ969" t="s">
        <v>74</v>
      </c>
      <c r="AR969" t="s">
        <v>10491</v>
      </c>
      <c r="AS969" t="s">
        <v>10492</v>
      </c>
      <c r="AT969" t="s">
        <v>18410</v>
      </c>
      <c r="AU969">
        <v>2017</v>
      </c>
      <c r="AV969">
        <v>37</v>
      </c>
      <c r="AW969">
        <v>7</v>
      </c>
      <c r="AX969" t="s">
        <v>74</v>
      </c>
      <c r="AY969" t="s">
        <v>74</v>
      </c>
      <c r="AZ969" t="s">
        <v>74</v>
      </c>
      <c r="BA969" t="s">
        <v>74</v>
      </c>
      <c r="BB969">
        <v>3067</v>
      </c>
      <c r="BC969">
        <v>3081</v>
      </c>
      <c r="BD969" t="s">
        <v>74</v>
      </c>
      <c r="BE969" t="s">
        <v>18411</v>
      </c>
      <c r="BF969" t="str">
        <f>HYPERLINK("http://dx.doi.org/10.1002/joc.4899","http://dx.doi.org/10.1002/joc.4899")</f>
        <v>http://dx.doi.org/10.1002/joc.4899</v>
      </c>
      <c r="BG969" t="s">
        <v>74</v>
      </c>
      <c r="BH969" t="s">
        <v>74</v>
      </c>
      <c r="BI969">
        <v>15</v>
      </c>
      <c r="BJ969" t="s">
        <v>162</v>
      </c>
      <c r="BK969" t="s">
        <v>101</v>
      </c>
      <c r="BL969" t="s">
        <v>162</v>
      </c>
      <c r="BM969" t="s">
        <v>18412</v>
      </c>
      <c r="BN969" t="s">
        <v>74</v>
      </c>
      <c r="BO969" t="s">
        <v>74</v>
      </c>
      <c r="BP969" t="s">
        <v>74</v>
      </c>
      <c r="BQ969" t="s">
        <v>74</v>
      </c>
      <c r="BR969" t="s">
        <v>105</v>
      </c>
      <c r="BS969" t="s">
        <v>18413</v>
      </c>
      <c r="BT969" t="str">
        <f>HYPERLINK("https%3A%2F%2Fwww.webofscience.com%2Fwos%2Fwoscc%2Ffull-record%2FWOS:000404851400002","View Full Record in Web of Science")</f>
        <v>View Full Record in Web of Science</v>
      </c>
    </row>
    <row r="970" spans="1:72" x14ac:dyDescent="0.15">
      <c r="A970" t="s">
        <v>72</v>
      </c>
      <c r="B970" t="s">
        <v>18414</v>
      </c>
      <c r="C970" t="s">
        <v>74</v>
      </c>
      <c r="D970" t="s">
        <v>74</v>
      </c>
      <c r="E970" t="s">
        <v>74</v>
      </c>
      <c r="F970" t="s">
        <v>18415</v>
      </c>
      <c r="G970" t="s">
        <v>74</v>
      </c>
      <c r="H970" t="s">
        <v>74</v>
      </c>
      <c r="I970" t="s">
        <v>18416</v>
      </c>
      <c r="J970" t="s">
        <v>10479</v>
      </c>
      <c r="K970" t="s">
        <v>74</v>
      </c>
      <c r="L970" t="s">
        <v>74</v>
      </c>
      <c r="M970" t="s">
        <v>78</v>
      </c>
      <c r="N970" t="s">
        <v>79</v>
      </c>
      <c r="O970" t="s">
        <v>74</v>
      </c>
      <c r="P970" t="s">
        <v>74</v>
      </c>
      <c r="Q970" t="s">
        <v>74</v>
      </c>
      <c r="R970" t="s">
        <v>74</v>
      </c>
      <c r="S970" t="s">
        <v>74</v>
      </c>
      <c r="T970" t="s">
        <v>18417</v>
      </c>
      <c r="U970" t="s">
        <v>18418</v>
      </c>
      <c r="V970" t="s">
        <v>18419</v>
      </c>
      <c r="W970" t="s">
        <v>18420</v>
      </c>
      <c r="X970" t="s">
        <v>18421</v>
      </c>
      <c r="Y970" t="s">
        <v>18422</v>
      </c>
      <c r="Z970" t="s">
        <v>18423</v>
      </c>
      <c r="AA970" t="s">
        <v>18424</v>
      </c>
      <c r="AB970" t="s">
        <v>18425</v>
      </c>
      <c r="AC970" t="s">
        <v>18426</v>
      </c>
      <c r="AD970" t="s">
        <v>18427</v>
      </c>
      <c r="AE970" t="s">
        <v>18428</v>
      </c>
      <c r="AF970" t="s">
        <v>74</v>
      </c>
      <c r="AG970">
        <v>78</v>
      </c>
      <c r="AH970">
        <v>32</v>
      </c>
      <c r="AI970">
        <v>33</v>
      </c>
      <c r="AJ970">
        <v>1</v>
      </c>
      <c r="AK970">
        <v>27</v>
      </c>
      <c r="AL970" t="s">
        <v>1338</v>
      </c>
      <c r="AM970" t="s">
        <v>1339</v>
      </c>
      <c r="AN970" t="s">
        <v>1340</v>
      </c>
      <c r="AO970" t="s">
        <v>10489</v>
      </c>
      <c r="AP970" t="s">
        <v>10490</v>
      </c>
      <c r="AQ970" t="s">
        <v>74</v>
      </c>
      <c r="AR970" t="s">
        <v>10491</v>
      </c>
      <c r="AS970" t="s">
        <v>10492</v>
      </c>
      <c r="AT970" t="s">
        <v>18410</v>
      </c>
      <c r="AU970">
        <v>2017</v>
      </c>
      <c r="AV970">
        <v>37</v>
      </c>
      <c r="AW970">
        <v>7</v>
      </c>
      <c r="AX970" t="s">
        <v>74</v>
      </c>
      <c r="AY970" t="s">
        <v>74</v>
      </c>
      <c r="AZ970" t="s">
        <v>74</v>
      </c>
      <c r="BA970" t="s">
        <v>74</v>
      </c>
      <c r="BB970">
        <v>3154</v>
      </c>
      <c r="BC970">
        <v>3174</v>
      </c>
      <c r="BD970" t="s">
        <v>74</v>
      </c>
      <c r="BE970" t="s">
        <v>18429</v>
      </c>
      <c r="BF970" t="str">
        <f>HYPERLINK("http://dx.doi.org/10.1002/joc.4907","http://dx.doi.org/10.1002/joc.4907")</f>
        <v>http://dx.doi.org/10.1002/joc.4907</v>
      </c>
      <c r="BG970" t="s">
        <v>74</v>
      </c>
      <c r="BH970" t="s">
        <v>74</v>
      </c>
      <c r="BI970">
        <v>21</v>
      </c>
      <c r="BJ970" t="s">
        <v>162</v>
      </c>
      <c r="BK970" t="s">
        <v>101</v>
      </c>
      <c r="BL970" t="s">
        <v>162</v>
      </c>
      <c r="BM970" t="s">
        <v>18412</v>
      </c>
      <c r="BN970" t="s">
        <v>74</v>
      </c>
      <c r="BO970" t="s">
        <v>74</v>
      </c>
      <c r="BP970" t="s">
        <v>74</v>
      </c>
      <c r="BQ970" t="s">
        <v>74</v>
      </c>
      <c r="BR970" t="s">
        <v>105</v>
      </c>
      <c r="BS970" t="s">
        <v>18430</v>
      </c>
      <c r="BT970" t="str">
        <f>HYPERLINK("https%3A%2F%2Fwww.webofscience.com%2Fwos%2Fwoscc%2Ffull-record%2FWOS:000404851400009","View Full Record in Web of Science")</f>
        <v>View Full Record in Web of Science</v>
      </c>
    </row>
    <row r="971" spans="1:72" x14ac:dyDescent="0.15">
      <c r="A971" t="s">
        <v>72</v>
      </c>
      <c r="B971" t="s">
        <v>18431</v>
      </c>
      <c r="C971" t="s">
        <v>74</v>
      </c>
      <c r="D971" t="s">
        <v>74</v>
      </c>
      <c r="E971" t="s">
        <v>74</v>
      </c>
      <c r="F971" t="s">
        <v>18432</v>
      </c>
      <c r="G971" t="s">
        <v>74</v>
      </c>
      <c r="H971" t="s">
        <v>74</v>
      </c>
      <c r="I971" t="s">
        <v>18433</v>
      </c>
      <c r="J971" t="s">
        <v>10479</v>
      </c>
      <c r="K971" t="s">
        <v>74</v>
      </c>
      <c r="L971" t="s">
        <v>74</v>
      </c>
      <c r="M971" t="s">
        <v>78</v>
      </c>
      <c r="N971" t="s">
        <v>79</v>
      </c>
      <c r="O971" t="s">
        <v>74</v>
      </c>
      <c r="P971" t="s">
        <v>74</v>
      </c>
      <c r="Q971" t="s">
        <v>74</v>
      </c>
      <c r="R971" t="s">
        <v>74</v>
      </c>
      <c r="S971" t="s">
        <v>74</v>
      </c>
      <c r="T971" t="s">
        <v>18434</v>
      </c>
      <c r="U971" t="s">
        <v>18435</v>
      </c>
      <c r="V971" t="s">
        <v>18436</v>
      </c>
      <c r="W971" t="s">
        <v>18437</v>
      </c>
      <c r="X971" t="s">
        <v>18438</v>
      </c>
      <c r="Y971" t="s">
        <v>18439</v>
      </c>
      <c r="Z971" t="s">
        <v>18423</v>
      </c>
      <c r="AA971" t="s">
        <v>18440</v>
      </c>
      <c r="AB971" t="s">
        <v>18441</v>
      </c>
      <c r="AC971" t="s">
        <v>18442</v>
      </c>
      <c r="AD971" t="s">
        <v>18443</v>
      </c>
      <c r="AE971" t="s">
        <v>18444</v>
      </c>
      <c r="AF971" t="s">
        <v>74</v>
      </c>
      <c r="AG971">
        <v>76</v>
      </c>
      <c r="AH971">
        <v>11</v>
      </c>
      <c r="AI971">
        <v>11</v>
      </c>
      <c r="AJ971">
        <v>0</v>
      </c>
      <c r="AK971">
        <v>21</v>
      </c>
      <c r="AL971" t="s">
        <v>1338</v>
      </c>
      <c r="AM971" t="s">
        <v>1339</v>
      </c>
      <c r="AN971" t="s">
        <v>1340</v>
      </c>
      <c r="AO971" t="s">
        <v>10489</v>
      </c>
      <c r="AP971" t="s">
        <v>10490</v>
      </c>
      <c r="AQ971" t="s">
        <v>74</v>
      </c>
      <c r="AR971" t="s">
        <v>10491</v>
      </c>
      <c r="AS971" t="s">
        <v>10492</v>
      </c>
      <c r="AT971" t="s">
        <v>18410</v>
      </c>
      <c r="AU971">
        <v>2017</v>
      </c>
      <c r="AV971">
        <v>37</v>
      </c>
      <c r="AW971">
        <v>7</v>
      </c>
      <c r="AX971" t="s">
        <v>74</v>
      </c>
      <c r="AY971" t="s">
        <v>74</v>
      </c>
      <c r="AZ971" t="s">
        <v>74</v>
      </c>
      <c r="BA971" t="s">
        <v>74</v>
      </c>
      <c r="BB971">
        <v>3175</v>
      </c>
      <c r="BC971">
        <v>3196</v>
      </c>
      <c r="BD971" t="s">
        <v>74</v>
      </c>
      <c r="BE971" t="s">
        <v>18445</v>
      </c>
      <c r="BF971" t="str">
        <f>HYPERLINK("http://dx.doi.org/10.1002/joc.4922","http://dx.doi.org/10.1002/joc.4922")</f>
        <v>http://dx.doi.org/10.1002/joc.4922</v>
      </c>
      <c r="BG971" t="s">
        <v>74</v>
      </c>
      <c r="BH971" t="s">
        <v>74</v>
      </c>
      <c r="BI971">
        <v>22</v>
      </c>
      <c r="BJ971" t="s">
        <v>162</v>
      </c>
      <c r="BK971" t="s">
        <v>101</v>
      </c>
      <c r="BL971" t="s">
        <v>162</v>
      </c>
      <c r="BM971" t="s">
        <v>18412</v>
      </c>
      <c r="BN971" t="s">
        <v>74</v>
      </c>
      <c r="BO971" t="s">
        <v>1240</v>
      </c>
      <c r="BP971" t="s">
        <v>74</v>
      </c>
      <c r="BQ971" t="s">
        <v>74</v>
      </c>
      <c r="BR971" t="s">
        <v>105</v>
      </c>
      <c r="BS971" t="s">
        <v>18446</v>
      </c>
      <c r="BT971" t="str">
        <f>HYPERLINK("https%3A%2F%2Fwww.webofscience.com%2Fwos%2Fwoscc%2Ffull-record%2FWOS:000404851400010","View Full Record in Web of Science")</f>
        <v>View Full Record in Web of Science</v>
      </c>
    </row>
    <row r="972" spans="1:72" x14ac:dyDescent="0.15">
      <c r="A972" t="s">
        <v>72</v>
      </c>
      <c r="B972" t="s">
        <v>18447</v>
      </c>
      <c r="C972" t="s">
        <v>74</v>
      </c>
      <c r="D972" t="s">
        <v>74</v>
      </c>
      <c r="E972" t="s">
        <v>74</v>
      </c>
      <c r="F972" t="s">
        <v>18448</v>
      </c>
      <c r="G972" t="s">
        <v>74</v>
      </c>
      <c r="H972" t="s">
        <v>74</v>
      </c>
      <c r="I972" t="s">
        <v>18449</v>
      </c>
      <c r="J972" t="s">
        <v>4960</v>
      </c>
      <c r="K972" t="s">
        <v>74</v>
      </c>
      <c r="L972" t="s">
        <v>74</v>
      </c>
      <c r="M972" t="s">
        <v>78</v>
      </c>
      <c r="N972" t="s">
        <v>79</v>
      </c>
      <c r="O972" t="s">
        <v>74</v>
      </c>
      <c r="P972" t="s">
        <v>74</v>
      </c>
      <c r="Q972" t="s">
        <v>74</v>
      </c>
      <c r="R972" t="s">
        <v>74</v>
      </c>
      <c r="S972" t="s">
        <v>74</v>
      </c>
      <c r="T972" t="s">
        <v>18450</v>
      </c>
      <c r="U972" t="s">
        <v>18451</v>
      </c>
      <c r="V972" t="s">
        <v>18452</v>
      </c>
      <c r="W972" t="s">
        <v>18453</v>
      </c>
      <c r="X972" t="s">
        <v>18454</v>
      </c>
      <c r="Y972" t="s">
        <v>18455</v>
      </c>
      <c r="Z972" t="s">
        <v>18456</v>
      </c>
      <c r="AA972" t="s">
        <v>18457</v>
      </c>
      <c r="AB972" t="s">
        <v>18458</v>
      </c>
      <c r="AC972" t="s">
        <v>18459</v>
      </c>
      <c r="AD972" t="s">
        <v>18459</v>
      </c>
      <c r="AE972" t="s">
        <v>18460</v>
      </c>
      <c r="AF972" t="s">
        <v>74</v>
      </c>
      <c r="AG972">
        <v>76</v>
      </c>
      <c r="AH972">
        <v>16</v>
      </c>
      <c r="AI972">
        <v>16</v>
      </c>
      <c r="AJ972">
        <v>1</v>
      </c>
      <c r="AK972">
        <v>22</v>
      </c>
      <c r="AL972" t="s">
        <v>1981</v>
      </c>
      <c r="AM972" t="s">
        <v>729</v>
      </c>
      <c r="AN972" t="s">
        <v>1982</v>
      </c>
      <c r="AO972" t="s">
        <v>4972</v>
      </c>
      <c r="AP972" t="s">
        <v>4973</v>
      </c>
      <c r="AQ972" t="s">
        <v>74</v>
      </c>
      <c r="AR972" t="s">
        <v>4974</v>
      </c>
      <c r="AS972" t="s">
        <v>4975</v>
      </c>
      <c r="AT972" t="s">
        <v>18410</v>
      </c>
      <c r="AU972">
        <v>2017</v>
      </c>
      <c r="AV972">
        <v>119</v>
      </c>
      <c r="AW972">
        <v>1</v>
      </c>
      <c r="AX972" t="s">
        <v>74</v>
      </c>
      <c r="AY972" t="s">
        <v>74</v>
      </c>
      <c r="AZ972" t="s">
        <v>74</v>
      </c>
      <c r="BA972" t="s">
        <v>74</v>
      </c>
      <c r="BB972">
        <v>211</v>
      </c>
      <c r="BC972">
        <v>219</v>
      </c>
      <c r="BD972" t="s">
        <v>74</v>
      </c>
      <c r="BE972" t="s">
        <v>18461</v>
      </c>
      <c r="BF972" t="str">
        <f>HYPERLINK("http://dx.doi.org/10.1016/j.marpolbul.2017.03.067","http://dx.doi.org/10.1016/j.marpolbul.2017.03.067")</f>
        <v>http://dx.doi.org/10.1016/j.marpolbul.2017.03.067</v>
      </c>
      <c r="BG972" t="s">
        <v>74</v>
      </c>
      <c r="BH972" t="s">
        <v>74</v>
      </c>
      <c r="BI972">
        <v>9</v>
      </c>
      <c r="BJ972" t="s">
        <v>4978</v>
      </c>
      <c r="BK972" t="s">
        <v>101</v>
      </c>
      <c r="BL972" t="s">
        <v>4979</v>
      </c>
      <c r="BM972" t="s">
        <v>18462</v>
      </c>
      <c r="BN972">
        <v>28392090</v>
      </c>
      <c r="BO972" t="s">
        <v>74</v>
      </c>
      <c r="BP972" t="s">
        <v>74</v>
      </c>
      <c r="BQ972" t="s">
        <v>74</v>
      </c>
      <c r="BR972" t="s">
        <v>105</v>
      </c>
      <c r="BS972" t="s">
        <v>18463</v>
      </c>
      <c r="BT972" t="str">
        <f>HYPERLINK("https%3A%2F%2Fwww.webofscience.com%2Fwos%2Fwoscc%2Ffull-record%2FWOS:000403511000035","View Full Record in Web of Science")</f>
        <v>View Full Record in Web of Science</v>
      </c>
    </row>
    <row r="973" spans="1:72" x14ac:dyDescent="0.15">
      <c r="A973" t="s">
        <v>72</v>
      </c>
      <c r="B973" t="s">
        <v>18464</v>
      </c>
      <c r="C973" t="s">
        <v>74</v>
      </c>
      <c r="D973" t="s">
        <v>74</v>
      </c>
      <c r="E973" t="s">
        <v>74</v>
      </c>
      <c r="F973" t="s">
        <v>18465</v>
      </c>
      <c r="G973" t="s">
        <v>74</v>
      </c>
      <c r="H973" t="s">
        <v>74</v>
      </c>
      <c r="I973" t="s">
        <v>18466</v>
      </c>
      <c r="J973" t="s">
        <v>3351</v>
      </c>
      <c r="K973" t="s">
        <v>74</v>
      </c>
      <c r="L973" t="s">
        <v>74</v>
      </c>
      <c r="M973" t="s">
        <v>78</v>
      </c>
      <c r="N973" t="s">
        <v>79</v>
      </c>
      <c r="O973" t="s">
        <v>74</v>
      </c>
      <c r="P973" t="s">
        <v>74</v>
      </c>
      <c r="Q973" t="s">
        <v>74</v>
      </c>
      <c r="R973" t="s">
        <v>74</v>
      </c>
      <c r="S973" t="s">
        <v>74</v>
      </c>
      <c r="T973" t="s">
        <v>18467</v>
      </c>
      <c r="U973" t="s">
        <v>18468</v>
      </c>
      <c r="V973" t="s">
        <v>18469</v>
      </c>
      <c r="W973" t="s">
        <v>18470</v>
      </c>
      <c r="X973" t="s">
        <v>18471</v>
      </c>
      <c r="Y973" t="s">
        <v>18472</v>
      </c>
      <c r="Z973" t="s">
        <v>18473</v>
      </c>
      <c r="AA973" t="s">
        <v>18474</v>
      </c>
      <c r="AB973" t="s">
        <v>18475</v>
      </c>
      <c r="AC973" t="s">
        <v>18476</v>
      </c>
      <c r="AD973" t="s">
        <v>18477</v>
      </c>
      <c r="AE973" t="s">
        <v>18478</v>
      </c>
      <c r="AF973" t="s">
        <v>74</v>
      </c>
      <c r="AG973">
        <v>58</v>
      </c>
      <c r="AH973">
        <v>4</v>
      </c>
      <c r="AI973">
        <v>5</v>
      </c>
      <c r="AJ973">
        <v>0</v>
      </c>
      <c r="AK973">
        <v>35</v>
      </c>
      <c r="AL973" t="s">
        <v>18479</v>
      </c>
      <c r="AM973" t="s">
        <v>286</v>
      </c>
      <c r="AN973" t="s">
        <v>18480</v>
      </c>
      <c r="AO973" t="s">
        <v>3366</v>
      </c>
      <c r="AP973" t="s">
        <v>3367</v>
      </c>
      <c r="AQ973" t="s">
        <v>74</v>
      </c>
      <c r="AR973" t="s">
        <v>3368</v>
      </c>
      <c r="AS973" t="s">
        <v>3369</v>
      </c>
      <c r="AT973" t="s">
        <v>18410</v>
      </c>
      <c r="AU973">
        <v>2017</v>
      </c>
      <c r="AV973">
        <v>220</v>
      </c>
      <c r="AW973">
        <v>12</v>
      </c>
      <c r="AX973" t="s">
        <v>74</v>
      </c>
      <c r="AY973" t="s">
        <v>74</v>
      </c>
      <c r="AZ973" t="s">
        <v>74</v>
      </c>
      <c r="BA973" t="s">
        <v>74</v>
      </c>
      <c r="BB973">
        <v>2265</v>
      </c>
      <c r="BC973">
        <v>2276</v>
      </c>
      <c r="BD973" t="s">
        <v>74</v>
      </c>
      <c r="BE973" t="s">
        <v>18481</v>
      </c>
      <c r="BF973" t="str">
        <f>HYPERLINK("http://dx.doi.org/10.1242/jeb.151530","http://dx.doi.org/10.1242/jeb.151530")</f>
        <v>http://dx.doi.org/10.1242/jeb.151530</v>
      </c>
      <c r="BG973" t="s">
        <v>74</v>
      </c>
      <c r="BH973" t="s">
        <v>74</v>
      </c>
      <c r="BI973">
        <v>12</v>
      </c>
      <c r="BJ973" t="s">
        <v>239</v>
      </c>
      <c r="BK973" t="s">
        <v>101</v>
      </c>
      <c r="BL973" t="s">
        <v>240</v>
      </c>
      <c r="BM973" t="s">
        <v>18482</v>
      </c>
      <c r="BN973">
        <v>28396354</v>
      </c>
      <c r="BO973" t="s">
        <v>511</v>
      </c>
      <c r="BP973" t="s">
        <v>74</v>
      </c>
      <c r="BQ973" t="s">
        <v>74</v>
      </c>
      <c r="BR973" t="s">
        <v>105</v>
      </c>
      <c r="BS973" t="s">
        <v>18483</v>
      </c>
      <c r="BT973" t="str">
        <f>HYPERLINK("https%3A%2F%2Fwww.webofscience.com%2Fwos%2Fwoscc%2Ffull-record%2FWOS:000403337600023","View Full Record in Web of Science")</f>
        <v>View Full Record in Web of Science</v>
      </c>
    </row>
    <row r="974" spans="1:72" x14ac:dyDescent="0.15">
      <c r="A974" t="s">
        <v>72</v>
      </c>
      <c r="B974" t="s">
        <v>18484</v>
      </c>
      <c r="C974" t="s">
        <v>74</v>
      </c>
      <c r="D974" t="s">
        <v>74</v>
      </c>
      <c r="E974" t="s">
        <v>74</v>
      </c>
      <c r="F974" t="s">
        <v>18485</v>
      </c>
      <c r="G974" t="s">
        <v>74</v>
      </c>
      <c r="H974" t="s">
        <v>74</v>
      </c>
      <c r="I974" t="s">
        <v>18486</v>
      </c>
      <c r="J974" t="s">
        <v>953</v>
      </c>
      <c r="K974" t="s">
        <v>74</v>
      </c>
      <c r="L974" t="s">
        <v>74</v>
      </c>
      <c r="M974" t="s">
        <v>78</v>
      </c>
      <c r="N974" t="s">
        <v>79</v>
      </c>
      <c r="O974" t="s">
        <v>74</v>
      </c>
      <c r="P974" t="s">
        <v>74</v>
      </c>
      <c r="Q974" t="s">
        <v>74</v>
      </c>
      <c r="R974" t="s">
        <v>74</v>
      </c>
      <c r="S974" t="s">
        <v>74</v>
      </c>
      <c r="T974" t="s">
        <v>74</v>
      </c>
      <c r="U974" t="s">
        <v>18487</v>
      </c>
      <c r="V974" t="s">
        <v>18488</v>
      </c>
      <c r="W974" t="s">
        <v>18489</v>
      </c>
      <c r="X974" t="s">
        <v>18490</v>
      </c>
      <c r="Y974" t="s">
        <v>18491</v>
      </c>
      <c r="Z974" t="s">
        <v>18492</v>
      </c>
      <c r="AA974" t="s">
        <v>18493</v>
      </c>
      <c r="AB974" t="s">
        <v>18494</v>
      </c>
      <c r="AC974" t="s">
        <v>18495</v>
      </c>
      <c r="AD974" t="s">
        <v>18496</v>
      </c>
      <c r="AE974" t="s">
        <v>18497</v>
      </c>
      <c r="AF974" t="s">
        <v>74</v>
      </c>
      <c r="AG974">
        <v>62</v>
      </c>
      <c r="AH974">
        <v>108</v>
      </c>
      <c r="AI974">
        <v>115</v>
      </c>
      <c r="AJ974">
        <v>2</v>
      </c>
      <c r="AK974">
        <v>33</v>
      </c>
      <c r="AL974" t="s">
        <v>181</v>
      </c>
      <c r="AM974" t="s">
        <v>182</v>
      </c>
      <c r="AN974" t="s">
        <v>183</v>
      </c>
      <c r="AO974" t="s">
        <v>965</v>
      </c>
      <c r="AP974" t="s">
        <v>74</v>
      </c>
      <c r="AQ974" t="s">
        <v>74</v>
      </c>
      <c r="AR974" t="s">
        <v>966</v>
      </c>
      <c r="AS974" t="s">
        <v>967</v>
      </c>
      <c r="AT974" t="s">
        <v>18410</v>
      </c>
      <c r="AU974">
        <v>2017</v>
      </c>
      <c r="AV974">
        <v>8</v>
      </c>
      <c r="AW974" t="s">
        <v>74</v>
      </c>
      <c r="AX974" t="s">
        <v>74</v>
      </c>
      <c r="AY974" t="s">
        <v>74</v>
      </c>
      <c r="AZ974" t="s">
        <v>74</v>
      </c>
      <c r="BA974" t="s">
        <v>74</v>
      </c>
      <c r="BB974" t="s">
        <v>74</v>
      </c>
      <c r="BC974" t="s">
        <v>74</v>
      </c>
      <c r="BD974">
        <v>15799</v>
      </c>
      <c r="BE974" t="s">
        <v>18498</v>
      </c>
      <c r="BF974" t="str">
        <f>HYPERLINK("http://dx.doi.org/10.1038/ncomms15799","http://dx.doi.org/10.1038/ncomms15799")</f>
        <v>http://dx.doi.org/10.1038/ncomms15799</v>
      </c>
      <c r="BG974" t="s">
        <v>74</v>
      </c>
      <c r="BH974" t="s">
        <v>74</v>
      </c>
      <c r="BI974">
        <v>10</v>
      </c>
      <c r="BJ974" t="s">
        <v>190</v>
      </c>
      <c r="BK974" t="s">
        <v>101</v>
      </c>
      <c r="BL974" t="s">
        <v>191</v>
      </c>
      <c r="BM974" t="s">
        <v>18499</v>
      </c>
      <c r="BN974">
        <v>28643801</v>
      </c>
      <c r="BO974" t="s">
        <v>658</v>
      </c>
      <c r="BP974" t="s">
        <v>74</v>
      </c>
      <c r="BQ974" t="s">
        <v>74</v>
      </c>
      <c r="BR974" t="s">
        <v>105</v>
      </c>
      <c r="BS974" t="s">
        <v>18500</v>
      </c>
      <c r="BT974" t="str">
        <f>HYPERLINK("https%3A%2F%2Fwww.webofscience.com%2Fwos%2Fwoscc%2Ffull-record%2FWOS:000403316800001","View Full Record in Web of Science")</f>
        <v>View Full Record in Web of Science</v>
      </c>
    </row>
    <row r="975" spans="1:72" x14ac:dyDescent="0.15">
      <c r="A975" t="s">
        <v>72</v>
      </c>
      <c r="B975" t="s">
        <v>18501</v>
      </c>
      <c r="C975" t="s">
        <v>74</v>
      </c>
      <c r="D975" t="s">
        <v>74</v>
      </c>
      <c r="E975" t="s">
        <v>74</v>
      </c>
      <c r="F975" t="s">
        <v>18502</v>
      </c>
      <c r="G975" t="s">
        <v>74</v>
      </c>
      <c r="H975" t="s">
        <v>74</v>
      </c>
      <c r="I975" t="s">
        <v>18503</v>
      </c>
      <c r="J975" t="s">
        <v>16468</v>
      </c>
      <c r="K975" t="s">
        <v>74</v>
      </c>
      <c r="L975" t="s">
        <v>74</v>
      </c>
      <c r="M975" t="s">
        <v>78</v>
      </c>
      <c r="N975" t="s">
        <v>79</v>
      </c>
      <c r="O975" t="s">
        <v>74</v>
      </c>
      <c r="P975" t="s">
        <v>74</v>
      </c>
      <c r="Q975" t="s">
        <v>74</v>
      </c>
      <c r="R975" t="s">
        <v>74</v>
      </c>
      <c r="S975" t="s">
        <v>74</v>
      </c>
      <c r="T975" t="s">
        <v>18504</v>
      </c>
      <c r="U975" t="s">
        <v>18505</v>
      </c>
      <c r="V975" t="s">
        <v>18506</v>
      </c>
      <c r="W975" t="s">
        <v>18507</v>
      </c>
      <c r="X975" t="s">
        <v>18508</v>
      </c>
      <c r="Y975" t="s">
        <v>18509</v>
      </c>
      <c r="Z975" t="s">
        <v>16475</v>
      </c>
      <c r="AA975" t="s">
        <v>74</v>
      </c>
      <c r="AB975" t="s">
        <v>16476</v>
      </c>
      <c r="AC975" t="s">
        <v>16477</v>
      </c>
      <c r="AD975" t="s">
        <v>16477</v>
      </c>
      <c r="AE975" t="s">
        <v>18510</v>
      </c>
      <c r="AF975" t="s">
        <v>74</v>
      </c>
      <c r="AG975">
        <v>43</v>
      </c>
      <c r="AH975">
        <v>2</v>
      </c>
      <c r="AI975">
        <v>2</v>
      </c>
      <c r="AJ975">
        <v>1</v>
      </c>
      <c r="AK975">
        <v>8</v>
      </c>
      <c r="AL975" t="s">
        <v>728</v>
      </c>
      <c r="AM975" t="s">
        <v>729</v>
      </c>
      <c r="AN975" t="s">
        <v>730</v>
      </c>
      <c r="AO975" t="s">
        <v>16479</v>
      </c>
      <c r="AP975" t="s">
        <v>16480</v>
      </c>
      <c r="AQ975" t="s">
        <v>74</v>
      </c>
      <c r="AR975" t="s">
        <v>16481</v>
      </c>
      <c r="AS975" t="s">
        <v>16482</v>
      </c>
      <c r="AT975" t="s">
        <v>18410</v>
      </c>
      <c r="AU975">
        <v>2017</v>
      </c>
      <c r="AV975">
        <v>142</v>
      </c>
      <c r="AW975" t="s">
        <v>74</v>
      </c>
      <c r="AX975" t="s">
        <v>74</v>
      </c>
      <c r="AY975" t="s">
        <v>74</v>
      </c>
      <c r="AZ975" t="s">
        <v>74</v>
      </c>
      <c r="BA975" t="s">
        <v>74</v>
      </c>
      <c r="BB975">
        <v>98</v>
      </c>
      <c r="BC975">
        <v>110</v>
      </c>
      <c r="BD975" t="s">
        <v>74</v>
      </c>
      <c r="BE975" t="s">
        <v>18511</v>
      </c>
      <c r="BF975" t="str">
        <f>HYPERLINK("http://dx.doi.org/10.1016/j.ocecoaman.2017.03.025","http://dx.doi.org/10.1016/j.ocecoaman.2017.03.025")</f>
        <v>http://dx.doi.org/10.1016/j.ocecoaman.2017.03.025</v>
      </c>
      <c r="BG975" t="s">
        <v>74</v>
      </c>
      <c r="BH975" t="s">
        <v>74</v>
      </c>
      <c r="BI975">
        <v>13</v>
      </c>
      <c r="BJ975" t="s">
        <v>16484</v>
      </c>
      <c r="BK975" t="s">
        <v>101</v>
      </c>
      <c r="BL975" t="s">
        <v>16484</v>
      </c>
      <c r="BM975" t="s">
        <v>18512</v>
      </c>
      <c r="BN975" t="s">
        <v>74</v>
      </c>
      <c r="BO975" t="s">
        <v>74</v>
      </c>
      <c r="BP975" t="s">
        <v>74</v>
      </c>
      <c r="BQ975" t="s">
        <v>74</v>
      </c>
      <c r="BR975" t="s">
        <v>105</v>
      </c>
      <c r="BS975" t="s">
        <v>18513</v>
      </c>
      <c r="BT975" t="str">
        <f>HYPERLINK("https%3A%2F%2Fwww.webofscience.com%2Fwos%2Fwoscc%2Ffull-record%2FWOS:000401390600009","View Full Record in Web of Science")</f>
        <v>View Full Record in Web of Science</v>
      </c>
    </row>
    <row r="976" spans="1:72" x14ac:dyDescent="0.15">
      <c r="A976" t="s">
        <v>72</v>
      </c>
      <c r="B976" t="s">
        <v>18514</v>
      </c>
      <c r="C976" t="s">
        <v>74</v>
      </c>
      <c r="D976" t="s">
        <v>74</v>
      </c>
      <c r="E976" t="s">
        <v>74</v>
      </c>
      <c r="F976" t="s">
        <v>18515</v>
      </c>
      <c r="G976" t="s">
        <v>74</v>
      </c>
      <c r="H976" t="s">
        <v>74</v>
      </c>
      <c r="I976" t="s">
        <v>18516</v>
      </c>
      <c r="J976" t="s">
        <v>299</v>
      </c>
      <c r="K976" t="s">
        <v>74</v>
      </c>
      <c r="L976" t="s">
        <v>74</v>
      </c>
      <c r="M976" t="s">
        <v>78</v>
      </c>
      <c r="N976" t="s">
        <v>79</v>
      </c>
      <c r="O976" t="s">
        <v>74</v>
      </c>
      <c r="P976" t="s">
        <v>74</v>
      </c>
      <c r="Q976" t="s">
        <v>74</v>
      </c>
      <c r="R976" t="s">
        <v>74</v>
      </c>
      <c r="S976" t="s">
        <v>74</v>
      </c>
      <c r="T976" t="s">
        <v>74</v>
      </c>
      <c r="U976" t="s">
        <v>18517</v>
      </c>
      <c r="V976" t="s">
        <v>18518</v>
      </c>
      <c r="W976" t="s">
        <v>18519</v>
      </c>
      <c r="X976" t="s">
        <v>18520</v>
      </c>
      <c r="Y976" t="s">
        <v>18521</v>
      </c>
      <c r="Z976" t="s">
        <v>18522</v>
      </c>
      <c r="AA976" t="s">
        <v>18523</v>
      </c>
      <c r="AB976" t="s">
        <v>18524</v>
      </c>
      <c r="AC976" t="s">
        <v>74</v>
      </c>
      <c r="AD976" t="s">
        <v>74</v>
      </c>
      <c r="AE976" t="s">
        <v>74</v>
      </c>
      <c r="AF976" t="s">
        <v>74</v>
      </c>
      <c r="AG976">
        <v>55</v>
      </c>
      <c r="AH976">
        <v>9</v>
      </c>
      <c r="AI976">
        <v>9</v>
      </c>
      <c r="AJ976">
        <v>0</v>
      </c>
      <c r="AK976">
        <v>10</v>
      </c>
      <c r="AL976" t="s">
        <v>311</v>
      </c>
      <c r="AM976" t="s">
        <v>312</v>
      </c>
      <c r="AN976" t="s">
        <v>313</v>
      </c>
      <c r="AO976" t="s">
        <v>314</v>
      </c>
      <c r="AP976" t="s">
        <v>315</v>
      </c>
      <c r="AQ976" t="s">
        <v>74</v>
      </c>
      <c r="AR976" t="s">
        <v>299</v>
      </c>
      <c r="AS976" t="s">
        <v>316</v>
      </c>
      <c r="AT976" t="s">
        <v>18525</v>
      </c>
      <c r="AU976">
        <v>2017</v>
      </c>
      <c r="AV976">
        <v>11</v>
      </c>
      <c r="AW976">
        <v>3</v>
      </c>
      <c r="AX976" t="s">
        <v>74</v>
      </c>
      <c r="AY976" t="s">
        <v>74</v>
      </c>
      <c r="AZ976" t="s">
        <v>74</v>
      </c>
      <c r="BA976" t="s">
        <v>74</v>
      </c>
      <c r="BB976">
        <v>1387</v>
      </c>
      <c r="BC976">
        <v>1402</v>
      </c>
      <c r="BD976" t="s">
        <v>74</v>
      </c>
      <c r="BE976" t="s">
        <v>18526</v>
      </c>
      <c r="BF976" t="str">
        <f>HYPERLINK("http://dx.doi.org/10.5194/tc-11-1387-2017","http://dx.doi.org/10.5194/tc-11-1387-2017")</f>
        <v>http://dx.doi.org/10.5194/tc-11-1387-2017</v>
      </c>
      <c r="BG976" t="s">
        <v>74</v>
      </c>
      <c r="BH976" t="s">
        <v>74</v>
      </c>
      <c r="BI976">
        <v>16</v>
      </c>
      <c r="BJ976" t="s">
        <v>319</v>
      </c>
      <c r="BK976" t="s">
        <v>101</v>
      </c>
      <c r="BL976" t="s">
        <v>320</v>
      </c>
      <c r="BM976" t="s">
        <v>18527</v>
      </c>
      <c r="BN976" t="s">
        <v>74</v>
      </c>
      <c r="BO976" t="s">
        <v>322</v>
      </c>
      <c r="BP976" t="s">
        <v>74</v>
      </c>
      <c r="BQ976" t="s">
        <v>74</v>
      </c>
      <c r="BR976" t="s">
        <v>105</v>
      </c>
      <c r="BS976" t="s">
        <v>18528</v>
      </c>
      <c r="BT976" t="str">
        <f>HYPERLINK("https%3A%2F%2Fwww.webofscience.com%2Fwos%2Fwoscc%2Ffull-record%2FWOS:000403235400001","View Full Record in Web of Science")</f>
        <v>View Full Record in Web of Science</v>
      </c>
    </row>
    <row r="977" spans="1:72" x14ac:dyDescent="0.15">
      <c r="A977" t="s">
        <v>72</v>
      </c>
      <c r="B977" t="s">
        <v>18529</v>
      </c>
      <c r="C977" t="s">
        <v>74</v>
      </c>
      <c r="D977" t="s">
        <v>74</v>
      </c>
      <c r="E977" t="s">
        <v>74</v>
      </c>
      <c r="F977" t="s">
        <v>18530</v>
      </c>
      <c r="G977" t="s">
        <v>74</v>
      </c>
      <c r="H977" t="s">
        <v>74</v>
      </c>
      <c r="I977" t="s">
        <v>18531</v>
      </c>
      <c r="J977" t="s">
        <v>9875</v>
      </c>
      <c r="K977" t="s">
        <v>74</v>
      </c>
      <c r="L977" t="s">
        <v>74</v>
      </c>
      <c r="M977" t="s">
        <v>78</v>
      </c>
      <c r="N977" t="s">
        <v>79</v>
      </c>
      <c r="O977" t="s">
        <v>74</v>
      </c>
      <c r="P977" t="s">
        <v>74</v>
      </c>
      <c r="Q977" t="s">
        <v>74</v>
      </c>
      <c r="R977" t="s">
        <v>74</v>
      </c>
      <c r="S977" t="s">
        <v>74</v>
      </c>
      <c r="T977" t="s">
        <v>18532</v>
      </c>
      <c r="U977" t="s">
        <v>18533</v>
      </c>
      <c r="V977" t="s">
        <v>18534</v>
      </c>
      <c r="W977" t="s">
        <v>18535</v>
      </c>
      <c r="X977" t="s">
        <v>18536</v>
      </c>
      <c r="Y977" t="s">
        <v>18537</v>
      </c>
      <c r="Z977" t="s">
        <v>18538</v>
      </c>
      <c r="AA977" t="s">
        <v>18539</v>
      </c>
      <c r="AB977" t="s">
        <v>18540</v>
      </c>
      <c r="AC977" t="s">
        <v>18541</v>
      </c>
      <c r="AD977" t="s">
        <v>18542</v>
      </c>
      <c r="AE977" t="s">
        <v>18543</v>
      </c>
      <c r="AF977" t="s">
        <v>74</v>
      </c>
      <c r="AG977">
        <v>34</v>
      </c>
      <c r="AH977">
        <v>36</v>
      </c>
      <c r="AI977">
        <v>38</v>
      </c>
      <c r="AJ977">
        <v>2</v>
      </c>
      <c r="AK977">
        <v>41</v>
      </c>
      <c r="AL977" t="s">
        <v>1809</v>
      </c>
      <c r="AM977" t="s">
        <v>182</v>
      </c>
      <c r="AN977" t="s">
        <v>1810</v>
      </c>
      <c r="AO977" t="s">
        <v>9888</v>
      </c>
      <c r="AP977" t="s">
        <v>9889</v>
      </c>
      <c r="AQ977" t="s">
        <v>74</v>
      </c>
      <c r="AR977" t="s">
        <v>9890</v>
      </c>
      <c r="AS977" t="s">
        <v>9891</v>
      </c>
      <c r="AT977" t="s">
        <v>18525</v>
      </c>
      <c r="AU977">
        <v>2017</v>
      </c>
      <c r="AV977">
        <v>284</v>
      </c>
      <c r="AW977">
        <v>1856</v>
      </c>
      <c r="AX977" t="s">
        <v>74</v>
      </c>
      <c r="AY977" t="s">
        <v>74</v>
      </c>
      <c r="AZ977" t="s">
        <v>74</v>
      </c>
      <c r="BA977" t="s">
        <v>74</v>
      </c>
      <c r="BB977" t="s">
        <v>74</v>
      </c>
      <c r="BC977" t="s">
        <v>74</v>
      </c>
      <c r="BD977">
        <v>20170484</v>
      </c>
      <c r="BE977" t="s">
        <v>18544</v>
      </c>
      <c r="BF977" t="str">
        <f>HYPERLINK("http://dx.doi.org/10.1098/rspb.2017.0484","http://dx.doi.org/10.1098/rspb.2017.0484")</f>
        <v>http://dx.doi.org/10.1098/rspb.2017.0484</v>
      </c>
      <c r="BG977" t="s">
        <v>74</v>
      </c>
      <c r="BH977" t="s">
        <v>74</v>
      </c>
      <c r="BI977">
        <v>7</v>
      </c>
      <c r="BJ977" t="s">
        <v>1817</v>
      </c>
      <c r="BK977" t="s">
        <v>101</v>
      </c>
      <c r="BL977" t="s">
        <v>1818</v>
      </c>
      <c r="BM977" t="s">
        <v>18545</v>
      </c>
      <c r="BN977">
        <v>28592671</v>
      </c>
      <c r="BO977" t="s">
        <v>1170</v>
      </c>
      <c r="BP977" t="s">
        <v>74</v>
      </c>
      <c r="BQ977" t="s">
        <v>74</v>
      </c>
      <c r="BR977" t="s">
        <v>105</v>
      </c>
      <c r="BS977" t="s">
        <v>18546</v>
      </c>
      <c r="BT977" t="str">
        <f>HYPERLINK("https%3A%2F%2Fwww.webofscience.com%2Fwos%2Fwoscc%2Ffull-record%2FWOS:000405955300012","View Full Record in Web of Science")</f>
        <v>View Full Record in Web of Science</v>
      </c>
    </row>
    <row r="978" spans="1:72" x14ac:dyDescent="0.15">
      <c r="A978" t="s">
        <v>72</v>
      </c>
      <c r="B978" t="s">
        <v>18547</v>
      </c>
      <c r="C978" t="s">
        <v>74</v>
      </c>
      <c r="D978" t="s">
        <v>74</v>
      </c>
      <c r="E978" t="s">
        <v>74</v>
      </c>
      <c r="F978" t="s">
        <v>18548</v>
      </c>
      <c r="G978" t="s">
        <v>74</v>
      </c>
      <c r="H978" t="s">
        <v>74</v>
      </c>
      <c r="I978" t="s">
        <v>18549</v>
      </c>
      <c r="J978" t="s">
        <v>817</v>
      </c>
      <c r="K978" t="s">
        <v>74</v>
      </c>
      <c r="L978" t="s">
        <v>74</v>
      </c>
      <c r="M978" t="s">
        <v>78</v>
      </c>
      <c r="N978" t="s">
        <v>79</v>
      </c>
      <c r="O978" t="s">
        <v>74</v>
      </c>
      <c r="P978" t="s">
        <v>74</v>
      </c>
      <c r="Q978" t="s">
        <v>74</v>
      </c>
      <c r="R978" t="s">
        <v>74</v>
      </c>
      <c r="S978" t="s">
        <v>74</v>
      </c>
      <c r="T978" t="s">
        <v>74</v>
      </c>
      <c r="U978" t="s">
        <v>18550</v>
      </c>
      <c r="V978" t="s">
        <v>18551</v>
      </c>
      <c r="W978" t="s">
        <v>18552</v>
      </c>
      <c r="X978" t="s">
        <v>18553</v>
      </c>
      <c r="Y978" t="s">
        <v>18554</v>
      </c>
      <c r="Z978" t="s">
        <v>18555</v>
      </c>
      <c r="AA978" t="s">
        <v>18556</v>
      </c>
      <c r="AB978" t="s">
        <v>18557</v>
      </c>
      <c r="AC978" t="s">
        <v>18558</v>
      </c>
      <c r="AD978" t="s">
        <v>18559</v>
      </c>
      <c r="AE978" t="s">
        <v>18560</v>
      </c>
      <c r="AF978" t="s">
        <v>74</v>
      </c>
      <c r="AG978">
        <v>157</v>
      </c>
      <c r="AH978">
        <v>23</v>
      </c>
      <c r="AI978">
        <v>23</v>
      </c>
      <c r="AJ978">
        <v>10</v>
      </c>
      <c r="AK978">
        <v>70</v>
      </c>
      <c r="AL978" t="s">
        <v>311</v>
      </c>
      <c r="AM978" t="s">
        <v>312</v>
      </c>
      <c r="AN978" t="s">
        <v>313</v>
      </c>
      <c r="AO978" t="s">
        <v>829</v>
      </c>
      <c r="AP978" t="s">
        <v>830</v>
      </c>
      <c r="AQ978" t="s">
        <v>74</v>
      </c>
      <c r="AR978" t="s">
        <v>831</v>
      </c>
      <c r="AS978" t="s">
        <v>832</v>
      </c>
      <c r="AT978" t="s">
        <v>18561</v>
      </c>
      <c r="AU978">
        <v>2017</v>
      </c>
      <c r="AV978">
        <v>17</v>
      </c>
      <c r="AW978">
        <v>11</v>
      </c>
      <c r="AX978" t="s">
        <v>74</v>
      </c>
      <c r="AY978" t="s">
        <v>74</v>
      </c>
      <c r="AZ978" t="s">
        <v>74</v>
      </c>
      <c r="BA978" t="s">
        <v>74</v>
      </c>
      <c r="BB978">
        <v>6925</v>
      </c>
      <c r="BC978">
        <v>6955</v>
      </c>
      <c r="BD978" t="s">
        <v>74</v>
      </c>
      <c r="BE978" t="s">
        <v>18562</v>
      </c>
      <c r="BF978" t="str">
        <f>HYPERLINK("http://dx.doi.org/10.5194/acp-17-6925-2017","http://dx.doi.org/10.5194/acp-17-6925-2017")</f>
        <v>http://dx.doi.org/10.5194/acp-17-6925-2017</v>
      </c>
      <c r="BG978" t="s">
        <v>74</v>
      </c>
      <c r="BH978" t="s">
        <v>74</v>
      </c>
      <c r="BI978">
        <v>31</v>
      </c>
      <c r="BJ978" t="s">
        <v>834</v>
      </c>
      <c r="BK978" t="s">
        <v>101</v>
      </c>
      <c r="BL978" t="s">
        <v>835</v>
      </c>
      <c r="BM978" t="s">
        <v>18563</v>
      </c>
      <c r="BN978" t="s">
        <v>74</v>
      </c>
      <c r="BO978" t="s">
        <v>5114</v>
      </c>
      <c r="BP978" t="s">
        <v>74</v>
      </c>
      <c r="BQ978" t="s">
        <v>74</v>
      </c>
      <c r="BR978" t="s">
        <v>105</v>
      </c>
      <c r="BS978" t="s">
        <v>18564</v>
      </c>
      <c r="BT978" t="str">
        <f>HYPERLINK("https%3A%2F%2Fwww.webofscience.com%2Fwos%2Fwoscc%2Ffull-record%2FWOS:000403218700004","View Full Record in Web of Science")</f>
        <v>View Full Record in Web of Science</v>
      </c>
    </row>
    <row r="979" spans="1:72" x14ac:dyDescent="0.15">
      <c r="A979" t="s">
        <v>72</v>
      </c>
      <c r="B979" t="s">
        <v>18565</v>
      </c>
      <c r="C979" t="s">
        <v>74</v>
      </c>
      <c r="D979" t="s">
        <v>74</v>
      </c>
      <c r="E979" t="s">
        <v>74</v>
      </c>
      <c r="F979" t="s">
        <v>18566</v>
      </c>
      <c r="G979" t="s">
        <v>74</v>
      </c>
      <c r="H979" t="s">
        <v>74</v>
      </c>
      <c r="I979" t="s">
        <v>18567</v>
      </c>
      <c r="J979" t="s">
        <v>387</v>
      </c>
      <c r="K979" t="s">
        <v>74</v>
      </c>
      <c r="L979" t="s">
        <v>74</v>
      </c>
      <c r="M979" t="s">
        <v>78</v>
      </c>
      <c r="N979" t="s">
        <v>79</v>
      </c>
      <c r="O979" t="s">
        <v>74</v>
      </c>
      <c r="P979" t="s">
        <v>74</v>
      </c>
      <c r="Q979" t="s">
        <v>74</v>
      </c>
      <c r="R979" t="s">
        <v>74</v>
      </c>
      <c r="S979" t="s">
        <v>74</v>
      </c>
      <c r="T979" t="s">
        <v>74</v>
      </c>
      <c r="U979" t="s">
        <v>18568</v>
      </c>
      <c r="V979" t="s">
        <v>18569</v>
      </c>
      <c r="W979" t="s">
        <v>18570</v>
      </c>
      <c r="X979" t="s">
        <v>18571</v>
      </c>
      <c r="Y979" t="s">
        <v>18572</v>
      </c>
      <c r="Z979" t="s">
        <v>13950</v>
      </c>
      <c r="AA979" t="s">
        <v>18573</v>
      </c>
      <c r="AB979" t="s">
        <v>18574</v>
      </c>
      <c r="AC979" t="s">
        <v>18575</v>
      </c>
      <c r="AD979" t="s">
        <v>18576</v>
      </c>
      <c r="AE979" t="s">
        <v>18577</v>
      </c>
      <c r="AF979" t="s">
        <v>74</v>
      </c>
      <c r="AG979">
        <v>68</v>
      </c>
      <c r="AH979">
        <v>5</v>
      </c>
      <c r="AI979">
        <v>5</v>
      </c>
      <c r="AJ979">
        <v>0</v>
      </c>
      <c r="AK979">
        <v>9</v>
      </c>
      <c r="AL979" t="s">
        <v>311</v>
      </c>
      <c r="AM979" t="s">
        <v>312</v>
      </c>
      <c r="AN979" t="s">
        <v>313</v>
      </c>
      <c r="AO979" t="s">
        <v>399</v>
      </c>
      <c r="AP979" t="s">
        <v>74</v>
      </c>
      <c r="AQ979" t="s">
        <v>74</v>
      </c>
      <c r="AR979" t="s">
        <v>400</v>
      </c>
      <c r="AS979" t="s">
        <v>401</v>
      </c>
      <c r="AT979" t="s">
        <v>18578</v>
      </c>
      <c r="AU979">
        <v>2017</v>
      </c>
      <c r="AV979">
        <v>24</v>
      </c>
      <c r="AW979">
        <v>2</v>
      </c>
      <c r="AX979" t="s">
        <v>74</v>
      </c>
      <c r="AY979" t="s">
        <v>74</v>
      </c>
      <c r="AZ979" t="s">
        <v>74</v>
      </c>
      <c r="BA979" t="s">
        <v>74</v>
      </c>
      <c r="BB979">
        <v>265</v>
      </c>
      <c r="BC979">
        <v>278</v>
      </c>
      <c r="BD979" t="s">
        <v>74</v>
      </c>
      <c r="BE979" t="s">
        <v>18579</v>
      </c>
      <c r="BF979" t="str">
        <f>HYPERLINK("http://dx.doi.org/10.5194/npg-24-265-2017","http://dx.doi.org/10.5194/npg-24-265-2017")</f>
        <v>http://dx.doi.org/10.5194/npg-24-265-2017</v>
      </c>
      <c r="BG979" t="s">
        <v>74</v>
      </c>
      <c r="BH979" t="s">
        <v>74</v>
      </c>
      <c r="BI979">
        <v>14</v>
      </c>
      <c r="BJ979" t="s">
        <v>403</v>
      </c>
      <c r="BK979" t="s">
        <v>101</v>
      </c>
      <c r="BL979" t="s">
        <v>404</v>
      </c>
      <c r="BM979" t="s">
        <v>18580</v>
      </c>
      <c r="BN979" t="s">
        <v>74</v>
      </c>
      <c r="BO979" t="s">
        <v>1131</v>
      </c>
      <c r="BP979" t="s">
        <v>74</v>
      </c>
      <c r="BQ979" t="s">
        <v>74</v>
      </c>
      <c r="BR979" t="s">
        <v>105</v>
      </c>
      <c r="BS979" t="s">
        <v>18581</v>
      </c>
      <c r="BT979" t="str">
        <f>HYPERLINK("https%3A%2F%2Fwww.webofscience.com%2Fwos%2Fwoscc%2Ffull-record%2FWOS:000403234800001","View Full Record in Web of Science")</f>
        <v>View Full Record in Web of Science</v>
      </c>
    </row>
    <row r="980" spans="1:72" x14ac:dyDescent="0.15">
      <c r="A980" t="s">
        <v>72</v>
      </c>
      <c r="B980" t="s">
        <v>18582</v>
      </c>
      <c r="C980" t="s">
        <v>74</v>
      </c>
      <c r="D980" t="s">
        <v>74</v>
      </c>
      <c r="E980" t="s">
        <v>74</v>
      </c>
      <c r="F980" t="s">
        <v>18583</v>
      </c>
      <c r="G980" t="s">
        <v>74</v>
      </c>
      <c r="H980" t="s">
        <v>74</v>
      </c>
      <c r="I980" t="s">
        <v>18584</v>
      </c>
      <c r="J980" t="s">
        <v>953</v>
      </c>
      <c r="K980" t="s">
        <v>74</v>
      </c>
      <c r="L980" t="s">
        <v>74</v>
      </c>
      <c r="M980" t="s">
        <v>78</v>
      </c>
      <c r="N980" t="s">
        <v>79</v>
      </c>
      <c r="O980" t="s">
        <v>74</v>
      </c>
      <c r="P980" t="s">
        <v>74</v>
      </c>
      <c r="Q980" t="s">
        <v>74</v>
      </c>
      <c r="R980" t="s">
        <v>74</v>
      </c>
      <c r="S980" t="s">
        <v>74</v>
      </c>
      <c r="T980" t="s">
        <v>74</v>
      </c>
      <c r="U980" t="s">
        <v>18585</v>
      </c>
      <c r="V980" t="s">
        <v>18586</v>
      </c>
      <c r="W980" t="s">
        <v>18587</v>
      </c>
      <c r="X980" t="s">
        <v>18588</v>
      </c>
      <c r="Y980" t="s">
        <v>18589</v>
      </c>
      <c r="Z980" t="s">
        <v>18590</v>
      </c>
      <c r="AA980" t="s">
        <v>18591</v>
      </c>
      <c r="AB980" t="s">
        <v>18592</v>
      </c>
      <c r="AC980" t="s">
        <v>18593</v>
      </c>
      <c r="AD980" t="s">
        <v>18594</v>
      </c>
      <c r="AE980" t="s">
        <v>18595</v>
      </c>
      <c r="AF980" t="s">
        <v>74</v>
      </c>
      <c r="AG980">
        <v>71</v>
      </c>
      <c r="AH980">
        <v>19</v>
      </c>
      <c r="AI980">
        <v>21</v>
      </c>
      <c r="AJ980">
        <v>0</v>
      </c>
      <c r="AK980">
        <v>23</v>
      </c>
      <c r="AL980" t="s">
        <v>181</v>
      </c>
      <c r="AM980" t="s">
        <v>182</v>
      </c>
      <c r="AN980" t="s">
        <v>183</v>
      </c>
      <c r="AO980" t="s">
        <v>965</v>
      </c>
      <c r="AP980" t="s">
        <v>74</v>
      </c>
      <c r="AQ980" t="s">
        <v>74</v>
      </c>
      <c r="AR980" t="s">
        <v>966</v>
      </c>
      <c r="AS980" t="s">
        <v>967</v>
      </c>
      <c r="AT980" t="s">
        <v>18578</v>
      </c>
      <c r="AU980">
        <v>2017</v>
      </c>
      <c r="AV980">
        <v>8</v>
      </c>
      <c r="AW980" t="s">
        <v>74</v>
      </c>
      <c r="AX980" t="s">
        <v>74</v>
      </c>
      <c r="AY980" t="s">
        <v>74</v>
      </c>
      <c r="AZ980" t="s">
        <v>74</v>
      </c>
      <c r="BA980" t="s">
        <v>74</v>
      </c>
      <c r="BB980" t="s">
        <v>74</v>
      </c>
      <c r="BC980" t="s">
        <v>74</v>
      </c>
      <c r="BD980">
        <v>15425</v>
      </c>
      <c r="BE980" t="s">
        <v>18596</v>
      </c>
      <c r="BF980" t="str">
        <f>HYPERLINK("http://dx.doi.org/10.1038/ncomms15425","http://dx.doi.org/10.1038/ncomms15425")</f>
        <v>http://dx.doi.org/10.1038/ncomms15425</v>
      </c>
      <c r="BG980" t="s">
        <v>74</v>
      </c>
      <c r="BH980" t="s">
        <v>74</v>
      </c>
      <c r="BI980">
        <v>9</v>
      </c>
      <c r="BJ980" t="s">
        <v>190</v>
      </c>
      <c r="BK980" t="s">
        <v>101</v>
      </c>
      <c r="BL980" t="s">
        <v>191</v>
      </c>
      <c r="BM980" t="s">
        <v>18597</v>
      </c>
      <c r="BN980">
        <v>28598412</v>
      </c>
      <c r="BO980" t="s">
        <v>432</v>
      </c>
      <c r="BP980" t="s">
        <v>74</v>
      </c>
      <c r="BQ980" t="s">
        <v>74</v>
      </c>
      <c r="BR980" t="s">
        <v>105</v>
      </c>
      <c r="BS980" t="s">
        <v>18598</v>
      </c>
      <c r="BT980" t="str">
        <f>HYPERLINK("https%3A%2F%2Fwww.webofscience.com%2Fwos%2Fwoscc%2Ffull-record%2FWOS:000402960000001","View Full Record in Web of Science")</f>
        <v>View Full Record in Web of Science</v>
      </c>
    </row>
    <row r="981" spans="1:72" x14ac:dyDescent="0.15">
      <c r="A981" t="s">
        <v>72</v>
      </c>
      <c r="B981" t="s">
        <v>18599</v>
      </c>
      <c r="C981" t="s">
        <v>74</v>
      </c>
      <c r="D981" t="s">
        <v>74</v>
      </c>
      <c r="E981" t="s">
        <v>74</v>
      </c>
      <c r="F981" t="s">
        <v>18600</v>
      </c>
      <c r="G981" t="s">
        <v>74</v>
      </c>
      <c r="H981" t="s">
        <v>74</v>
      </c>
      <c r="I981" t="s">
        <v>18601</v>
      </c>
      <c r="J981" t="s">
        <v>817</v>
      </c>
      <c r="K981" t="s">
        <v>74</v>
      </c>
      <c r="L981" t="s">
        <v>74</v>
      </c>
      <c r="M981" t="s">
        <v>78</v>
      </c>
      <c r="N981" t="s">
        <v>79</v>
      </c>
      <c r="O981" t="s">
        <v>74</v>
      </c>
      <c r="P981" t="s">
        <v>74</v>
      </c>
      <c r="Q981" t="s">
        <v>74</v>
      </c>
      <c r="R981" t="s">
        <v>74</v>
      </c>
      <c r="S981" t="s">
        <v>74</v>
      </c>
      <c r="T981" t="s">
        <v>74</v>
      </c>
      <c r="U981" t="s">
        <v>18602</v>
      </c>
      <c r="V981" t="s">
        <v>18603</v>
      </c>
      <c r="W981" t="s">
        <v>18604</v>
      </c>
      <c r="X981" t="s">
        <v>18605</v>
      </c>
      <c r="Y981" t="s">
        <v>18606</v>
      </c>
      <c r="Z981" t="s">
        <v>18607</v>
      </c>
      <c r="AA981" t="s">
        <v>18608</v>
      </c>
      <c r="AB981" t="s">
        <v>18609</v>
      </c>
      <c r="AC981" t="s">
        <v>18610</v>
      </c>
      <c r="AD981" t="s">
        <v>18611</v>
      </c>
      <c r="AE981" t="s">
        <v>18612</v>
      </c>
      <c r="AF981" t="s">
        <v>74</v>
      </c>
      <c r="AG981">
        <v>143</v>
      </c>
      <c r="AH981">
        <v>9</v>
      </c>
      <c r="AI981">
        <v>13</v>
      </c>
      <c r="AJ981">
        <v>4</v>
      </c>
      <c r="AK981">
        <v>39</v>
      </c>
      <c r="AL981" t="s">
        <v>311</v>
      </c>
      <c r="AM981" t="s">
        <v>312</v>
      </c>
      <c r="AN981" t="s">
        <v>313</v>
      </c>
      <c r="AO981" t="s">
        <v>829</v>
      </c>
      <c r="AP981" t="s">
        <v>830</v>
      </c>
      <c r="AQ981" t="s">
        <v>74</v>
      </c>
      <c r="AR981" t="s">
        <v>831</v>
      </c>
      <c r="AS981" t="s">
        <v>832</v>
      </c>
      <c r="AT981" t="s">
        <v>18613</v>
      </c>
      <c r="AU981">
        <v>2017</v>
      </c>
      <c r="AV981">
        <v>17</v>
      </c>
      <c r="AW981">
        <v>11</v>
      </c>
      <c r="AX981" t="s">
        <v>74</v>
      </c>
      <c r="AY981" t="s">
        <v>74</v>
      </c>
      <c r="AZ981" t="s">
        <v>74</v>
      </c>
      <c r="BA981" t="s">
        <v>74</v>
      </c>
      <c r="BB981">
        <v>6705</v>
      </c>
      <c r="BC981">
        <v>6722</v>
      </c>
      <c r="BD981" t="s">
        <v>74</v>
      </c>
      <c r="BE981" t="s">
        <v>18614</v>
      </c>
      <c r="BF981" t="str">
        <f>HYPERLINK("http://dx.doi.org/10.5194/acp-17-6705-2017","http://dx.doi.org/10.5194/acp-17-6705-2017")</f>
        <v>http://dx.doi.org/10.5194/acp-17-6705-2017</v>
      </c>
      <c r="BG981" t="s">
        <v>74</v>
      </c>
      <c r="BH981" t="s">
        <v>74</v>
      </c>
      <c r="BI981">
        <v>18</v>
      </c>
      <c r="BJ981" t="s">
        <v>834</v>
      </c>
      <c r="BK981" t="s">
        <v>101</v>
      </c>
      <c r="BL981" t="s">
        <v>835</v>
      </c>
      <c r="BM981" t="s">
        <v>18615</v>
      </c>
      <c r="BN981" t="s">
        <v>74</v>
      </c>
      <c r="BO981" t="s">
        <v>322</v>
      </c>
      <c r="BP981" t="s">
        <v>74</v>
      </c>
      <c r="BQ981" t="s">
        <v>74</v>
      </c>
      <c r="BR981" t="s">
        <v>105</v>
      </c>
      <c r="BS981" t="s">
        <v>18616</v>
      </c>
      <c r="BT981" t="str">
        <f>HYPERLINK("https%3A%2F%2Fwww.webofscience.com%2Fwos%2Fwoscc%2Ffull-record%2FWOS:000403213500002","View Full Record in Web of Science")</f>
        <v>View Full Record in Web of Science</v>
      </c>
    </row>
    <row r="982" spans="1:72" x14ac:dyDescent="0.15">
      <c r="A982" t="s">
        <v>72</v>
      </c>
      <c r="B982" t="s">
        <v>18617</v>
      </c>
      <c r="C982" t="s">
        <v>74</v>
      </c>
      <c r="D982" t="s">
        <v>74</v>
      </c>
      <c r="E982" t="s">
        <v>74</v>
      </c>
      <c r="F982" t="s">
        <v>18618</v>
      </c>
      <c r="G982" t="s">
        <v>74</v>
      </c>
      <c r="H982" t="s">
        <v>74</v>
      </c>
      <c r="I982" t="s">
        <v>18619</v>
      </c>
      <c r="J982" t="s">
        <v>860</v>
      </c>
      <c r="K982" t="s">
        <v>74</v>
      </c>
      <c r="L982" t="s">
        <v>74</v>
      </c>
      <c r="M982" t="s">
        <v>78</v>
      </c>
      <c r="N982" t="s">
        <v>79</v>
      </c>
      <c r="O982" t="s">
        <v>74</v>
      </c>
      <c r="P982" t="s">
        <v>74</v>
      </c>
      <c r="Q982" t="s">
        <v>74</v>
      </c>
      <c r="R982" t="s">
        <v>74</v>
      </c>
      <c r="S982" t="s">
        <v>74</v>
      </c>
      <c r="T982" t="s">
        <v>74</v>
      </c>
      <c r="U982" t="s">
        <v>18620</v>
      </c>
      <c r="V982" t="s">
        <v>18621</v>
      </c>
      <c r="W982" t="s">
        <v>18622</v>
      </c>
      <c r="X982" t="s">
        <v>18623</v>
      </c>
      <c r="Y982" t="s">
        <v>18624</v>
      </c>
      <c r="Z982" t="s">
        <v>18625</v>
      </c>
      <c r="AA982" t="s">
        <v>74</v>
      </c>
      <c r="AB982" t="s">
        <v>74</v>
      </c>
      <c r="AC982" t="s">
        <v>18626</v>
      </c>
      <c r="AD982" t="s">
        <v>18627</v>
      </c>
      <c r="AE982" t="s">
        <v>18628</v>
      </c>
      <c r="AF982" t="s">
        <v>74</v>
      </c>
      <c r="AG982">
        <v>57</v>
      </c>
      <c r="AH982">
        <v>9</v>
      </c>
      <c r="AI982">
        <v>9</v>
      </c>
      <c r="AJ982">
        <v>0</v>
      </c>
      <c r="AK982">
        <v>16</v>
      </c>
      <c r="AL982" t="s">
        <v>872</v>
      </c>
      <c r="AM982" t="s">
        <v>873</v>
      </c>
      <c r="AN982" t="s">
        <v>874</v>
      </c>
      <c r="AO982" t="s">
        <v>875</v>
      </c>
      <c r="AP982" t="s">
        <v>74</v>
      </c>
      <c r="AQ982" t="s">
        <v>74</v>
      </c>
      <c r="AR982" t="s">
        <v>860</v>
      </c>
      <c r="AS982" t="s">
        <v>876</v>
      </c>
      <c r="AT982" t="s">
        <v>18629</v>
      </c>
      <c r="AU982">
        <v>2017</v>
      </c>
      <c r="AV982">
        <v>12</v>
      </c>
      <c r="AW982">
        <v>6</v>
      </c>
      <c r="AX982" t="s">
        <v>74</v>
      </c>
      <c r="AY982" t="s">
        <v>74</v>
      </c>
      <c r="AZ982" t="s">
        <v>74</v>
      </c>
      <c r="BA982" t="s">
        <v>74</v>
      </c>
      <c r="BB982" t="s">
        <v>74</v>
      </c>
      <c r="BC982" t="s">
        <v>74</v>
      </c>
      <c r="BD982" t="s">
        <v>18630</v>
      </c>
      <c r="BE982" t="s">
        <v>18631</v>
      </c>
      <c r="BF982" t="str">
        <f>HYPERLINK("http://dx.doi.org/10.1371/journal.pone.0176840","http://dx.doi.org/10.1371/journal.pone.0176840")</f>
        <v>http://dx.doi.org/10.1371/journal.pone.0176840</v>
      </c>
      <c r="BG982" t="s">
        <v>74</v>
      </c>
      <c r="BH982" t="s">
        <v>74</v>
      </c>
      <c r="BI982">
        <v>17</v>
      </c>
      <c r="BJ982" t="s">
        <v>190</v>
      </c>
      <c r="BK982" t="s">
        <v>101</v>
      </c>
      <c r="BL982" t="s">
        <v>191</v>
      </c>
      <c r="BM982" t="s">
        <v>18632</v>
      </c>
      <c r="BN982">
        <v>28591130</v>
      </c>
      <c r="BO982" t="s">
        <v>3495</v>
      </c>
      <c r="BP982" t="s">
        <v>74</v>
      </c>
      <c r="BQ982" t="s">
        <v>74</v>
      </c>
      <c r="BR982" t="s">
        <v>105</v>
      </c>
      <c r="BS982" t="s">
        <v>18633</v>
      </c>
      <c r="BT982" t="str">
        <f>HYPERLINK("https%3A%2F%2Fwww.webofscience.com%2Fwos%2Fwoscc%2Ffull-record%2FWOS:000402880700004","View Full Record in Web of Science")</f>
        <v>View Full Record in Web of Science</v>
      </c>
    </row>
    <row r="983" spans="1:72" x14ac:dyDescent="0.15">
      <c r="A983" t="s">
        <v>72</v>
      </c>
      <c r="B983" t="s">
        <v>18634</v>
      </c>
      <c r="C983" t="s">
        <v>74</v>
      </c>
      <c r="D983" t="s">
        <v>74</v>
      </c>
      <c r="E983" t="s">
        <v>74</v>
      </c>
      <c r="F983" t="s">
        <v>18635</v>
      </c>
      <c r="G983" t="s">
        <v>74</v>
      </c>
      <c r="H983" t="s">
        <v>74</v>
      </c>
      <c r="I983" t="s">
        <v>18636</v>
      </c>
      <c r="J983" t="s">
        <v>860</v>
      </c>
      <c r="K983" t="s">
        <v>74</v>
      </c>
      <c r="L983" t="s">
        <v>74</v>
      </c>
      <c r="M983" t="s">
        <v>78</v>
      </c>
      <c r="N983" t="s">
        <v>79</v>
      </c>
      <c r="O983" t="s">
        <v>74</v>
      </c>
      <c r="P983" t="s">
        <v>74</v>
      </c>
      <c r="Q983" t="s">
        <v>74</v>
      </c>
      <c r="R983" t="s">
        <v>74</v>
      </c>
      <c r="S983" t="s">
        <v>74</v>
      </c>
      <c r="T983" t="s">
        <v>74</v>
      </c>
      <c r="U983" t="s">
        <v>18637</v>
      </c>
      <c r="V983" t="s">
        <v>18638</v>
      </c>
      <c r="W983" t="s">
        <v>18639</v>
      </c>
      <c r="X983" t="s">
        <v>18640</v>
      </c>
      <c r="Y983" t="s">
        <v>18641</v>
      </c>
      <c r="Z983" t="s">
        <v>18642</v>
      </c>
      <c r="AA983" t="s">
        <v>18643</v>
      </c>
      <c r="AB983" t="s">
        <v>18644</v>
      </c>
      <c r="AC983" t="s">
        <v>18645</v>
      </c>
      <c r="AD983" t="s">
        <v>18646</v>
      </c>
      <c r="AE983" t="s">
        <v>18647</v>
      </c>
      <c r="AF983" t="s">
        <v>74</v>
      </c>
      <c r="AG983">
        <v>47</v>
      </c>
      <c r="AH983">
        <v>66</v>
      </c>
      <c r="AI983">
        <v>76</v>
      </c>
      <c r="AJ983">
        <v>4</v>
      </c>
      <c r="AK983">
        <v>77</v>
      </c>
      <c r="AL983" t="s">
        <v>872</v>
      </c>
      <c r="AM983" t="s">
        <v>873</v>
      </c>
      <c r="AN983" t="s">
        <v>874</v>
      </c>
      <c r="AO983" t="s">
        <v>875</v>
      </c>
      <c r="AP983" t="s">
        <v>74</v>
      </c>
      <c r="AQ983" t="s">
        <v>74</v>
      </c>
      <c r="AR983" t="s">
        <v>860</v>
      </c>
      <c r="AS983" t="s">
        <v>876</v>
      </c>
      <c r="AT983" t="s">
        <v>18629</v>
      </c>
      <c r="AU983">
        <v>2017</v>
      </c>
      <c r="AV983">
        <v>12</v>
      </c>
      <c r="AW983">
        <v>6</v>
      </c>
      <c r="AX983" t="s">
        <v>74</v>
      </c>
      <c r="AY983" t="s">
        <v>74</v>
      </c>
      <c r="AZ983" t="s">
        <v>74</v>
      </c>
      <c r="BA983" t="s">
        <v>74</v>
      </c>
      <c r="BB983" t="s">
        <v>74</v>
      </c>
      <c r="BC983" t="s">
        <v>74</v>
      </c>
      <c r="BD983" t="s">
        <v>18648</v>
      </c>
      <c r="BE983" t="s">
        <v>18649</v>
      </c>
      <c r="BF983" t="str">
        <f>HYPERLINK("http://dx.doi.org/10.1371/journal.pone.0178124","http://dx.doi.org/10.1371/journal.pone.0178124")</f>
        <v>http://dx.doi.org/10.1371/journal.pone.0178124</v>
      </c>
      <c r="BG983" t="s">
        <v>74</v>
      </c>
      <c r="BH983" t="s">
        <v>74</v>
      </c>
      <c r="BI983">
        <v>16</v>
      </c>
      <c r="BJ983" t="s">
        <v>190</v>
      </c>
      <c r="BK983" t="s">
        <v>101</v>
      </c>
      <c r="BL983" t="s">
        <v>191</v>
      </c>
      <c r="BM983" t="s">
        <v>18632</v>
      </c>
      <c r="BN983">
        <v>28591215</v>
      </c>
      <c r="BO983" t="s">
        <v>4420</v>
      </c>
      <c r="BP983" t="s">
        <v>74</v>
      </c>
      <c r="BQ983" t="s">
        <v>74</v>
      </c>
      <c r="BR983" t="s">
        <v>105</v>
      </c>
      <c r="BS983" t="s">
        <v>18650</v>
      </c>
      <c r="BT983" t="str">
        <f>HYPERLINK("https%3A%2F%2Fwww.webofscience.com%2Fwos%2Fwoscc%2Ffull-record%2FWOS:000402880700020","View Full Record in Web of Science")</f>
        <v>View Full Record in Web of Science</v>
      </c>
    </row>
    <row r="984" spans="1:72" x14ac:dyDescent="0.15">
      <c r="A984" t="s">
        <v>72</v>
      </c>
      <c r="B984" t="s">
        <v>18651</v>
      </c>
      <c r="C984" t="s">
        <v>74</v>
      </c>
      <c r="D984" t="s">
        <v>74</v>
      </c>
      <c r="E984" t="s">
        <v>74</v>
      </c>
      <c r="F984" t="s">
        <v>18652</v>
      </c>
      <c r="G984" t="s">
        <v>74</v>
      </c>
      <c r="H984" t="s">
        <v>74</v>
      </c>
      <c r="I984" t="s">
        <v>18653</v>
      </c>
      <c r="J984" t="s">
        <v>860</v>
      </c>
      <c r="K984" t="s">
        <v>74</v>
      </c>
      <c r="L984" t="s">
        <v>74</v>
      </c>
      <c r="M984" t="s">
        <v>78</v>
      </c>
      <c r="N984" t="s">
        <v>4769</v>
      </c>
      <c r="O984" t="s">
        <v>74</v>
      </c>
      <c r="P984" t="s">
        <v>74</v>
      </c>
      <c r="Q984" t="s">
        <v>74</v>
      </c>
      <c r="R984" t="s">
        <v>74</v>
      </c>
      <c r="S984" t="s">
        <v>74</v>
      </c>
      <c r="T984" t="s">
        <v>74</v>
      </c>
      <c r="U984" t="s">
        <v>74</v>
      </c>
      <c r="V984" t="s">
        <v>74</v>
      </c>
      <c r="W984" t="s">
        <v>74</v>
      </c>
      <c r="X984" t="s">
        <v>74</v>
      </c>
      <c r="Y984" t="s">
        <v>74</v>
      </c>
      <c r="Z984" t="s">
        <v>74</v>
      </c>
      <c r="AA984" t="s">
        <v>18654</v>
      </c>
      <c r="AB984" t="s">
        <v>18655</v>
      </c>
      <c r="AC984" t="s">
        <v>74</v>
      </c>
      <c r="AD984" t="s">
        <v>74</v>
      </c>
      <c r="AE984" t="s">
        <v>74</v>
      </c>
      <c r="AF984" t="s">
        <v>74</v>
      </c>
      <c r="AG984">
        <v>1</v>
      </c>
      <c r="AH984">
        <v>1</v>
      </c>
      <c r="AI984">
        <v>1</v>
      </c>
      <c r="AJ984">
        <v>0</v>
      </c>
      <c r="AK984">
        <v>7</v>
      </c>
      <c r="AL984" t="s">
        <v>872</v>
      </c>
      <c r="AM984" t="s">
        <v>873</v>
      </c>
      <c r="AN984" t="s">
        <v>874</v>
      </c>
      <c r="AO984" t="s">
        <v>875</v>
      </c>
      <c r="AP984" t="s">
        <v>74</v>
      </c>
      <c r="AQ984" t="s">
        <v>74</v>
      </c>
      <c r="AR984" t="s">
        <v>860</v>
      </c>
      <c r="AS984" t="s">
        <v>876</v>
      </c>
      <c r="AT984" t="s">
        <v>18656</v>
      </c>
      <c r="AU984">
        <v>2017</v>
      </c>
      <c r="AV984">
        <v>12</v>
      </c>
      <c r="AW984">
        <v>6</v>
      </c>
      <c r="AX984" t="s">
        <v>74</v>
      </c>
      <c r="AY984" t="s">
        <v>74</v>
      </c>
      <c r="AZ984" t="s">
        <v>74</v>
      </c>
      <c r="BA984" t="s">
        <v>74</v>
      </c>
      <c r="BB984" t="s">
        <v>74</v>
      </c>
      <c r="BC984" t="s">
        <v>74</v>
      </c>
      <c r="BD984" t="s">
        <v>18657</v>
      </c>
      <c r="BE984" t="s">
        <v>18658</v>
      </c>
      <c r="BF984" t="str">
        <f>HYPERLINK("http://dx.doi.org/10.1371/journal.pone.0179322","http://dx.doi.org/10.1371/journal.pone.0179322")</f>
        <v>http://dx.doi.org/10.1371/journal.pone.0179322</v>
      </c>
      <c r="BG984" t="s">
        <v>74</v>
      </c>
      <c r="BH984" t="s">
        <v>74</v>
      </c>
      <c r="BI984">
        <v>2</v>
      </c>
      <c r="BJ984" t="s">
        <v>190</v>
      </c>
      <c r="BK984" t="s">
        <v>101</v>
      </c>
      <c r="BL984" t="s">
        <v>191</v>
      </c>
      <c r="BM984" t="s">
        <v>18659</v>
      </c>
      <c r="BN984">
        <v>28586381</v>
      </c>
      <c r="BO984" t="s">
        <v>3495</v>
      </c>
      <c r="BP984" t="s">
        <v>74</v>
      </c>
      <c r="BQ984" t="s">
        <v>74</v>
      </c>
      <c r="BR984" t="s">
        <v>105</v>
      </c>
      <c r="BS984" t="s">
        <v>18660</v>
      </c>
      <c r="BT984" t="str">
        <f>HYPERLINK("https%3A%2F%2Fwww.webofscience.com%2Fwos%2Fwoscc%2Ffull-record%2FWOS:000402875700054","View Full Record in Web of Science")</f>
        <v>View Full Record in Web of Science</v>
      </c>
    </row>
    <row r="985" spans="1:72" x14ac:dyDescent="0.15">
      <c r="A985" t="s">
        <v>72</v>
      </c>
      <c r="B985" t="s">
        <v>18661</v>
      </c>
      <c r="C985" t="s">
        <v>74</v>
      </c>
      <c r="D985" t="s">
        <v>74</v>
      </c>
      <c r="E985" t="s">
        <v>74</v>
      </c>
      <c r="F985" t="s">
        <v>18662</v>
      </c>
      <c r="G985" t="s">
        <v>74</v>
      </c>
      <c r="H985" t="s">
        <v>74</v>
      </c>
      <c r="I985" t="s">
        <v>18663</v>
      </c>
      <c r="J985" t="s">
        <v>18664</v>
      </c>
      <c r="K985" t="s">
        <v>74</v>
      </c>
      <c r="L985" t="s">
        <v>74</v>
      </c>
      <c r="M985" t="s">
        <v>78</v>
      </c>
      <c r="N985" t="s">
        <v>79</v>
      </c>
      <c r="O985" t="s">
        <v>74</v>
      </c>
      <c r="P985" t="s">
        <v>74</v>
      </c>
      <c r="Q985" t="s">
        <v>74</v>
      </c>
      <c r="R985" t="s">
        <v>74</v>
      </c>
      <c r="S985" t="s">
        <v>74</v>
      </c>
      <c r="T985" t="s">
        <v>18665</v>
      </c>
      <c r="U985" t="s">
        <v>18666</v>
      </c>
      <c r="V985" t="s">
        <v>18667</v>
      </c>
      <c r="W985" t="s">
        <v>18668</v>
      </c>
      <c r="X985" t="s">
        <v>18669</v>
      </c>
      <c r="Y985" t="s">
        <v>18670</v>
      </c>
      <c r="Z985" t="s">
        <v>18671</v>
      </c>
      <c r="AA985" t="s">
        <v>18672</v>
      </c>
      <c r="AB985" t="s">
        <v>18673</v>
      </c>
      <c r="AC985" t="s">
        <v>18674</v>
      </c>
      <c r="AD985" t="s">
        <v>18675</v>
      </c>
      <c r="AE985" t="s">
        <v>18676</v>
      </c>
      <c r="AF985" t="s">
        <v>74</v>
      </c>
      <c r="AG985">
        <v>120</v>
      </c>
      <c r="AH985">
        <v>10</v>
      </c>
      <c r="AI985">
        <v>10</v>
      </c>
      <c r="AJ985">
        <v>1</v>
      </c>
      <c r="AK985">
        <v>11</v>
      </c>
      <c r="AL985" t="s">
        <v>259</v>
      </c>
      <c r="AM985" t="s">
        <v>182</v>
      </c>
      <c r="AN985" t="s">
        <v>260</v>
      </c>
      <c r="AO985" t="s">
        <v>74</v>
      </c>
      <c r="AP985" t="s">
        <v>18677</v>
      </c>
      <c r="AQ985" t="s">
        <v>74</v>
      </c>
      <c r="AR985" t="s">
        <v>18678</v>
      </c>
      <c r="AS985" t="s">
        <v>18679</v>
      </c>
      <c r="AT985" t="s">
        <v>18656</v>
      </c>
      <c r="AU985">
        <v>2017</v>
      </c>
      <c r="AV985">
        <v>17</v>
      </c>
      <c r="AW985" t="s">
        <v>74</v>
      </c>
      <c r="AX985" t="s">
        <v>74</v>
      </c>
      <c r="AY985" t="s">
        <v>74</v>
      </c>
      <c r="AZ985" t="s">
        <v>74</v>
      </c>
      <c r="BA985" t="s">
        <v>74</v>
      </c>
      <c r="BB985" t="s">
        <v>74</v>
      </c>
      <c r="BC985" t="s">
        <v>74</v>
      </c>
      <c r="BD985">
        <v>86</v>
      </c>
      <c r="BE985" t="s">
        <v>18680</v>
      </c>
      <c r="BF985" t="str">
        <f>HYPERLINK("http://dx.doi.org/10.1186/s12874-017-0358-9","http://dx.doi.org/10.1186/s12874-017-0358-9")</f>
        <v>http://dx.doi.org/10.1186/s12874-017-0358-9</v>
      </c>
      <c r="BG985" t="s">
        <v>74</v>
      </c>
      <c r="BH985" t="s">
        <v>74</v>
      </c>
      <c r="BI985">
        <v>15</v>
      </c>
      <c r="BJ985" t="s">
        <v>18681</v>
      </c>
      <c r="BK985" t="s">
        <v>765</v>
      </c>
      <c r="BL985" t="s">
        <v>18681</v>
      </c>
      <c r="BM985" t="s">
        <v>18682</v>
      </c>
      <c r="BN985">
        <v>28587592</v>
      </c>
      <c r="BO985" t="s">
        <v>6500</v>
      </c>
      <c r="BP985" t="s">
        <v>74</v>
      </c>
      <c r="BQ985" t="s">
        <v>74</v>
      </c>
      <c r="BR985" t="s">
        <v>105</v>
      </c>
      <c r="BS985" t="s">
        <v>18683</v>
      </c>
      <c r="BT985" t="str">
        <f>HYPERLINK("https%3A%2F%2Fwww.webofscience.com%2Fwos%2Fwoscc%2Ffull-record%2FWOS:000402958800001","View Full Record in Web of Science")</f>
        <v>View Full Record in Web of Science</v>
      </c>
    </row>
    <row r="986" spans="1:72" x14ac:dyDescent="0.15">
      <c r="A986" t="s">
        <v>72</v>
      </c>
      <c r="B986" t="s">
        <v>18684</v>
      </c>
      <c r="C986" t="s">
        <v>74</v>
      </c>
      <c r="D986" t="s">
        <v>74</v>
      </c>
      <c r="E986" t="s">
        <v>74</v>
      </c>
      <c r="F986" t="s">
        <v>18685</v>
      </c>
      <c r="G986" t="s">
        <v>74</v>
      </c>
      <c r="H986" t="s">
        <v>74</v>
      </c>
      <c r="I986" t="s">
        <v>18686</v>
      </c>
      <c r="J986" t="s">
        <v>299</v>
      </c>
      <c r="K986" t="s">
        <v>74</v>
      </c>
      <c r="L986" t="s">
        <v>74</v>
      </c>
      <c r="M986" t="s">
        <v>78</v>
      </c>
      <c r="N986" t="s">
        <v>79</v>
      </c>
      <c r="O986" t="s">
        <v>74</v>
      </c>
      <c r="P986" t="s">
        <v>74</v>
      </c>
      <c r="Q986" t="s">
        <v>74</v>
      </c>
      <c r="R986" t="s">
        <v>74</v>
      </c>
      <c r="S986" t="s">
        <v>74</v>
      </c>
      <c r="T986" t="s">
        <v>74</v>
      </c>
      <c r="U986" t="s">
        <v>18687</v>
      </c>
      <c r="V986" t="s">
        <v>18688</v>
      </c>
      <c r="W986" t="s">
        <v>18689</v>
      </c>
      <c r="X986" t="s">
        <v>18690</v>
      </c>
      <c r="Y986" t="s">
        <v>18691</v>
      </c>
      <c r="Z986" t="s">
        <v>18692</v>
      </c>
      <c r="AA986" t="s">
        <v>18693</v>
      </c>
      <c r="AB986" t="s">
        <v>18694</v>
      </c>
      <c r="AC986" t="s">
        <v>18695</v>
      </c>
      <c r="AD986" t="s">
        <v>18696</v>
      </c>
      <c r="AE986" t="s">
        <v>18697</v>
      </c>
      <c r="AF986" t="s">
        <v>74</v>
      </c>
      <c r="AG986">
        <v>24</v>
      </c>
      <c r="AH986">
        <v>23</v>
      </c>
      <c r="AI986">
        <v>25</v>
      </c>
      <c r="AJ986">
        <v>0</v>
      </c>
      <c r="AK986">
        <v>11</v>
      </c>
      <c r="AL986" t="s">
        <v>311</v>
      </c>
      <c r="AM986" t="s">
        <v>312</v>
      </c>
      <c r="AN986" t="s">
        <v>313</v>
      </c>
      <c r="AO986" t="s">
        <v>314</v>
      </c>
      <c r="AP986" t="s">
        <v>315</v>
      </c>
      <c r="AQ986" t="s">
        <v>74</v>
      </c>
      <c r="AR986" t="s">
        <v>299</v>
      </c>
      <c r="AS986" t="s">
        <v>316</v>
      </c>
      <c r="AT986" t="s">
        <v>18656</v>
      </c>
      <c r="AU986">
        <v>2017</v>
      </c>
      <c r="AV986">
        <v>11</v>
      </c>
      <c r="AW986">
        <v>3</v>
      </c>
      <c r="AX986" t="s">
        <v>74</v>
      </c>
      <c r="AY986" t="s">
        <v>74</v>
      </c>
      <c r="AZ986" t="s">
        <v>74</v>
      </c>
      <c r="BA986" t="s">
        <v>74</v>
      </c>
      <c r="BB986" t="s">
        <v>74</v>
      </c>
      <c r="BC986" t="s">
        <v>74</v>
      </c>
      <c r="BD986" t="s">
        <v>74</v>
      </c>
      <c r="BE986" t="s">
        <v>18698</v>
      </c>
      <c r="BF986" t="str">
        <f>HYPERLINK("http://dx.doi.org/10.5194/tc-11-1327-2017","http://dx.doi.org/10.5194/tc-11-1327-2017")</f>
        <v>http://dx.doi.org/10.5194/tc-11-1327-2017</v>
      </c>
      <c r="BG986" t="s">
        <v>74</v>
      </c>
      <c r="BH986" t="s">
        <v>74</v>
      </c>
      <c r="BI986">
        <v>6</v>
      </c>
      <c r="BJ986" t="s">
        <v>319</v>
      </c>
      <c r="BK986" t="s">
        <v>101</v>
      </c>
      <c r="BL986" t="s">
        <v>320</v>
      </c>
      <c r="BM986" t="s">
        <v>18699</v>
      </c>
      <c r="BN986" t="s">
        <v>74</v>
      </c>
      <c r="BO986" t="s">
        <v>18700</v>
      </c>
      <c r="BP986" t="s">
        <v>74</v>
      </c>
      <c r="BQ986" t="s">
        <v>74</v>
      </c>
      <c r="BR986" t="s">
        <v>105</v>
      </c>
      <c r="BS986" t="s">
        <v>18701</v>
      </c>
      <c r="BT986" t="str">
        <f>HYPERLINK("https%3A%2F%2Fwww.webofscience.com%2Fwos%2Fwoscc%2Ffull-record%2FWOS:000402977800002","View Full Record in Web of Science")</f>
        <v>View Full Record in Web of Science</v>
      </c>
    </row>
    <row r="987" spans="1:72" x14ac:dyDescent="0.15">
      <c r="A987" t="s">
        <v>72</v>
      </c>
      <c r="B987" t="s">
        <v>18702</v>
      </c>
      <c r="C987" t="s">
        <v>74</v>
      </c>
      <c r="D987" t="s">
        <v>74</v>
      </c>
      <c r="E987" t="s">
        <v>74</v>
      </c>
      <c r="F987" t="s">
        <v>18703</v>
      </c>
      <c r="G987" t="s">
        <v>74</v>
      </c>
      <c r="H987" t="s">
        <v>74</v>
      </c>
      <c r="I987" t="s">
        <v>18704</v>
      </c>
      <c r="J987" t="s">
        <v>464</v>
      </c>
      <c r="K987" t="s">
        <v>74</v>
      </c>
      <c r="L987" t="s">
        <v>74</v>
      </c>
      <c r="M987" t="s">
        <v>78</v>
      </c>
      <c r="N987" t="s">
        <v>79</v>
      </c>
      <c r="O987" t="s">
        <v>74</v>
      </c>
      <c r="P987" t="s">
        <v>74</v>
      </c>
      <c r="Q987" t="s">
        <v>74</v>
      </c>
      <c r="R987" t="s">
        <v>74</v>
      </c>
      <c r="S987" t="s">
        <v>74</v>
      </c>
      <c r="T987" t="s">
        <v>18705</v>
      </c>
      <c r="U987" t="s">
        <v>18706</v>
      </c>
      <c r="V987" t="s">
        <v>18707</v>
      </c>
      <c r="W987" t="s">
        <v>18708</v>
      </c>
      <c r="X987" t="s">
        <v>18709</v>
      </c>
      <c r="Y987" t="s">
        <v>18710</v>
      </c>
      <c r="Z987" t="s">
        <v>9965</v>
      </c>
      <c r="AA987" t="s">
        <v>9966</v>
      </c>
      <c r="AB987" t="s">
        <v>18711</v>
      </c>
      <c r="AC987" t="s">
        <v>18712</v>
      </c>
      <c r="AD987" t="s">
        <v>18713</v>
      </c>
      <c r="AE987" t="s">
        <v>18714</v>
      </c>
      <c r="AF987" t="s">
        <v>74</v>
      </c>
      <c r="AG987">
        <v>55</v>
      </c>
      <c r="AH987">
        <v>302</v>
      </c>
      <c r="AI987">
        <v>318</v>
      </c>
      <c r="AJ987">
        <v>2</v>
      </c>
      <c r="AK987">
        <v>92</v>
      </c>
      <c r="AL987" t="s">
        <v>477</v>
      </c>
      <c r="AM987" t="s">
        <v>92</v>
      </c>
      <c r="AN987" t="s">
        <v>478</v>
      </c>
      <c r="AO987" t="s">
        <v>479</v>
      </c>
      <c r="AP987" t="s">
        <v>74</v>
      </c>
      <c r="AQ987" t="s">
        <v>74</v>
      </c>
      <c r="AR987" t="s">
        <v>480</v>
      </c>
      <c r="AS987" t="s">
        <v>481</v>
      </c>
      <c r="AT987" t="s">
        <v>18656</v>
      </c>
      <c r="AU987">
        <v>2017</v>
      </c>
      <c r="AV987">
        <v>114</v>
      </c>
      <c r="AW987">
        <v>23</v>
      </c>
      <c r="AX987" t="s">
        <v>74</v>
      </c>
      <c r="AY987" t="s">
        <v>74</v>
      </c>
      <c r="AZ987" t="s">
        <v>74</v>
      </c>
      <c r="BA987" t="s">
        <v>74</v>
      </c>
      <c r="BB987">
        <v>6052</v>
      </c>
      <c r="BC987">
        <v>6055</v>
      </c>
      <c r="BD987" t="s">
        <v>74</v>
      </c>
      <c r="BE987" t="s">
        <v>18715</v>
      </c>
      <c r="BF987" t="str">
        <f>HYPERLINK("http://dx.doi.org/10.1073/pnas.1619818114","http://dx.doi.org/10.1073/pnas.1619818114")</f>
        <v>http://dx.doi.org/10.1073/pnas.1619818114</v>
      </c>
      <c r="BG987" t="s">
        <v>74</v>
      </c>
      <c r="BH987" t="s">
        <v>74</v>
      </c>
      <c r="BI987">
        <v>4</v>
      </c>
      <c r="BJ987" t="s">
        <v>190</v>
      </c>
      <c r="BK987" t="s">
        <v>101</v>
      </c>
      <c r="BL987" t="s">
        <v>191</v>
      </c>
      <c r="BM987" t="s">
        <v>18716</v>
      </c>
      <c r="BN987">
        <v>28507128</v>
      </c>
      <c r="BO987" t="s">
        <v>18717</v>
      </c>
      <c r="BP987" t="s">
        <v>352</v>
      </c>
      <c r="BQ987" t="s">
        <v>353</v>
      </c>
      <c r="BR987" t="s">
        <v>105</v>
      </c>
      <c r="BS987" t="s">
        <v>18718</v>
      </c>
      <c r="BT987" t="str">
        <f>HYPERLINK("https%3A%2F%2Fwww.webofscience.com%2Fwos%2Fwoscc%2Ffull-record%2FWOS:000402703800070","View Full Record in Web of Science")</f>
        <v>View Full Record in Web of Science</v>
      </c>
    </row>
    <row r="988" spans="1:72" x14ac:dyDescent="0.15">
      <c r="A988" t="s">
        <v>72</v>
      </c>
      <c r="B988" t="s">
        <v>18719</v>
      </c>
      <c r="C988" t="s">
        <v>74</v>
      </c>
      <c r="D988" t="s">
        <v>74</v>
      </c>
      <c r="E988" t="s">
        <v>74</v>
      </c>
      <c r="F988" t="s">
        <v>18720</v>
      </c>
      <c r="G988" t="s">
        <v>74</v>
      </c>
      <c r="H988" t="s">
        <v>74</v>
      </c>
      <c r="I988" t="s">
        <v>18721</v>
      </c>
      <c r="J988" t="s">
        <v>5193</v>
      </c>
      <c r="K988" t="s">
        <v>74</v>
      </c>
      <c r="L988" t="s">
        <v>74</v>
      </c>
      <c r="M988" t="s">
        <v>78</v>
      </c>
      <c r="N988" t="s">
        <v>79</v>
      </c>
      <c r="O988" t="s">
        <v>74</v>
      </c>
      <c r="P988" t="s">
        <v>74</v>
      </c>
      <c r="Q988" t="s">
        <v>74</v>
      </c>
      <c r="R988" t="s">
        <v>74</v>
      </c>
      <c r="S988" t="s">
        <v>74</v>
      </c>
      <c r="T988" t="s">
        <v>74</v>
      </c>
      <c r="U988" t="s">
        <v>18722</v>
      </c>
      <c r="V988" t="s">
        <v>18723</v>
      </c>
      <c r="W988" t="s">
        <v>18724</v>
      </c>
      <c r="X988" t="s">
        <v>18725</v>
      </c>
      <c r="Y988" t="s">
        <v>18726</v>
      </c>
      <c r="Z988" t="s">
        <v>18727</v>
      </c>
      <c r="AA988" t="s">
        <v>18728</v>
      </c>
      <c r="AB988" t="s">
        <v>18729</v>
      </c>
      <c r="AC988" t="s">
        <v>18730</v>
      </c>
      <c r="AD988" t="s">
        <v>18731</v>
      </c>
      <c r="AE988" t="s">
        <v>18732</v>
      </c>
      <c r="AF988" t="s">
        <v>74</v>
      </c>
      <c r="AG988">
        <v>47</v>
      </c>
      <c r="AH988">
        <v>92</v>
      </c>
      <c r="AI988">
        <v>101</v>
      </c>
      <c r="AJ988">
        <v>3</v>
      </c>
      <c r="AK988">
        <v>87</v>
      </c>
      <c r="AL988" t="s">
        <v>5204</v>
      </c>
      <c r="AM988" t="s">
        <v>286</v>
      </c>
      <c r="AN988" t="s">
        <v>5205</v>
      </c>
      <c r="AO988" t="s">
        <v>5206</v>
      </c>
      <c r="AP988" t="s">
        <v>5207</v>
      </c>
      <c r="AQ988" t="s">
        <v>74</v>
      </c>
      <c r="AR988" t="s">
        <v>5208</v>
      </c>
      <c r="AS988" t="s">
        <v>5209</v>
      </c>
      <c r="AT988" t="s">
        <v>18733</v>
      </c>
      <c r="AU988">
        <v>2017</v>
      </c>
      <c r="AV988">
        <v>27</v>
      </c>
      <c r="AW988">
        <v>11</v>
      </c>
      <c r="AX988" t="s">
        <v>74</v>
      </c>
      <c r="AY988" t="s">
        <v>74</v>
      </c>
      <c r="AZ988" t="s">
        <v>74</v>
      </c>
      <c r="BA988" t="s">
        <v>74</v>
      </c>
      <c r="BB988">
        <v>1616</v>
      </c>
      <c r="BC988" t="s">
        <v>188</v>
      </c>
      <c r="BD988" t="s">
        <v>74</v>
      </c>
      <c r="BE988" t="s">
        <v>18734</v>
      </c>
      <c r="BF988" t="str">
        <f>HYPERLINK("http://dx.doi.org/10.1016/j.cub.2017.04.034","http://dx.doi.org/10.1016/j.cub.2017.04.034")</f>
        <v>http://dx.doi.org/10.1016/j.cub.2017.04.034</v>
      </c>
      <c r="BG988" t="s">
        <v>74</v>
      </c>
      <c r="BH988" t="s">
        <v>74</v>
      </c>
      <c r="BI988">
        <v>9</v>
      </c>
      <c r="BJ988" t="s">
        <v>5212</v>
      </c>
      <c r="BK988" t="s">
        <v>101</v>
      </c>
      <c r="BL988" t="s">
        <v>5213</v>
      </c>
      <c r="BM988" t="s">
        <v>18735</v>
      </c>
      <c r="BN988">
        <v>28528907</v>
      </c>
      <c r="BO988" t="s">
        <v>1639</v>
      </c>
      <c r="BP988" t="s">
        <v>74</v>
      </c>
      <c r="BQ988" t="s">
        <v>74</v>
      </c>
      <c r="BR988" t="s">
        <v>105</v>
      </c>
      <c r="BS988" t="s">
        <v>18736</v>
      </c>
      <c r="BT988" t="str">
        <f>HYPERLINK("https%3A%2F%2Fwww.webofscience.com%2Fwos%2Fwoscc%2Ffull-record%2FWOS:000402814600047","View Full Record in Web of Science")</f>
        <v>View Full Record in Web of Science</v>
      </c>
    </row>
    <row r="989" spans="1:72" x14ac:dyDescent="0.15">
      <c r="A989" t="s">
        <v>72</v>
      </c>
      <c r="B989" t="s">
        <v>18737</v>
      </c>
      <c r="C989" t="s">
        <v>74</v>
      </c>
      <c r="D989" t="s">
        <v>74</v>
      </c>
      <c r="E989" t="s">
        <v>74</v>
      </c>
      <c r="F989" t="s">
        <v>18738</v>
      </c>
      <c r="G989" t="s">
        <v>74</v>
      </c>
      <c r="H989" t="s">
        <v>74</v>
      </c>
      <c r="I989" t="s">
        <v>18739</v>
      </c>
      <c r="J989" t="s">
        <v>5193</v>
      </c>
      <c r="K989" t="s">
        <v>74</v>
      </c>
      <c r="L989" t="s">
        <v>74</v>
      </c>
      <c r="M989" t="s">
        <v>78</v>
      </c>
      <c r="N989" t="s">
        <v>2737</v>
      </c>
      <c r="O989" t="s">
        <v>74</v>
      </c>
      <c r="P989" t="s">
        <v>74</v>
      </c>
      <c r="Q989" t="s">
        <v>74</v>
      </c>
      <c r="R989" t="s">
        <v>74</v>
      </c>
      <c r="S989" t="s">
        <v>74</v>
      </c>
      <c r="T989" t="s">
        <v>74</v>
      </c>
      <c r="U989" t="s">
        <v>18740</v>
      </c>
      <c r="V989" t="s">
        <v>74</v>
      </c>
      <c r="W989" t="s">
        <v>18741</v>
      </c>
      <c r="X989" t="s">
        <v>3617</v>
      </c>
      <c r="Y989" t="s">
        <v>18742</v>
      </c>
      <c r="Z989" t="s">
        <v>16946</v>
      </c>
      <c r="AA989" t="s">
        <v>74</v>
      </c>
      <c r="AB989" t="s">
        <v>74</v>
      </c>
      <c r="AC989" t="s">
        <v>18743</v>
      </c>
      <c r="AD989" t="s">
        <v>9190</v>
      </c>
      <c r="AE989" t="s">
        <v>74</v>
      </c>
      <c r="AF989" t="s">
        <v>74</v>
      </c>
      <c r="AG989">
        <v>9</v>
      </c>
      <c r="AH989">
        <v>18</v>
      </c>
      <c r="AI989">
        <v>19</v>
      </c>
      <c r="AJ989">
        <v>0</v>
      </c>
      <c r="AK989">
        <v>29</v>
      </c>
      <c r="AL989" t="s">
        <v>5204</v>
      </c>
      <c r="AM989" t="s">
        <v>286</v>
      </c>
      <c r="AN989" t="s">
        <v>5205</v>
      </c>
      <c r="AO989" t="s">
        <v>5206</v>
      </c>
      <c r="AP989" t="s">
        <v>5207</v>
      </c>
      <c r="AQ989" t="s">
        <v>74</v>
      </c>
      <c r="AR989" t="s">
        <v>5208</v>
      </c>
      <c r="AS989" t="s">
        <v>5209</v>
      </c>
      <c r="AT989" t="s">
        <v>18733</v>
      </c>
      <c r="AU989">
        <v>2017</v>
      </c>
      <c r="AV989">
        <v>27</v>
      </c>
      <c r="AW989">
        <v>11</v>
      </c>
      <c r="AX989" t="s">
        <v>74</v>
      </c>
      <c r="AY989" t="s">
        <v>74</v>
      </c>
      <c r="AZ989" t="s">
        <v>74</v>
      </c>
      <c r="BA989" t="s">
        <v>74</v>
      </c>
      <c r="BB989" t="s">
        <v>18744</v>
      </c>
      <c r="BC989" t="s">
        <v>18745</v>
      </c>
      <c r="BD989" t="s">
        <v>74</v>
      </c>
      <c r="BE989" t="s">
        <v>18746</v>
      </c>
      <c r="BF989" t="str">
        <f>HYPERLINK("http://dx.doi.org/10.1016/j.cub.2017.01.045","http://dx.doi.org/10.1016/j.cub.2017.01.045")</f>
        <v>http://dx.doi.org/10.1016/j.cub.2017.01.045</v>
      </c>
      <c r="BG989" t="s">
        <v>74</v>
      </c>
      <c r="BH989" t="s">
        <v>74</v>
      </c>
      <c r="BI989">
        <v>8</v>
      </c>
      <c r="BJ989" t="s">
        <v>5212</v>
      </c>
      <c r="BK989" t="s">
        <v>101</v>
      </c>
      <c r="BL989" t="s">
        <v>5213</v>
      </c>
      <c r="BM989" t="s">
        <v>18735</v>
      </c>
      <c r="BN989">
        <v>28586678</v>
      </c>
      <c r="BO989" t="s">
        <v>511</v>
      </c>
      <c r="BP989" t="s">
        <v>74</v>
      </c>
      <c r="BQ989" t="s">
        <v>74</v>
      </c>
      <c r="BR989" t="s">
        <v>105</v>
      </c>
      <c r="BS989" t="s">
        <v>18747</v>
      </c>
      <c r="BT989" t="str">
        <f>HYPERLINK("https%3A%2F%2Fwww.webofscience.com%2Fwos%2Fwoscc%2Ffull-record%2FWOS:000402814600024","View Full Record in Web of Science")</f>
        <v>View Full Record in Web of Science</v>
      </c>
    </row>
    <row r="990" spans="1:72" x14ac:dyDescent="0.15">
      <c r="A990" t="s">
        <v>72</v>
      </c>
      <c r="B990" t="s">
        <v>18748</v>
      </c>
      <c r="C990" t="s">
        <v>74</v>
      </c>
      <c r="D990" t="s">
        <v>74</v>
      </c>
      <c r="E990" t="s">
        <v>74</v>
      </c>
      <c r="F990" t="s">
        <v>18749</v>
      </c>
      <c r="G990" t="s">
        <v>74</v>
      </c>
      <c r="H990" t="s">
        <v>74</v>
      </c>
      <c r="I990" t="s">
        <v>18750</v>
      </c>
      <c r="J990" t="s">
        <v>18751</v>
      </c>
      <c r="K990" t="s">
        <v>74</v>
      </c>
      <c r="L990" t="s">
        <v>74</v>
      </c>
      <c r="M990" t="s">
        <v>78</v>
      </c>
      <c r="N990" t="s">
        <v>2737</v>
      </c>
      <c r="O990" t="s">
        <v>74</v>
      </c>
      <c r="P990" t="s">
        <v>74</v>
      </c>
      <c r="Q990" t="s">
        <v>74</v>
      </c>
      <c r="R990" t="s">
        <v>74</v>
      </c>
      <c r="S990" t="s">
        <v>74</v>
      </c>
      <c r="T990" t="s">
        <v>74</v>
      </c>
      <c r="U990" t="s">
        <v>18752</v>
      </c>
      <c r="V990" t="s">
        <v>74</v>
      </c>
      <c r="W990" t="s">
        <v>18753</v>
      </c>
      <c r="X990" t="s">
        <v>18754</v>
      </c>
      <c r="Y990" t="s">
        <v>18755</v>
      </c>
      <c r="Z990" t="s">
        <v>15123</v>
      </c>
      <c r="AA990" t="s">
        <v>74</v>
      </c>
      <c r="AB990" t="s">
        <v>18756</v>
      </c>
      <c r="AC990" t="s">
        <v>18757</v>
      </c>
      <c r="AD990" t="s">
        <v>18758</v>
      </c>
      <c r="AE990" t="s">
        <v>18759</v>
      </c>
      <c r="AF990" t="s">
        <v>74</v>
      </c>
      <c r="AG990">
        <v>12</v>
      </c>
      <c r="AH990">
        <v>9</v>
      </c>
      <c r="AI990">
        <v>9</v>
      </c>
      <c r="AJ990">
        <v>0</v>
      </c>
      <c r="AK990">
        <v>28</v>
      </c>
      <c r="AL990" t="s">
        <v>3763</v>
      </c>
      <c r="AM990" t="s">
        <v>92</v>
      </c>
      <c r="AN990" t="s">
        <v>3764</v>
      </c>
      <c r="AO990" t="s">
        <v>18760</v>
      </c>
      <c r="AP990" t="s">
        <v>18761</v>
      </c>
      <c r="AQ990" t="s">
        <v>74</v>
      </c>
      <c r="AR990" t="s">
        <v>18751</v>
      </c>
      <c r="AS990" t="s">
        <v>18762</v>
      </c>
      <c r="AT990" t="s">
        <v>18763</v>
      </c>
      <c r="AU990">
        <v>2017</v>
      </c>
      <c r="AV990">
        <v>356</v>
      </c>
      <c r="AW990">
        <v>6341</v>
      </c>
      <c r="AX990" t="s">
        <v>74</v>
      </c>
      <c r="AY990" t="s">
        <v>74</v>
      </c>
      <c r="AZ990" t="s">
        <v>74</v>
      </c>
      <c r="BA990" t="s">
        <v>74</v>
      </c>
      <c r="BB990">
        <v>910</v>
      </c>
      <c r="BC990">
        <v>911</v>
      </c>
      <c r="BD990" t="s">
        <v>74</v>
      </c>
      <c r="BE990" t="s">
        <v>18764</v>
      </c>
      <c r="BF990" t="str">
        <f>HYPERLINK("http://dx.doi.org/10.1126/science.aam9728","http://dx.doi.org/10.1126/science.aam9728")</f>
        <v>http://dx.doi.org/10.1126/science.aam9728</v>
      </c>
      <c r="BG990" t="s">
        <v>74</v>
      </c>
      <c r="BH990" t="s">
        <v>74</v>
      </c>
      <c r="BI990">
        <v>2</v>
      </c>
      <c r="BJ990" t="s">
        <v>190</v>
      </c>
      <c r="BK990" t="s">
        <v>101</v>
      </c>
      <c r="BL990" t="s">
        <v>191</v>
      </c>
      <c r="BM990" t="s">
        <v>18765</v>
      </c>
      <c r="BN990">
        <v>28572353</v>
      </c>
      <c r="BO990" t="s">
        <v>74</v>
      </c>
      <c r="BP990" t="s">
        <v>74</v>
      </c>
      <c r="BQ990" t="s">
        <v>74</v>
      </c>
      <c r="BR990" t="s">
        <v>105</v>
      </c>
      <c r="BS990" t="s">
        <v>18766</v>
      </c>
      <c r="BT990" t="str">
        <f>HYPERLINK("https%3A%2F%2Fwww.webofscience.com%2Fwos%2Fwoscc%2Ffull-record%2FWOS:000402552300019","View Full Record in Web of Science")</f>
        <v>View Full Record in Web of Science</v>
      </c>
    </row>
    <row r="991" spans="1:72" x14ac:dyDescent="0.15">
      <c r="A991" t="s">
        <v>72</v>
      </c>
      <c r="B991" t="s">
        <v>18767</v>
      </c>
      <c r="C991" t="s">
        <v>74</v>
      </c>
      <c r="D991" t="s">
        <v>74</v>
      </c>
      <c r="E991" t="s">
        <v>74</v>
      </c>
      <c r="F991" t="s">
        <v>18768</v>
      </c>
      <c r="G991" t="s">
        <v>74</v>
      </c>
      <c r="H991" t="s">
        <v>74</v>
      </c>
      <c r="I991" t="s">
        <v>18769</v>
      </c>
      <c r="J991" t="s">
        <v>18770</v>
      </c>
      <c r="K991" t="s">
        <v>74</v>
      </c>
      <c r="L991" t="s">
        <v>74</v>
      </c>
      <c r="M991" t="s">
        <v>78</v>
      </c>
      <c r="N991" t="s">
        <v>79</v>
      </c>
      <c r="O991" t="s">
        <v>74</v>
      </c>
      <c r="P991" t="s">
        <v>74</v>
      </c>
      <c r="Q991" t="s">
        <v>74</v>
      </c>
      <c r="R991" t="s">
        <v>74</v>
      </c>
      <c r="S991" t="s">
        <v>74</v>
      </c>
      <c r="T991" t="s">
        <v>18771</v>
      </c>
      <c r="U991" t="s">
        <v>18772</v>
      </c>
      <c r="V991" t="s">
        <v>18773</v>
      </c>
      <c r="W991" t="s">
        <v>18774</v>
      </c>
      <c r="X991" t="s">
        <v>18775</v>
      </c>
      <c r="Y991" t="s">
        <v>18776</v>
      </c>
      <c r="Z991" t="s">
        <v>18777</v>
      </c>
      <c r="AA991" t="s">
        <v>18778</v>
      </c>
      <c r="AB991" t="s">
        <v>18779</v>
      </c>
      <c r="AC991" t="s">
        <v>18780</v>
      </c>
      <c r="AD991" t="s">
        <v>18781</v>
      </c>
      <c r="AE991" t="s">
        <v>18782</v>
      </c>
      <c r="AF991" t="s">
        <v>74</v>
      </c>
      <c r="AG991">
        <v>35</v>
      </c>
      <c r="AH991">
        <v>22</v>
      </c>
      <c r="AI991">
        <v>24</v>
      </c>
      <c r="AJ991">
        <v>0</v>
      </c>
      <c r="AK991">
        <v>5</v>
      </c>
      <c r="AL991" t="s">
        <v>3485</v>
      </c>
      <c r="AM991" t="s">
        <v>3486</v>
      </c>
      <c r="AN991" t="s">
        <v>3487</v>
      </c>
      <c r="AO991" t="s">
        <v>74</v>
      </c>
      <c r="AP991" t="s">
        <v>18783</v>
      </c>
      <c r="AQ991" t="s">
        <v>74</v>
      </c>
      <c r="AR991" t="s">
        <v>18784</v>
      </c>
      <c r="AS991" t="s">
        <v>18785</v>
      </c>
      <c r="AT991" t="s">
        <v>18786</v>
      </c>
      <c r="AU991">
        <v>2017</v>
      </c>
      <c r="AV991">
        <v>5</v>
      </c>
      <c r="AW991">
        <v>2</v>
      </c>
      <c r="AX991" t="s">
        <v>74</v>
      </c>
      <c r="AY991" t="s">
        <v>74</v>
      </c>
      <c r="AZ991" t="s">
        <v>74</v>
      </c>
      <c r="BA991" t="s">
        <v>74</v>
      </c>
      <c r="BB991" t="s">
        <v>74</v>
      </c>
      <c r="BC991" t="s">
        <v>74</v>
      </c>
      <c r="BD991">
        <v>21</v>
      </c>
      <c r="BE991" t="s">
        <v>18787</v>
      </c>
      <c r="BF991" t="str">
        <f>HYPERLINK("http://dx.doi.org/10.3390/jmse5020021","http://dx.doi.org/10.3390/jmse5020021")</f>
        <v>http://dx.doi.org/10.3390/jmse5020021</v>
      </c>
      <c r="BG991" t="s">
        <v>74</v>
      </c>
      <c r="BH991" t="s">
        <v>74</v>
      </c>
      <c r="BI991">
        <v>20</v>
      </c>
      <c r="BJ991" t="s">
        <v>18788</v>
      </c>
      <c r="BK991" t="s">
        <v>101</v>
      </c>
      <c r="BL991" t="s">
        <v>18789</v>
      </c>
      <c r="BM991" t="s">
        <v>18790</v>
      </c>
      <c r="BN991" t="s">
        <v>74</v>
      </c>
      <c r="BO991" t="s">
        <v>6588</v>
      </c>
      <c r="BP991" t="s">
        <v>74</v>
      </c>
      <c r="BQ991" t="s">
        <v>74</v>
      </c>
      <c r="BR991" t="s">
        <v>105</v>
      </c>
      <c r="BS991" t="s">
        <v>18791</v>
      </c>
      <c r="BT991" t="str">
        <f>HYPERLINK("https%3A%2F%2Fwww.webofscience.com%2Fwos%2Fwoscc%2Ffull-record%2FWOS:000423689700007","View Full Record in Web of Science")</f>
        <v>View Full Record in Web of Science</v>
      </c>
    </row>
    <row r="992" spans="1:72" x14ac:dyDescent="0.15">
      <c r="A992" t="s">
        <v>72</v>
      </c>
      <c r="B992" t="s">
        <v>18792</v>
      </c>
      <c r="C992" t="s">
        <v>74</v>
      </c>
      <c r="D992" t="s">
        <v>74</v>
      </c>
      <c r="E992" t="s">
        <v>74</v>
      </c>
      <c r="F992" t="s">
        <v>18793</v>
      </c>
      <c r="G992" t="s">
        <v>74</v>
      </c>
      <c r="H992" t="s">
        <v>74</v>
      </c>
      <c r="I992" t="s">
        <v>18794</v>
      </c>
      <c r="J992" t="s">
        <v>18795</v>
      </c>
      <c r="K992" t="s">
        <v>74</v>
      </c>
      <c r="L992" t="s">
        <v>74</v>
      </c>
      <c r="M992" t="s">
        <v>78</v>
      </c>
      <c r="N992" t="s">
        <v>273</v>
      </c>
      <c r="O992" t="s">
        <v>74</v>
      </c>
      <c r="P992" t="s">
        <v>74</v>
      </c>
      <c r="Q992" t="s">
        <v>74</v>
      </c>
      <c r="R992" t="s">
        <v>74</v>
      </c>
      <c r="S992" t="s">
        <v>74</v>
      </c>
      <c r="T992" t="s">
        <v>18796</v>
      </c>
      <c r="U992" t="s">
        <v>18797</v>
      </c>
      <c r="V992" t="s">
        <v>18798</v>
      </c>
      <c r="W992" t="s">
        <v>18799</v>
      </c>
      <c r="X992" t="s">
        <v>12140</v>
      </c>
      <c r="Y992" t="s">
        <v>18800</v>
      </c>
      <c r="Z992" t="s">
        <v>18801</v>
      </c>
      <c r="AA992" t="s">
        <v>18802</v>
      </c>
      <c r="AB992" t="s">
        <v>18803</v>
      </c>
      <c r="AC992" t="s">
        <v>74</v>
      </c>
      <c r="AD992" t="s">
        <v>74</v>
      </c>
      <c r="AE992" t="s">
        <v>74</v>
      </c>
      <c r="AF992" t="s">
        <v>74</v>
      </c>
      <c r="AG992">
        <v>129</v>
      </c>
      <c r="AH992">
        <v>4</v>
      </c>
      <c r="AI992">
        <v>5</v>
      </c>
      <c r="AJ992">
        <v>1</v>
      </c>
      <c r="AK992">
        <v>21</v>
      </c>
      <c r="AL992" t="s">
        <v>18804</v>
      </c>
      <c r="AM992" t="s">
        <v>18805</v>
      </c>
      <c r="AN992" t="s">
        <v>18806</v>
      </c>
      <c r="AO992" t="s">
        <v>18807</v>
      </c>
      <c r="AP992" t="s">
        <v>18808</v>
      </c>
      <c r="AQ992" t="s">
        <v>74</v>
      </c>
      <c r="AR992" t="s">
        <v>18809</v>
      </c>
      <c r="AS992" t="s">
        <v>18810</v>
      </c>
      <c r="AT992" t="s">
        <v>18786</v>
      </c>
      <c r="AU992">
        <v>2017</v>
      </c>
      <c r="AV992">
        <v>65</v>
      </c>
      <c r="AW992">
        <v>3</v>
      </c>
      <c r="AX992" t="s">
        <v>74</v>
      </c>
      <c r="AY992" t="s">
        <v>74</v>
      </c>
      <c r="AZ992" t="s">
        <v>74</v>
      </c>
      <c r="BA992" t="s">
        <v>74</v>
      </c>
      <c r="BB992">
        <v>168</v>
      </c>
      <c r="BC992">
        <v>183</v>
      </c>
      <c r="BD992" t="s">
        <v>74</v>
      </c>
      <c r="BE992" t="s">
        <v>18811</v>
      </c>
      <c r="BF992" t="str">
        <f>HYPERLINK("http://dx.doi.org/10.1346/CCMN.2017.064057","http://dx.doi.org/10.1346/CCMN.2017.064057")</f>
        <v>http://dx.doi.org/10.1346/CCMN.2017.064057</v>
      </c>
      <c r="BG992" t="s">
        <v>74</v>
      </c>
      <c r="BH992" t="s">
        <v>74</v>
      </c>
      <c r="BI992">
        <v>16</v>
      </c>
      <c r="BJ992" t="s">
        <v>18812</v>
      </c>
      <c r="BK992" t="s">
        <v>101</v>
      </c>
      <c r="BL992" t="s">
        <v>18813</v>
      </c>
      <c r="BM992" t="s">
        <v>18814</v>
      </c>
      <c r="BN992" t="s">
        <v>74</v>
      </c>
      <c r="BO992" t="s">
        <v>1240</v>
      </c>
      <c r="BP992" t="s">
        <v>74</v>
      </c>
      <c r="BQ992" t="s">
        <v>74</v>
      </c>
      <c r="BR992" t="s">
        <v>105</v>
      </c>
      <c r="BS992" t="s">
        <v>18815</v>
      </c>
      <c r="BT992" t="str">
        <f>HYPERLINK("https%3A%2F%2Fwww.webofscience.com%2Fwos%2Fwoscc%2Ffull-record%2FWOS:000418888000002","View Full Record in Web of Science")</f>
        <v>View Full Record in Web of Science</v>
      </c>
    </row>
    <row r="993" spans="1:72" x14ac:dyDescent="0.15">
      <c r="A993" t="s">
        <v>72</v>
      </c>
      <c r="B993" t="s">
        <v>18816</v>
      </c>
      <c r="C993" t="s">
        <v>74</v>
      </c>
      <c r="D993" t="s">
        <v>74</v>
      </c>
      <c r="E993" t="s">
        <v>74</v>
      </c>
      <c r="F993" t="s">
        <v>18817</v>
      </c>
      <c r="G993" t="s">
        <v>74</v>
      </c>
      <c r="H993" t="s">
        <v>74</v>
      </c>
      <c r="I993" t="s">
        <v>18818</v>
      </c>
      <c r="J993" t="s">
        <v>18819</v>
      </c>
      <c r="K993" t="s">
        <v>74</v>
      </c>
      <c r="L993" t="s">
        <v>74</v>
      </c>
      <c r="M993" t="s">
        <v>78</v>
      </c>
      <c r="N993" t="s">
        <v>18820</v>
      </c>
      <c r="O993" t="s">
        <v>74</v>
      </c>
      <c r="P993" t="s">
        <v>74</v>
      </c>
      <c r="Q993" t="s">
        <v>74</v>
      </c>
      <c r="R993" t="s">
        <v>74</v>
      </c>
      <c r="S993" t="s">
        <v>74</v>
      </c>
      <c r="T993" t="s">
        <v>74</v>
      </c>
      <c r="U993" t="s">
        <v>74</v>
      </c>
      <c r="V993" t="s">
        <v>74</v>
      </c>
      <c r="W993" t="s">
        <v>74</v>
      </c>
      <c r="X993" t="s">
        <v>74</v>
      </c>
      <c r="Y993" t="s">
        <v>74</v>
      </c>
      <c r="Z993" t="s">
        <v>74</v>
      </c>
      <c r="AA993" t="s">
        <v>74</v>
      </c>
      <c r="AB993" t="s">
        <v>74</v>
      </c>
      <c r="AC993" t="s">
        <v>74</v>
      </c>
      <c r="AD993" t="s">
        <v>74</v>
      </c>
      <c r="AE993" t="s">
        <v>74</v>
      </c>
      <c r="AF993" t="s">
        <v>74</v>
      </c>
      <c r="AG993">
        <v>0</v>
      </c>
      <c r="AH993">
        <v>0</v>
      </c>
      <c r="AI993">
        <v>0</v>
      </c>
      <c r="AJ993">
        <v>0</v>
      </c>
      <c r="AK993">
        <v>0</v>
      </c>
      <c r="AL993" t="s">
        <v>18821</v>
      </c>
      <c r="AM993" t="s">
        <v>18822</v>
      </c>
      <c r="AN993" t="s">
        <v>18823</v>
      </c>
      <c r="AO993" t="s">
        <v>18824</v>
      </c>
      <c r="AP993" t="s">
        <v>18825</v>
      </c>
      <c r="AQ993" t="s">
        <v>74</v>
      </c>
      <c r="AR993" t="s">
        <v>18819</v>
      </c>
      <c r="AS993" t="s">
        <v>18826</v>
      </c>
      <c r="AT993" t="s">
        <v>18827</v>
      </c>
      <c r="AU993">
        <v>2017</v>
      </c>
      <c r="AV993">
        <v>76</v>
      </c>
      <c r="AW993">
        <v>4</v>
      </c>
      <c r="AX993" t="s">
        <v>74</v>
      </c>
      <c r="AY993" t="s">
        <v>74</v>
      </c>
      <c r="AZ993" t="s">
        <v>74</v>
      </c>
      <c r="BA993" t="s">
        <v>74</v>
      </c>
      <c r="BB993">
        <v>17</v>
      </c>
      <c r="BC993">
        <v>17</v>
      </c>
      <c r="BD993" t="s">
        <v>74</v>
      </c>
      <c r="BE993" t="s">
        <v>74</v>
      </c>
      <c r="BF993" t="s">
        <v>74</v>
      </c>
      <c r="BG993" t="s">
        <v>74</v>
      </c>
      <c r="BH993" t="s">
        <v>74</v>
      </c>
      <c r="BI993">
        <v>1</v>
      </c>
      <c r="BJ993" t="s">
        <v>5764</v>
      </c>
      <c r="BK993" t="s">
        <v>5765</v>
      </c>
      <c r="BL993" t="s">
        <v>5766</v>
      </c>
      <c r="BM993" t="s">
        <v>18828</v>
      </c>
      <c r="BN993" t="s">
        <v>74</v>
      </c>
      <c r="BO993" t="s">
        <v>74</v>
      </c>
      <c r="BP993" t="s">
        <v>74</v>
      </c>
      <c r="BQ993" t="s">
        <v>74</v>
      </c>
      <c r="BR993" t="s">
        <v>105</v>
      </c>
      <c r="BS993" t="s">
        <v>18829</v>
      </c>
      <c r="BT993" t="str">
        <f>HYPERLINK("https%3A%2F%2Fwww.webofscience.com%2Fwos%2Fwoscc%2Ffull-record%2FWOS:000417887600008","View Full Record in Web of Science")</f>
        <v>View Full Record in Web of Science</v>
      </c>
    </row>
    <row r="994" spans="1:72" x14ac:dyDescent="0.15">
      <c r="A994" t="s">
        <v>72</v>
      </c>
      <c r="B994" t="s">
        <v>18830</v>
      </c>
      <c r="C994" t="s">
        <v>74</v>
      </c>
      <c r="D994" t="s">
        <v>74</v>
      </c>
      <c r="E994" t="s">
        <v>74</v>
      </c>
      <c r="F994" t="s">
        <v>18831</v>
      </c>
      <c r="G994" t="s">
        <v>74</v>
      </c>
      <c r="H994" t="s">
        <v>74</v>
      </c>
      <c r="I994" t="s">
        <v>18832</v>
      </c>
      <c r="J994" t="s">
        <v>18833</v>
      </c>
      <c r="K994" t="s">
        <v>74</v>
      </c>
      <c r="L994" t="s">
        <v>74</v>
      </c>
      <c r="M994" t="s">
        <v>18834</v>
      </c>
      <c r="N994" t="s">
        <v>79</v>
      </c>
      <c r="O994" t="s">
        <v>74</v>
      </c>
      <c r="P994" t="s">
        <v>74</v>
      </c>
      <c r="Q994" t="s">
        <v>74</v>
      </c>
      <c r="R994" t="s">
        <v>74</v>
      </c>
      <c r="S994" t="s">
        <v>74</v>
      </c>
      <c r="T994" t="s">
        <v>18835</v>
      </c>
      <c r="U994" t="s">
        <v>18836</v>
      </c>
      <c r="V994" t="s">
        <v>18837</v>
      </c>
      <c r="W994" t="s">
        <v>18838</v>
      </c>
      <c r="X994" t="s">
        <v>18839</v>
      </c>
      <c r="Y994" t="s">
        <v>18840</v>
      </c>
      <c r="Z994" t="s">
        <v>18841</v>
      </c>
      <c r="AA994" t="s">
        <v>18842</v>
      </c>
      <c r="AB994" t="s">
        <v>18843</v>
      </c>
      <c r="AC994" t="s">
        <v>74</v>
      </c>
      <c r="AD994" t="s">
        <v>74</v>
      </c>
      <c r="AE994" t="s">
        <v>74</v>
      </c>
      <c r="AF994" t="s">
        <v>74</v>
      </c>
      <c r="AG994">
        <v>49</v>
      </c>
      <c r="AH994">
        <v>2</v>
      </c>
      <c r="AI994">
        <v>2</v>
      </c>
      <c r="AJ994">
        <v>0</v>
      </c>
      <c r="AK994">
        <v>3</v>
      </c>
      <c r="AL994" t="s">
        <v>18844</v>
      </c>
      <c r="AM994" t="s">
        <v>18845</v>
      </c>
      <c r="AN994" t="s">
        <v>18846</v>
      </c>
      <c r="AO994" t="s">
        <v>18847</v>
      </c>
      <c r="AP994" t="s">
        <v>18848</v>
      </c>
      <c r="AQ994" t="s">
        <v>74</v>
      </c>
      <c r="AR994" t="s">
        <v>18833</v>
      </c>
      <c r="AS994" t="s">
        <v>18849</v>
      </c>
      <c r="AT994" t="s">
        <v>18786</v>
      </c>
      <c r="AU994">
        <v>2017</v>
      </c>
      <c r="AV994">
        <v>64</v>
      </c>
      <c r="AW994">
        <v>2</v>
      </c>
      <c r="AX994" t="s">
        <v>74</v>
      </c>
      <c r="AY994" t="s">
        <v>10761</v>
      </c>
      <c r="AZ994" t="s">
        <v>74</v>
      </c>
      <c r="BA994" t="s">
        <v>74</v>
      </c>
      <c r="BB994">
        <v>33</v>
      </c>
      <c r="BC994">
        <v>43</v>
      </c>
      <c r="BD994" t="s">
        <v>74</v>
      </c>
      <c r="BE994" t="s">
        <v>18850</v>
      </c>
      <c r="BF994" t="str">
        <f>HYPERLINK("http://dx.doi.org/10.17818/NM/2017/2.7","http://dx.doi.org/10.17818/NM/2017/2.7")</f>
        <v>http://dx.doi.org/10.17818/NM/2017/2.7</v>
      </c>
      <c r="BG994" t="s">
        <v>74</v>
      </c>
      <c r="BH994" t="s">
        <v>74</v>
      </c>
      <c r="BI994">
        <v>11</v>
      </c>
      <c r="BJ994" t="s">
        <v>18851</v>
      </c>
      <c r="BK994" t="s">
        <v>3172</v>
      </c>
      <c r="BL994" t="s">
        <v>1556</v>
      </c>
      <c r="BM994" t="s">
        <v>18852</v>
      </c>
      <c r="BN994" t="s">
        <v>74</v>
      </c>
      <c r="BO994" t="s">
        <v>658</v>
      </c>
      <c r="BP994" t="s">
        <v>74</v>
      </c>
      <c r="BQ994" t="s">
        <v>74</v>
      </c>
      <c r="BR994" t="s">
        <v>105</v>
      </c>
      <c r="BS994" t="s">
        <v>18853</v>
      </c>
      <c r="BT994" t="str">
        <f>HYPERLINK("https%3A%2F%2Fwww.webofscience.com%2Fwos%2Fwoscc%2Ffull-record%2FWOS:000417807800001","View Full Record in Web of Science")</f>
        <v>View Full Record in Web of Science</v>
      </c>
    </row>
    <row r="995" spans="1:72" x14ac:dyDescent="0.15">
      <c r="A995" t="s">
        <v>72</v>
      </c>
      <c r="B995" t="s">
        <v>18854</v>
      </c>
      <c r="C995" t="s">
        <v>74</v>
      </c>
      <c r="D995" t="s">
        <v>74</v>
      </c>
      <c r="E995" t="s">
        <v>74</v>
      </c>
      <c r="F995" t="s">
        <v>18855</v>
      </c>
      <c r="G995" t="s">
        <v>74</v>
      </c>
      <c r="H995" t="s">
        <v>74</v>
      </c>
      <c r="I995" t="s">
        <v>18856</v>
      </c>
      <c r="J995" t="s">
        <v>18857</v>
      </c>
      <c r="K995" t="s">
        <v>74</v>
      </c>
      <c r="L995" t="s">
        <v>74</v>
      </c>
      <c r="M995" t="s">
        <v>10446</v>
      </c>
      <c r="N995" t="s">
        <v>79</v>
      </c>
      <c r="O995" t="s">
        <v>74</v>
      </c>
      <c r="P995" t="s">
        <v>74</v>
      </c>
      <c r="Q995" t="s">
        <v>74</v>
      </c>
      <c r="R995" t="s">
        <v>74</v>
      </c>
      <c r="S995" t="s">
        <v>74</v>
      </c>
      <c r="T995" t="s">
        <v>18858</v>
      </c>
      <c r="U995" t="s">
        <v>18859</v>
      </c>
      <c r="V995" t="s">
        <v>18860</v>
      </c>
      <c r="W995" t="s">
        <v>18861</v>
      </c>
      <c r="X995" t="s">
        <v>18862</v>
      </c>
      <c r="Y995" t="s">
        <v>18863</v>
      </c>
      <c r="Z995" t="s">
        <v>18864</v>
      </c>
      <c r="AA995" t="s">
        <v>18865</v>
      </c>
      <c r="AB995" t="s">
        <v>74</v>
      </c>
      <c r="AC995" t="s">
        <v>74</v>
      </c>
      <c r="AD995" t="s">
        <v>74</v>
      </c>
      <c r="AE995" t="s">
        <v>74</v>
      </c>
      <c r="AF995" t="s">
        <v>74</v>
      </c>
      <c r="AG995">
        <v>38</v>
      </c>
      <c r="AH995">
        <v>0</v>
      </c>
      <c r="AI995">
        <v>0</v>
      </c>
      <c r="AJ995">
        <v>0</v>
      </c>
      <c r="AK995">
        <v>1</v>
      </c>
      <c r="AL995" t="s">
        <v>18866</v>
      </c>
      <c r="AM995" t="s">
        <v>18867</v>
      </c>
      <c r="AN995" t="s">
        <v>18868</v>
      </c>
      <c r="AO995" t="s">
        <v>18869</v>
      </c>
      <c r="AP995" t="s">
        <v>18870</v>
      </c>
      <c r="AQ995" t="s">
        <v>74</v>
      </c>
      <c r="AR995" t="s">
        <v>18871</v>
      </c>
      <c r="AS995" t="s">
        <v>18872</v>
      </c>
      <c r="AT995" t="s">
        <v>18786</v>
      </c>
      <c r="AU995">
        <v>2017</v>
      </c>
      <c r="AV995">
        <v>38</v>
      </c>
      <c r="AW995">
        <v>3</v>
      </c>
      <c r="AX995" t="s">
        <v>74</v>
      </c>
      <c r="AY995" t="s">
        <v>74</v>
      </c>
      <c r="AZ995" t="s">
        <v>74</v>
      </c>
      <c r="BA995" t="s">
        <v>74</v>
      </c>
      <c r="BB995">
        <v>194</v>
      </c>
      <c r="BC995">
        <v>208</v>
      </c>
      <c r="BD995" t="s">
        <v>74</v>
      </c>
      <c r="BE995" t="s">
        <v>18873</v>
      </c>
      <c r="BF995" t="str">
        <f>HYPERLINK("http://dx.doi.org/10.5467/JKESS.2017.38.3.194","http://dx.doi.org/10.5467/JKESS.2017.38.3.194")</f>
        <v>http://dx.doi.org/10.5467/JKESS.2017.38.3.194</v>
      </c>
      <c r="BG995" t="s">
        <v>74</v>
      </c>
      <c r="BH995" t="s">
        <v>74</v>
      </c>
      <c r="BI995">
        <v>15</v>
      </c>
      <c r="BJ995" t="s">
        <v>100</v>
      </c>
      <c r="BK995" t="s">
        <v>3172</v>
      </c>
      <c r="BL995" t="s">
        <v>102</v>
      </c>
      <c r="BM995" t="s">
        <v>18874</v>
      </c>
      <c r="BN995" t="s">
        <v>74</v>
      </c>
      <c r="BO995" t="s">
        <v>74</v>
      </c>
      <c r="BP995" t="s">
        <v>74</v>
      </c>
      <c r="BQ995" t="s">
        <v>74</v>
      </c>
      <c r="BR995" t="s">
        <v>105</v>
      </c>
      <c r="BS995" t="s">
        <v>18875</v>
      </c>
      <c r="BT995" t="str">
        <f>HYPERLINK("https%3A%2F%2Fwww.webofscience.com%2Fwos%2Fwoscc%2Ffull-record%2FWOS:000416851900003","View Full Record in Web of Science")</f>
        <v>View Full Record in Web of Science</v>
      </c>
    </row>
    <row r="996" spans="1:72" x14ac:dyDescent="0.15">
      <c r="A996" t="s">
        <v>72</v>
      </c>
      <c r="B996" t="s">
        <v>18876</v>
      </c>
      <c r="C996" t="s">
        <v>74</v>
      </c>
      <c r="D996" t="s">
        <v>74</v>
      </c>
      <c r="E996" t="s">
        <v>74</v>
      </c>
      <c r="F996" t="s">
        <v>18877</v>
      </c>
      <c r="G996" t="s">
        <v>74</v>
      </c>
      <c r="H996" t="s">
        <v>74</v>
      </c>
      <c r="I996" t="s">
        <v>18878</v>
      </c>
      <c r="J996" t="s">
        <v>18879</v>
      </c>
      <c r="K996" t="s">
        <v>74</v>
      </c>
      <c r="L996" t="s">
        <v>74</v>
      </c>
      <c r="M996" t="s">
        <v>78</v>
      </c>
      <c r="N996" t="s">
        <v>79</v>
      </c>
      <c r="O996" t="s">
        <v>74</v>
      </c>
      <c r="P996" t="s">
        <v>74</v>
      </c>
      <c r="Q996" t="s">
        <v>74</v>
      </c>
      <c r="R996" t="s">
        <v>74</v>
      </c>
      <c r="S996" t="s">
        <v>74</v>
      </c>
      <c r="T996" t="s">
        <v>18880</v>
      </c>
      <c r="U996" t="s">
        <v>18881</v>
      </c>
      <c r="V996" t="s">
        <v>18882</v>
      </c>
      <c r="W996" t="s">
        <v>18883</v>
      </c>
      <c r="X996" t="s">
        <v>18884</v>
      </c>
      <c r="Y996" t="s">
        <v>18885</v>
      </c>
      <c r="Z996" t="s">
        <v>18886</v>
      </c>
      <c r="AA996" t="s">
        <v>74</v>
      </c>
      <c r="AB996" t="s">
        <v>74</v>
      </c>
      <c r="AC996" t="s">
        <v>74</v>
      </c>
      <c r="AD996" t="s">
        <v>74</v>
      </c>
      <c r="AE996" t="s">
        <v>74</v>
      </c>
      <c r="AF996" t="s">
        <v>74</v>
      </c>
      <c r="AG996">
        <v>45</v>
      </c>
      <c r="AH996">
        <v>6</v>
      </c>
      <c r="AI996">
        <v>6</v>
      </c>
      <c r="AJ996">
        <v>0</v>
      </c>
      <c r="AK996">
        <v>2</v>
      </c>
      <c r="AL996" t="s">
        <v>371</v>
      </c>
      <c r="AM996" t="s">
        <v>372</v>
      </c>
      <c r="AN996" t="s">
        <v>373</v>
      </c>
      <c r="AO996" t="s">
        <v>18887</v>
      </c>
      <c r="AP996" t="s">
        <v>74</v>
      </c>
      <c r="AQ996" t="s">
        <v>74</v>
      </c>
      <c r="AR996" t="s">
        <v>18888</v>
      </c>
      <c r="AS996" t="s">
        <v>18889</v>
      </c>
      <c r="AT996" t="s">
        <v>18786</v>
      </c>
      <c r="AU996">
        <v>2017</v>
      </c>
      <c r="AV996">
        <v>13</v>
      </c>
      <c r="AW996" t="s">
        <v>74</v>
      </c>
      <c r="AX996" t="s">
        <v>74</v>
      </c>
      <c r="AY996" t="s">
        <v>74</v>
      </c>
      <c r="AZ996" t="s">
        <v>74</v>
      </c>
      <c r="BA996" t="s">
        <v>74</v>
      </c>
      <c r="BB996">
        <v>286</v>
      </c>
      <c r="BC996">
        <v>290</v>
      </c>
      <c r="BD996" t="s">
        <v>74</v>
      </c>
      <c r="BE996" t="s">
        <v>18890</v>
      </c>
      <c r="BF996" t="str">
        <f>HYPERLINK("http://dx.doi.org/10.1016/j.jasrep.2017.03.046","http://dx.doi.org/10.1016/j.jasrep.2017.03.046")</f>
        <v>http://dx.doi.org/10.1016/j.jasrep.2017.03.046</v>
      </c>
      <c r="BG996" t="s">
        <v>74</v>
      </c>
      <c r="BH996" t="s">
        <v>74</v>
      </c>
      <c r="BI996">
        <v>5</v>
      </c>
      <c r="BJ996" t="s">
        <v>18891</v>
      </c>
      <c r="BK996" t="s">
        <v>5765</v>
      </c>
      <c r="BL996" t="s">
        <v>18891</v>
      </c>
      <c r="BM996" t="s">
        <v>18892</v>
      </c>
      <c r="BN996" t="s">
        <v>74</v>
      </c>
      <c r="BO996" t="s">
        <v>1240</v>
      </c>
      <c r="BP996" t="s">
        <v>74</v>
      </c>
      <c r="BQ996" t="s">
        <v>74</v>
      </c>
      <c r="BR996" t="s">
        <v>105</v>
      </c>
      <c r="BS996" t="s">
        <v>18893</v>
      </c>
      <c r="BT996" t="str">
        <f>HYPERLINK("https%3A%2F%2Fwww.webofscience.com%2Fwos%2Fwoscc%2Ffull-record%2FWOS:000415616500027","View Full Record in Web of Science")</f>
        <v>View Full Record in Web of Science</v>
      </c>
    </row>
    <row r="997" spans="1:72" x14ac:dyDescent="0.15">
      <c r="A997" t="s">
        <v>72</v>
      </c>
      <c r="B997" t="s">
        <v>18894</v>
      </c>
      <c r="C997" t="s">
        <v>74</v>
      </c>
      <c r="D997" t="s">
        <v>74</v>
      </c>
      <c r="E997" t="s">
        <v>74</v>
      </c>
      <c r="F997" t="s">
        <v>18895</v>
      </c>
      <c r="G997" t="s">
        <v>74</v>
      </c>
      <c r="H997" t="s">
        <v>74</v>
      </c>
      <c r="I997" t="s">
        <v>18896</v>
      </c>
      <c r="J997" t="s">
        <v>18879</v>
      </c>
      <c r="K997" t="s">
        <v>74</v>
      </c>
      <c r="L997" t="s">
        <v>74</v>
      </c>
      <c r="M997" t="s">
        <v>78</v>
      </c>
      <c r="N997" t="s">
        <v>79</v>
      </c>
      <c r="O997" t="s">
        <v>74</v>
      </c>
      <c r="P997" t="s">
        <v>74</v>
      </c>
      <c r="Q997" t="s">
        <v>74</v>
      </c>
      <c r="R997" t="s">
        <v>74</v>
      </c>
      <c r="S997" t="s">
        <v>74</v>
      </c>
      <c r="T997" t="s">
        <v>18897</v>
      </c>
      <c r="U997" t="s">
        <v>18898</v>
      </c>
      <c r="V997" t="s">
        <v>18899</v>
      </c>
      <c r="W997" t="s">
        <v>18900</v>
      </c>
      <c r="X997" t="s">
        <v>18901</v>
      </c>
      <c r="Y997" t="s">
        <v>18902</v>
      </c>
      <c r="Z997" t="s">
        <v>18903</v>
      </c>
      <c r="AA997" t="s">
        <v>18904</v>
      </c>
      <c r="AB997" t="s">
        <v>18905</v>
      </c>
      <c r="AC997" t="s">
        <v>18906</v>
      </c>
      <c r="AD997" t="s">
        <v>18907</v>
      </c>
      <c r="AE997" t="s">
        <v>18908</v>
      </c>
      <c r="AF997" t="s">
        <v>74</v>
      </c>
      <c r="AG997">
        <v>86</v>
      </c>
      <c r="AH997">
        <v>62</v>
      </c>
      <c r="AI997">
        <v>67</v>
      </c>
      <c r="AJ997">
        <v>3</v>
      </c>
      <c r="AK997">
        <v>32</v>
      </c>
      <c r="AL997" t="s">
        <v>371</v>
      </c>
      <c r="AM997" t="s">
        <v>372</v>
      </c>
      <c r="AN997" t="s">
        <v>373</v>
      </c>
      <c r="AO997" t="s">
        <v>18887</v>
      </c>
      <c r="AP997" t="s">
        <v>74</v>
      </c>
      <c r="AQ997" t="s">
        <v>74</v>
      </c>
      <c r="AR997" t="s">
        <v>18888</v>
      </c>
      <c r="AS997" t="s">
        <v>18889</v>
      </c>
      <c r="AT997" t="s">
        <v>18786</v>
      </c>
      <c r="AU997">
        <v>2017</v>
      </c>
      <c r="AV997">
        <v>13</v>
      </c>
      <c r="AW997" t="s">
        <v>74</v>
      </c>
      <c r="AX997" t="s">
        <v>74</v>
      </c>
      <c r="AY997" t="s">
        <v>74</v>
      </c>
      <c r="AZ997" t="s">
        <v>74</v>
      </c>
      <c r="BA997" t="s">
        <v>74</v>
      </c>
      <c r="BB997">
        <v>491</v>
      </c>
      <c r="BC997">
        <v>515</v>
      </c>
      <c r="BD997" t="s">
        <v>74</v>
      </c>
      <c r="BE997" t="s">
        <v>18909</v>
      </c>
      <c r="BF997" t="str">
        <f>HYPERLINK("http://dx.doi.org/10.1016/j.jasrep.2017.04.003","http://dx.doi.org/10.1016/j.jasrep.2017.04.003")</f>
        <v>http://dx.doi.org/10.1016/j.jasrep.2017.04.003</v>
      </c>
      <c r="BG997" t="s">
        <v>74</v>
      </c>
      <c r="BH997" t="s">
        <v>74</v>
      </c>
      <c r="BI997">
        <v>25</v>
      </c>
      <c r="BJ997" t="s">
        <v>18891</v>
      </c>
      <c r="BK997" t="s">
        <v>5765</v>
      </c>
      <c r="BL997" t="s">
        <v>18891</v>
      </c>
      <c r="BM997" t="s">
        <v>18892</v>
      </c>
      <c r="BN997" t="s">
        <v>74</v>
      </c>
      <c r="BO997" t="s">
        <v>74</v>
      </c>
      <c r="BP997" t="s">
        <v>74</v>
      </c>
      <c r="BQ997" t="s">
        <v>74</v>
      </c>
      <c r="BR997" t="s">
        <v>105</v>
      </c>
      <c r="BS997" t="s">
        <v>18910</v>
      </c>
      <c r="BT997" t="str">
        <f>HYPERLINK("https%3A%2F%2Fwww.webofscience.com%2Fwos%2Fwoscc%2Ffull-record%2FWOS:000415616500046","View Full Record in Web of Science")</f>
        <v>View Full Record in Web of Science</v>
      </c>
    </row>
    <row r="998" spans="1:72" x14ac:dyDescent="0.15">
      <c r="A998" t="s">
        <v>72</v>
      </c>
      <c r="B998" t="s">
        <v>18911</v>
      </c>
      <c r="C998" t="s">
        <v>74</v>
      </c>
      <c r="D998" t="s">
        <v>74</v>
      </c>
      <c r="E998" t="s">
        <v>74</v>
      </c>
      <c r="F998" t="s">
        <v>18912</v>
      </c>
      <c r="G998" t="s">
        <v>74</v>
      </c>
      <c r="H998" t="s">
        <v>74</v>
      </c>
      <c r="I998" t="s">
        <v>18913</v>
      </c>
      <c r="J998" t="s">
        <v>18914</v>
      </c>
      <c r="K998" t="s">
        <v>74</v>
      </c>
      <c r="L998" t="s">
        <v>74</v>
      </c>
      <c r="M998" t="s">
        <v>78</v>
      </c>
      <c r="N998" t="s">
        <v>79</v>
      </c>
      <c r="O998" t="s">
        <v>74</v>
      </c>
      <c r="P998" t="s">
        <v>74</v>
      </c>
      <c r="Q998" t="s">
        <v>74</v>
      </c>
      <c r="R998" t="s">
        <v>74</v>
      </c>
      <c r="S998" t="s">
        <v>74</v>
      </c>
      <c r="T998" t="s">
        <v>18915</v>
      </c>
      <c r="U998" t="s">
        <v>74</v>
      </c>
      <c r="V998" t="s">
        <v>18916</v>
      </c>
      <c r="W998" t="s">
        <v>18917</v>
      </c>
      <c r="X998" t="s">
        <v>18918</v>
      </c>
      <c r="Y998" t="s">
        <v>18919</v>
      </c>
      <c r="Z998" t="s">
        <v>18920</v>
      </c>
      <c r="AA998" t="s">
        <v>18921</v>
      </c>
      <c r="AB998" t="s">
        <v>18922</v>
      </c>
      <c r="AC998" t="s">
        <v>74</v>
      </c>
      <c r="AD998" t="s">
        <v>74</v>
      </c>
      <c r="AE998" t="s">
        <v>74</v>
      </c>
      <c r="AF998" t="s">
        <v>74</v>
      </c>
      <c r="AG998">
        <v>17</v>
      </c>
      <c r="AH998">
        <v>0</v>
      </c>
      <c r="AI998">
        <v>0</v>
      </c>
      <c r="AJ998">
        <v>0</v>
      </c>
      <c r="AK998">
        <v>0</v>
      </c>
      <c r="AL998" t="s">
        <v>18923</v>
      </c>
      <c r="AM998" t="s">
        <v>18924</v>
      </c>
      <c r="AN998" t="s">
        <v>18925</v>
      </c>
      <c r="AO998" t="s">
        <v>18926</v>
      </c>
      <c r="AP998" t="s">
        <v>18927</v>
      </c>
      <c r="AQ998" t="s">
        <v>74</v>
      </c>
      <c r="AR998" t="s">
        <v>18928</v>
      </c>
      <c r="AS998" t="s">
        <v>18929</v>
      </c>
      <c r="AT998" t="s">
        <v>18786</v>
      </c>
      <c r="AU998">
        <v>2017</v>
      </c>
      <c r="AV998">
        <v>30</v>
      </c>
      <c r="AW998">
        <v>2</v>
      </c>
      <c r="AX998" t="s">
        <v>74</v>
      </c>
      <c r="AY998" t="s">
        <v>74</v>
      </c>
      <c r="AZ998" t="s">
        <v>74</v>
      </c>
      <c r="BA998" t="s">
        <v>74</v>
      </c>
      <c r="BB998">
        <v>81</v>
      </c>
      <c r="BC998">
        <v>85</v>
      </c>
      <c r="BD998" t="s">
        <v>74</v>
      </c>
      <c r="BE998" t="s">
        <v>18930</v>
      </c>
      <c r="BF998" t="str">
        <f>HYPERLINK("http://dx.doi.org/10.1515/cipms-2017-0016","http://dx.doi.org/10.1515/cipms-2017-0016")</f>
        <v>http://dx.doi.org/10.1515/cipms-2017-0016</v>
      </c>
      <c r="BG998" t="s">
        <v>74</v>
      </c>
      <c r="BH998" t="s">
        <v>74</v>
      </c>
      <c r="BI998">
        <v>5</v>
      </c>
      <c r="BJ998" t="s">
        <v>18931</v>
      </c>
      <c r="BK998" t="s">
        <v>3172</v>
      </c>
      <c r="BL998" t="s">
        <v>18932</v>
      </c>
      <c r="BM998" t="s">
        <v>18933</v>
      </c>
      <c r="BN998" t="s">
        <v>74</v>
      </c>
      <c r="BO998" t="s">
        <v>1278</v>
      </c>
      <c r="BP998" t="s">
        <v>74</v>
      </c>
      <c r="BQ998" t="s">
        <v>74</v>
      </c>
      <c r="BR998" t="s">
        <v>105</v>
      </c>
      <c r="BS998" t="s">
        <v>18934</v>
      </c>
      <c r="BT998" t="str">
        <f>HYPERLINK("https%3A%2F%2Fwww.webofscience.com%2Fwos%2Fwoscc%2Ffull-record%2FWOS:000415256600006","View Full Record in Web of Science")</f>
        <v>View Full Record in Web of Science</v>
      </c>
    </row>
    <row r="999" spans="1:72" x14ac:dyDescent="0.15">
      <c r="A999" t="s">
        <v>72</v>
      </c>
      <c r="B999" t="s">
        <v>18935</v>
      </c>
      <c r="C999" t="s">
        <v>74</v>
      </c>
      <c r="D999" t="s">
        <v>74</v>
      </c>
      <c r="E999" t="s">
        <v>74</v>
      </c>
      <c r="F999" t="s">
        <v>18936</v>
      </c>
      <c r="G999" t="s">
        <v>74</v>
      </c>
      <c r="H999" t="s">
        <v>74</v>
      </c>
      <c r="I999" t="s">
        <v>18937</v>
      </c>
      <c r="J999" t="s">
        <v>18938</v>
      </c>
      <c r="K999" t="s">
        <v>74</v>
      </c>
      <c r="L999" t="s">
        <v>74</v>
      </c>
      <c r="M999" t="s">
        <v>78</v>
      </c>
      <c r="N999" t="s">
        <v>79</v>
      </c>
      <c r="O999" t="s">
        <v>74</v>
      </c>
      <c r="P999" t="s">
        <v>74</v>
      </c>
      <c r="Q999" t="s">
        <v>74</v>
      </c>
      <c r="R999" t="s">
        <v>74</v>
      </c>
      <c r="S999" t="s">
        <v>74</v>
      </c>
      <c r="T999" t="s">
        <v>18939</v>
      </c>
      <c r="U999" t="s">
        <v>18940</v>
      </c>
      <c r="V999" t="s">
        <v>18941</v>
      </c>
      <c r="W999" t="s">
        <v>18942</v>
      </c>
      <c r="X999" t="s">
        <v>18943</v>
      </c>
      <c r="Y999" t="s">
        <v>18944</v>
      </c>
      <c r="Z999" t="s">
        <v>18945</v>
      </c>
      <c r="AA999" t="s">
        <v>18946</v>
      </c>
      <c r="AB999" t="s">
        <v>18947</v>
      </c>
      <c r="AC999" t="s">
        <v>74</v>
      </c>
      <c r="AD999" t="s">
        <v>74</v>
      </c>
      <c r="AE999" t="s">
        <v>74</v>
      </c>
      <c r="AF999" t="s">
        <v>74</v>
      </c>
      <c r="AG999">
        <v>28</v>
      </c>
      <c r="AH999">
        <v>1</v>
      </c>
      <c r="AI999">
        <v>1</v>
      </c>
      <c r="AJ999">
        <v>0</v>
      </c>
      <c r="AK999">
        <v>6</v>
      </c>
      <c r="AL999" t="s">
        <v>18923</v>
      </c>
      <c r="AM999" t="s">
        <v>18924</v>
      </c>
      <c r="AN999" t="s">
        <v>18925</v>
      </c>
      <c r="AO999" t="s">
        <v>18948</v>
      </c>
      <c r="AP999" t="s">
        <v>18949</v>
      </c>
      <c r="AQ999" t="s">
        <v>74</v>
      </c>
      <c r="AR999" t="s">
        <v>18950</v>
      </c>
      <c r="AS999" t="s">
        <v>18951</v>
      </c>
      <c r="AT999" t="s">
        <v>18786</v>
      </c>
      <c r="AU999">
        <v>2017</v>
      </c>
      <c r="AV999">
        <v>103</v>
      </c>
      <c r="AW999">
        <v>1</v>
      </c>
      <c r="AX999" t="s">
        <v>74</v>
      </c>
      <c r="AY999" t="s">
        <v>74</v>
      </c>
      <c r="AZ999" t="s">
        <v>74</v>
      </c>
      <c r="BA999" t="s">
        <v>74</v>
      </c>
      <c r="BB999">
        <v>119</v>
      </c>
      <c r="BC999">
        <v>135</v>
      </c>
      <c r="BD999" t="s">
        <v>74</v>
      </c>
      <c r="BE999" t="s">
        <v>18952</v>
      </c>
      <c r="BF999" t="str">
        <f>HYPERLINK("http://dx.doi.org/10.1515/rgg-2017-0010","http://dx.doi.org/10.1515/rgg-2017-0010")</f>
        <v>http://dx.doi.org/10.1515/rgg-2017-0010</v>
      </c>
      <c r="BG999" t="s">
        <v>74</v>
      </c>
      <c r="BH999" t="s">
        <v>74</v>
      </c>
      <c r="BI999">
        <v>17</v>
      </c>
      <c r="BJ999" t="s">
        <v>2528</v>
      </c>
      <c r="BK999" t="s">
        <v>3172</v>
      </c>
      <c r="BL999" t="s">
        <v>2528</v>
      </c>
      <c r="BM999" t="s">
        <v>18953</v>
      </c>
      <c r="BN999" t="s">
        <v>74</v>
      </c>
      <c r="BO999" t="s">
        <v>1278</v>
      </c>
      <c r="BP999" t="s">
        <v>74</v>
      </c>
      <c r="BQ999" t="s">
        <v>74</v>
      </c>
      <c r="BR999" t="s">
        <v>105</v>
      </c>
      <c r="BS999" t="s">
        <v>18954</v>
      </c>
      <c r="BT999" t="str">
        <f>HYPERLINK("https%3A%2F%2Fwww.webofscience.com%2Fwos%2Fwoscc%2Ffull-record%2FWOS:000414638100010","View Full Record in Web of Science")</f>
        <v>View Full Record in Web of Science</v>
      </c>
    </row>
    <row r="1000" spans="1:72" x14ac:dyDescent="0.15">
      <c r="A1000" t="s">
        <v>72</v>
      </c>
      <c r="B1000" t="s">
        <v>16938</v>
      </c>
      <c r="C1000" t="s">
        <v>74</v>
      </c>
      <c r="D1000" t="s">
        <v>74</v>
      </c>
      <c r="E1000" t="s">
        <v>74</v>
      </c>
      <c r="F1000" t="s">
        <v>16939</v>
      </c>
      <c r="G1000" t="s">
        <v>74</v>
      </c>
      <c r="H1000" t="s">
        <v>74</v>
      </c>
      <c r="I1000" t="s">
        <v>18955</v>
      </c>
      <c r="J1000" t="s">
        <v>5529</v>
      </c>
      <c r="K1000" t="s">
        <v>74</v>
      </c>
      <c r="L1000" t="s">
        <v>74</v>
      </c>
      <c r="M1000" t="s">
        <v>78</v>
      </c>
      <c r="N1000" t="s">
        <v>79</v>
      </c>
      <c r="O1000" t="s">
        <v>74</v>
      </c>
      <c r="P1000" t="s">
        <v>74</v>
      </c>
      <c r="Q1000" t="s">
        <v>74</v>
      </c>
      <c r="R1000" t="s">
        <v>74</v>
      </c>
      <c r="S1000" t="s">
        <v>74</v>
      </c>
      <c r="T1000" t="s">
        <v>18956</v>
      </c>
      <c r="U1000" t="s">
        <v>18957</v>
      </c>
      <c r="V1000" t="s">
        <v>18958</v>
      </c>
      <c r="W1000" t="s">
        <v>16944</v>
      </c>
      <c r="X1000" t="s">
        <v>3617</v>
      </c>
      <c r="Y1000" t="s">
        <v>16945</v>
      </c>
      <c r="Z1000" t="s">
        <v>16946</v>
      </c>
      <c r="AA1000" t="s">
        <v>74</v>
      </c>
      <c r="AB1000" t="s">
        <v>74</v>
      </c>
      <c r="AC1000" t="s">
        <v>16947</v>
      </c>
      <c r="AD1000" t="s">
        <v>4631</v>
      </c>
      <c r="AE1000" t="s">
        <v>74</v>
      </c>
      <c r="AF1000" t="s">
        <v>74</v>
      </c>
      <c r="AG1000">
        <v>68</v>
      </c>
      <c r="AH1000">
        <v>5</v>
      </c>
      <c r="AI1000">
        <v>5</v>
      </c>
      <c r="AJ1000">
        <v>0</v>
      </c>
      <c r="AK1000">
        <v>9</v>
      </c>
      <c r="AL1000" t="s">
        <v>1270</v>
      </c>
      <c r="AM1000" t="s">
        <v>209</v>
      </c>
      <c r="AN1000" t="s">
        <v>1682</v>
      </c>
      <c r="AO1000" t="s">
        <v>5540</v>
      </c>
      <c r="AP1000" t="s">
        <v>5541</v>
      </c>
      <c r="AQ1000" t="s">
        <v>74</v>
      </c>
      <c r="AR1000" t="s">
        <v>5542</v>
      </c>
      <c r="AS1000" t="s">
        <v>5543</v>
      </c>
      <c r="AT1000" t="s">
        <v>18786</v>
      </c>
      <c r="AU1000">
        <v>2017</v>
      </c>
      <c r="AV1000">
        <v>97</v>
      </c>
      <c r="AW1000">
        <v>4</v>
      </c>
      <c r="AX1000" t="s">
        <v>74</v>
      </c>
      <c r="AY1000" t="s">
        <v>74</v>
      </c>
      <c r="AZ1000" t="s">
        <v>74</v>
      </c>
      <c r="BA1000" t="s">
        <v>74</v>
      </c>
      <c r="BB1000">
        <v>771</v>
      </c>
      <c r="BC1000">
        <v>782</v>
      </c>
      <c r="BD1000" t="s">
        <v>74</v>
      </c>
      <c r="BE1000" t="s">
        <v>18959</v>
      </c>
      <c r="BF1000" t="str">
        <f>HYPERLINK("http://dx.doi.org/10.1017/S0025315415001526","http://dx.doi.org/10.1017/S0025315415001526")</f>
        <v>http://dx.doi.org/10.1017/S0025315415001526</v>
      </c>
      <c r="BG1000" t="s">
        <v>74</v>
      </c>
      <c r="BH1000" t="s">
        <v>74</v>
      </c>
      <c r="BI1000">
        <v>12</v>
      </c>
      <c r="BJ1000" t="s">
        <v>5546</v>
      </c>
      <c r="BK1000" t="s">
        <v>101</v>
      </c>
      <c r="BL1000" t="s">
        <v>5546</v>
      </c>
      <c r="BM1000" t="s">
        <v>18960</v>
      </c>
      <c r="BN1000" t="s">
        <v>74</v>
      </c>
      <c r="BO1000" t="s">
        <v>598</v>
      </c>
      <c r="BP1000" t="s">
        <v>74</v>
      </c>
      <c r="BQ1000" t="s">
        <v>74</v>
      </c>
      <c r="BR1000" t="s">
        <v>105</v>
      </c>
      <c r="BS1000" t="s">
        <v>18961</v>
      </c>
      <c r="BT1000" t="str">
        <f>HYPERLINK("https%3A%2F%2Fwww.webofscience.com%2Fwos%2Fwoscc%2Ffull-record%2FWOS:000412323400016","View Full Record in Web of Science")</f>
        <v>View Full Record in Web of Science</v>
      </c>
    </row>
    <row r="1001" spans="1:72" x14ac:dyDescent="0.15">
      <c r="A1001" t="s">
        <v>72</v>
      </c>
      <c r="B1001" t="s">
        <v>18962</v>
      </c>
      <c r="C1001" t="s">
        <v>74</v>
      </c>
      <c r="D1001" t="s">
        <v>74</v>
      </c>
      <c r="E1001" t="s">
        <v>74</v>
      </c>
      <c r="F1001" t="s">
        <v>18963</v>
      </c>
      <c r="G1001" t="s">
        <v>74</v>
      </c>
      <c r="H1001" t="s">
        <v>74</v>
      </c>
      <c r="I1001" t="s">
        <v>18964</v>
      </c>
      <c r="J1001" t="s">
        <v>5529</v>
      </c>
      <c r="K1001" t="s">
        <v>74</v>
      </c>
      <c r="L1001" t="s">
        <v>74</v>
      </c>
      <c r="M1001" t="s">
        <v>78</v>
      </c>
      <c r="N1001" t="s">
        <v>79</v>
      </c>
      <c r="O1001" t="s">
        <v>74</v>
      </c>
      <c r="P1001" t="s">
        <v>74</v>
      </c>
      <c r="Q1001" t="s">
        <v>74</v>
      </c>
      <c r="R1001" t="s">
        <v>74</v>
      </c>
      <c r="S1001" t="s">
        <v>74</v>
      </c>
      <c r="T1001" t="s">
        <v>18965</v>
      </c>
      <c r="U1001" t="s">
        <v>18966</v>
      </c>
      <c r="V1001" t="s">
        <v>18967</v>
      </c>
      <c r="W1001" t="s">
        <v>18968</v>
      </c>
      <c r="X1001" t="s">
        <v>18969</v>
      </c>
      <c r="Y1001" t="s">
        <v>18970</v>
      </c>
      <c r="Z1001" t="s">
        <v>18971</v>
      </c>
      <c r="AA1001" t="s">
        <v>18972</v>
      </c>
      <c r="AB1001" t="s">
        <v>18973</v>
      </c>
      <c r="AC1001" t="s">
        <v>18974</v>
      </c>
      <c r="AD1001" t="s">
        <v>18975</v>
      </c>
      <c r="AE1001" t="s">
        <v>18976</v>
      </c>
      <c r="AF1001" t="s">
        <v>74</v>
      </c>
      <c r="AG1001">
        <v>34</v>
      </c>
      <c r="AH1001">
        <v>0</v>
      </c>
      <c r="AI1001">
        <v>1</v>
      </c>
      <c r="AJ1001">
        <v>0</v>
      </c>
      <c r="AK1001">
        <v>4</v>
      </c>
      <c r="AL1001" t="s">
        <v>1270</v>
      </c>
      <c r="AM1001" t="s">
        <v>209</v>
      </c>
      <c r="AN1001" t="s">
        <v>1682</v>
      </c>
      <c r="AO1001" t="s">
        <v>5540</v>
      </c>
      <c r="AP1001" t="s">
        <v>5541</v>
      </c>
      <c r="AQ1001" t="s">
        <v>74</v>
      </c>
      <c r="AR1001" t="s">
        <v>5542</v>
      </c>
      <c r="AS1001" t="s">
        <v>5543</v>
      </c>
      <c r="AT1001" t="s">
        <v>18786</v>
      </c>
      <c r="AU1001">
        <v>2017</v>
      </c>
      <c r="AV1001">
        <v>97</v>
      </c>
      <c r="AW1001">
        <v>4</v>
      </c>
      <c r="AX1001" t="s">
        <v>74</v>
      </c>
      <c r="AY1001" t="s">
        <v>74</v>
      </c>
      <c r="AZ1001" t="s">
        <v>74</v>
      </c>
      <c r="BA1001" t="s">
        <v>74</v>
      </c>
      <c r="BB1001">
        <v>821</v>
      </c>
      <c r="BC1001">
        <v>828</v>
      </c>
      <c r="BD1001" t="s">
        <v>74</v>
      </c>
      <c r="BE1001" t="s">
        <v>18977</v>
      </c>
      <c r="BF1001" t="str">
        <f>HYPERLINK("http://dx.doi.org/10.1017/S0025315414000794","http://dx.doi.org/10.1017/S0025315414000794")</f>
        <v>http://dx.doi.org/10.1017/S0025315414000794</v>
      </c>
      <c r="BG1001" t="s">
        <v>74</v>
      </c>
      <c r="BH1001" t="s">
        <v>74</v>
      </c>
      <c r="BI1001">
        <v>8</v>
      </c>
      <c r="BJ1001" t="s">
        <v>5546</v>
      </c>
      <c r="BK1001" t="s">
        <v>101</v>
      </c>
      <c r="BL1001" t="s">
        <v>5546</v>
      </c>
      <c r="BM1001" t="s">
        <v>18960</v>
      </c>
      <c r="BN1001" t="s">
        <v>74</v>
      </c>
      <c r="BO1001" t="s">
        <v>598</v>
      </c>
      <c r="BP1001" t="s">
        <v>74</v>
      </c>
      <c r="BQ1001" t="s">
        <v>74</v>
      </c>
      <c r="BR1001" t="s">
        <v>105</v>
      </c>
      <c r="BS1001" t="s">
        <v>18978</v>
      </c>
      <c r="BT1001" t="str">
        <f>HYPERLINK("https%3A%2F%2Fwww.webofscience.com%2Fwos%2Fwoscc%2Ffull-record%2FWOS:000412323400020","View Full Record in Web of Science")</f>
        <v>View Full Record in Web of Science</v>
      </c>
    </row>
  </sheetData>
  <pageMargins left="0.75" right="0.75" top="1" bottom="1" header="0.5" footer="0.5"/>
  <pageSetup orientation="portrait" horizontalDpi="300" verticalDpi="300"/>
  <headerFooter alignWithMargins="0"/>
  <legacy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2024-07-28T15:23:53Z</dcterms:created>
  <dcterms:modified xsi:type="dcterms:W3CDTF">2024-07-28T15:23:54Z</dcterms:modified>
</cp:coreProperties>
</file>